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táj.1." sheetId="12" r:id="rId12"/>
    <sheet name="táj.2." sheetId="13" r:id="rId13"/>
    <sheet name="táj.3." sheetId="14" r:id="rId14"/>
    <sheet name="táj.4." sheetId="15" r:id="rId15"/>
  </sheets>
  <definedNames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'táj.1.'!$1:$2</definedName>
    <definedName name="_xlnm.Print_Titles" localSheetId="12">'táj.2.'!$1:$2</definedName>
    <definedName name="_xlnm.Print_Area" localSheetId="2">'3'!$A$1:$K$76</definedName>
    <definedName name="_xlnm.Print_Area" localSheetId="5">'5.a'!$A$1:$O$169</definedName>
    <definedName name="_xlnm.Print_Area" localSheetId="7">'6.a'!$A$1:$Q$765</definedName>
    <definedName name="_xlnm.Print_Area" localSheetId="11">'táj.1.'!$A$1:$O$169</definedName>
    <definedName name="_xlnm.Print_Area" localSheetId="12">'táj.2.'!$A$1:$R$765</definedName>
  </definedNames>
  <calcPr fullCalcOnLoad="1"/>
</workbook>
</file>

<file path=xl/sharedStrings.xml><?xml version="1.0" encoding="utf-8"?>
<sst xmlns="http://schemas.openxmlformats.org/spreadsheetml/2006/main" count="3268" uniqueCount="1408">
  <si>
    <t xml:space="preserve"> - saját fenntartású, illetve működtetésű intézmények karbantartása</t>
  </si>
  <si>
    <t xml:space="preserve"> - Zeg.Felsőfokú Oktatásáért Közalapítvány támogatása</t>
  </si>
  <si>
    <t xml:space="preserve"> - Ny-Magyarországi Egyetem költségtérítéses hallgatók támogatása</t>
  </si>
  <si>
    <t>084070 A fiatalok társ. integrációját segítő struktúra, szakmai szolgált. fejlesztése, működtetése</t>
  </si>
  <si>
    <t xml:space="preserve"> - III. Zalaegerszegi Városi Diáknapok</t>
  </si>
  <si>
    <t xml:space="preserve"> - Zalaegerszegi Főiskolások Egyesülete</t>
  </si>
  <si>
    <t>074052 Kábítószer megelőzés programja</t>
  </si>
  <si>
    <t xml:space="preserve"> - Zalaegerszegi Kábítószerügyi Egyeztető Fórum</t>
  </si>
  <si>
    <t xml:space="preserve"> - Augusztus 20-i falumúzeumi rendezvény</t>
  </si>
  <si>
    <t>Alsóerdei kosárlabda palánk</t>
  </si>
  <si>
    <t>1./2./9.</t>
  </si>
  <si>
    <t>Öveges Iskola területén gázvezeték kiváltás</t>
  </si>
  <si>
    <t>2./3.</t>
  </si>
  <si>
    <t>Kazinczy tér 11. ivóvízhálózat szétválasztása</t>
  </si>
  <si>
    <t xml:space="preserve">Rákóczi u. Arany J.u. és Mártírok útja között lévő szakaszán üzemelő csapadékcsatorna és ivóvízvezeték </t>
  </si>
  <si>
    <t>4./42.</t>
  </si>
  <si>
    <t>Hock J.u. járdaburkolat KEOP vízvezetéképítés miatti helyreállítás</t>
  </si>
  <si>
    <t>4./43.</t>
  </si>
  <si>
    <t>Mikes K.u. KEOP vízvezetéképítés miatti helyreállítás</t>
  </si>
  <si>
    <t>Hóvirág.u. KEOP vízvezetéképítés miatti helyreállítás</t>
  </si>
  <si>
    <t>4./44.</t>
  </si>
  <si>
    <t xml:space="preserve"> - egyéb szervezetek támogatása</t>
  </si>
  <si>
    <t>4.a/16.</t>
  </si>
  <si>
    <t>Bozsoki horhos partfal stabilizáció</t>
  </si>
  <si>
    <t>4.a/17.</t>
  </si>
  <si>
    <t>Balesetveszélyes tereplépcsők felújítása</t>
  </si>
  <si>
    <t xml:space="preserve"> - sport- és humánigazgatási feladatok</t>
  </si>
  <si>
    <t xml:space="preserve"> - Zalaegerszegi Futball Utánpótlás SC támogatása</t>
  </si>
  <si>
    <t>kgy,pm</t>
  </si>
  <si>
    <t xml:space="preserve"> - lakásalappal kapcsolatos kiadások</t>
  </si>
  <si>
    <t>MÜLLEX Közszolgáltató Nonprofit Kft-ben tőkeemelés</t>
  </si>
  <si>
    <t xml:space="preserve"> - 2015. állami támogatás előleg visszafizetése</t>
  </si>
  <si>
    <t xml:space="preserve"> - Városi  Fedett uszoda műk.  támogatása</t>
  </si>
  <si>
    <t xml:space="preserve"> - rendezvények támogatása</t>
  </si>
  <si>
    <t xml:space="preserve"> - egészségügyi és szociális ágazat pályázati kerete</t>
  </si>
  <si>
    <t xml:space="preserve"> - 2015. évi közösségi, művészeti pályázatok</t>
  </si>
  <si>
    <t xml:space="preserve"> - lakossági, civil kezdeményezések támogatása</t>
  </si>
  <si>
    <t>1./1/7</t>
  </si>
  <si>
    <t>Balesetveszélyes Andráshidai óvoda felújítása</t>
  </si>
  <si>
    <t xml:space="preserve"> -VIII Fazekas-keramikus találkozó</t>
  </si>
  <si>
    <t xml:space="preserve"> - Betlehem működtetése</t>
  </si>
  <si>
    <t xml:space="preserve"> - Egerszeg Sport és Turizmus Kft. által szervezett rendezvények</t>
  </si>
  <si>
    <t xml:space="preserve"> - Holokauszt Emlékév és állandó kiállítás</t>
  </si>
  <si>
    <t xml:space="preserve"> - Egerszeg Búcsú</t>
  </si>
  <si>
    <t xml:space="preserve"> - Kvártélyház Kft.támogatása</t>
  </si>
  <si>
    <t xml:space="preserve"> - Keresztury Emlékbizottság</t>
  </si>
  <si>
    <t xml:space="preserve"> - Gébárti Művésztelep</t>
  </si>
  <si>
    <t xml:space="preserve"> - Zala Open Táncbajnokság megrendezéséhez támogatás</t>
  </si>
  <si>
    <t xml:space="preserve"> - V. Zegasztár megrendezése</t>
  </si>
  <si>
    <t xml:space="preserve"> - VII. Zalaegerszegi Kórusfesztivál</t>
  </si>
  <si>
    <t xml:space="preserve"> - Ezer Lámpás Éjszakája rendezvény támogatása</t>
  </si>
  <si>
    <t xml:space="preserve"> - várostörténeti konferencia</t>
  </si>
  <si>
    <t xml:space="preserve"> -" Landorhegyi esték" rendezvény</t>
  </si>
  <si>
    <t xml:space="preserve"> - Egervári várkastéllyal való együttműködés</t>
  </si>
  <si>
    <t xml:space="preserve"> - Szent István szobor 15. éves évforduló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</si>
  <si>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</si>
  <si>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</si>
  <si>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</si>
  <si>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</si>
  <si>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</si>
  <si>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</si>
  <si>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Zalaegerszeg Kultúrájáért Közalapítvány támogatása</t>
  </si>
  <si>
    <t>082030 Művészeti tevékenység</t>
  </si>
  <si>
    <t xml:space="preserve"> - művészeti ösztöndíjak</t>
  </si>
  <si>
    <t xml:space="preserve"> - Ispita Alapítvány támogatása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</si>
  <si>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</si>
  <si>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</si>
  <si>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</si>
  <si>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 xml:space="preserve"> - szociális és egészségügyi rendezvények szervezése</t>
  </si>
  <si>
    <t>072311 Fogorvosi alapellátás</t>
  </si>
  <si>
    <t xml:space="preserve"> - fogászati alapellátás 2015. évi önkormányzati támogatása</t>
  </si>
  <si>
    <t xml:space="preserve"> - idősügyi feladatok</t>
  </si>
  <si>
    <t xml:space="preserve"> -" Lakhatásáért" Közalapítvány támogatása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</si>
  <si>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</si>
  <si>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</si>
  <si>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</si>
  <si>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 xml:space="preserve"> - országos DO. zalaegerszegi rendezvényei</t>
  </si>
  <si>
    <t xml:space="preserve"> - úszásoktatás támogatása</t>
  </si>
  <si>
    <t xml:space="preserve">  - Andráshidai LSC sportlétesítmény üzemeltetés tám.</t>
  </si>
  <si>
    <t xml:space="preserve"> - Botfai LSC sportlétesítmény üzemeltetés tám.</t>
  </si>
  <si>
    <t xml:space="preserve"> - Kertváros LSC sportlétesítmény üzemeltetés tám.</t>
  </si>
  <si>
    <t xml:space="preserve"> - Páterdombi LSC sportlétesítmény bérleti díj</t>
  </si>
  <si>
    <t>2015. évi  előirányzat</t>
  </si>
  <si>
    <t>Ügyviteli dolgozó</t>
  </si>
  <si>
    <t>2015. évi módos. ei.</t>
  </si>
  <si>
    <t>19.</t>
  </si>
  <si>
    <t>Közgyűjteményi és Közművelődési GESZ</t>
  </si>
  <si>
    <t xml:space="preserve"> - Csuti SK sportlétesítmény üzemeltetés támogatása</t>
  </si>
  <si>
    <t xml:space="preserve"> - Police Ola LSK sportlétesítmény bérleti díja</t>
  </si>
  <si>
    <t xml:space="preserve"> - Csácsbozsok-Alsónemesapáti LSC sportlét.bérleti díj</t>
  </si>
  <si>
    <t xml:space="preserve"> - Vorhotai LSC sportlétesítmény üzemeltetés támogatása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</si>
  <si>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</si>
  <si>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</si>
  <si>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</si>
  <si>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Klub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</si>
  <si>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</si>
  <si>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</si>
  <si>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</si>
  <si>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</si>
  <si>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Női Teke Klub támogatása</t>
  </si>
  <si>
    <t xml:space="preserve"> - ZTE Női Kosárlabda Klub támogatása</t>
  </si>
  <si>
    <t xml:space="preserve"> - Göcsej Sportklub támogatása</t>
  </si>
  <si>
    <t xml:space="preserve"> - Zalaegerszegi Vívó Egylet támogatása</t>
  </si>
  <si>
    <t xml:space="preserve"> - Zalaegerszegi Kerékpáros SE támogatása</t>
  </si>
  <si>
    <t xml:space="preserve"> -  Ocean's Seven sorozat támogatása (ZKSE)</t>
  </si>
  <si>
    <t xml:space="preserve"> - Csuti SK támogatása</t>
  </si>
  <si>
    <t xml:space="preserve"> - Keleti harcművészeti egyesület támogatása</t>
  </si>
  <si>
    <t xml:space="preserve"> - Sportcsarnok és környéke igénybevétel miatti kiadás</t>
  </si>
  <si>
    <t>1./1.</t>
  </si>
  <si>
    <t xml:space="preserve">              Óvodák </t>
  </si>
  <si>
    <t>1./1/1</t>
  </si>
  <si>
    <t>1./1/2</t>
  </si>
  <si>
    <t>1./1/3</t>
  </si>
  <si>
    <t xml:space="preserve">Kosztolányi téri óvoda régi épület mosdó felújítás </t>
  </si>
  <si>
    <t>Kis utcai Székhelyóvoda vizesblokk felújítási munkái II. ütem</t>
  </si>
  <si>
    <t>1./1/4</t>
  </si>
  <si>
    <t xml:space="preserve">Petőfi úti Tagóvoda felújítása </t>
  </si>
  <si>
    <t>1./1/5</t>
  </si>
  <si>
    <t>Szent László utcai Tagóvoda nyílászáró csere</t>
  </si>
  <si>
    <t>1./2/1</t>
  </si>
  <si>
    <t>Dózsa Gy. Tagiskola Informatikai fejlesztés, új számítógépek vásárlása</t>
  </si>
  <si>
    <t>1./2/2</t>
  </si>
  <si>
    <t>Izsák I. Általános iskola beruházás, fejlesztés</t>
  </si>
  <si>
    <t>1./2/3</t>
  </si>
  <si>
    <t>Általános iskolák felújítása</t>
  </si>
  <si>
    <t>1./2/4</t>
  </si>
  <si>
    <t>Liszt Iskola felújítás támogatás</t>
  </si>
  <si>
    <t>1./2/5</t>
  </si>
  <si>
    <t>Öveges Iskola  konyha és az iskola épület (Északi) zárt folyosóval való összekötése</t>
  </si>
  <si>
    <t>1./2/6</t>
  </si>
  <si>
    <t>Ady Iskolában felújítás</t>
  </si>
  <si>
    <t>1./2/7</t>
  </si>
  <si>
    <t>Petőfi Iskolában felújítás</t>
  </si>
  <si>
    <t>1./2/8</t>
  </si>
  <si>
    <t>Mindszenty Iskola felújítás, támogatás</t>
  </si>
  <si>
    <t>1./3.</t>
  </si>
  <si>
    <t>1./3./1</t>
  </si>
  <si>
    <t>1./3./2</t>
  </si>
  <si>
    <t>Városi Középiskolai Kollégium felújítás</t>
  </si>
  <si>
    <t>Dísz téri köztéri műalkotás</t>
  </si>
  <si>
    <t xml:space="preserve">                 Egészségügyi és humánigazgatási feladatok</t>
  </si>
  <si>
    <t>3./1./1</t>
  </si>
  <si>
    <t>3./1./2</t>
  </si>
  <si>
    <t>Andráshida gyerekorvosi rendelő felújítása</t>
  </si>
  <si>
    <t xml:space="preserve">              Sportfeladatok</t>
  </si>
  <si>
    <t xml:space="preserve">Ovifoci pályázattal megvalósuló műfüves pályák előkészítési munkái  és építési munkái OVI-FOCI Aapítvány közreműködésével Kosztolányi téri és Csillagközi óvodákban </t>
  </si>
  <si>
    <t>Módosítás
döntési
hatáskör
szerint *</t>
  </si>
  <si>
    <t>kgy</t>
  </si>
  <si>
    <t>2./4.</t>
  </si>
  <si>
    <t>Magasbük településrész ivóvízellátás</t>
  </si>
  <si>
    <t>Szőlőhegyi u. ivóvízhálózat problémák megoldása</t>
  </si>
  <si>
    <t>1./4.</t>
  </si>
  <si>
    <t>Önk-i tulajdonú lakások iparosítoo technológiájú felújításához pe. átadás LÉSZ Kft.részére (Lakásalapból)</t>
  </si>
  <si>
    <t>013350 Önkormányzati vagyonnal való gazdálkodással kapcsolatos feladatok</t>
  </si>
  <si>
    <t xml:space="preserve"> - intézményi pályázatokhoz megelőlegeztt pénzeszköz</t>
  </si>
  <si>
    <t xml:space="preserve"> - kárpátaljai magyarok támogatása Megyei Jogú Város Szövetsége  közreműködésével</t>
  </si>
  <si>
    <t xml:space="preserve"> - szállodafejlesztés előkészítése</t>
  </si>
  <si>
    <t>Ispita Alapítvány támogatása  Genetikai laboratóriumi eszköz beszerzéséhez</t>
  </si>
  <si>
    <t xml:space="preserve"> -TÁMOP 4.2.1.C-14/1/Konv-2015-0006 projekthez kapcsolódó elszámolások </t>
  </si>
  <si>
    <t>Egyéb vizíközmű fejlesztéssel kapcsolatos feladatok</t>
  </si>
  <si>
    <t>Nefelejcs-Kabók u. szennyvízelvezetés</t>
  </si>
  <si>
    <t>2./5.</t>
  </si>
  <si>
    <t>4./51.</t>
  </si>
  <si>
    <t>Pipahegyi út magánerős útépítés</t>
  </si>
  <si>
    <t>104051 Gyermekvédelmi pénzbeli és természetbeni ellátások</t>
  </si>
  <si>
    <t xml:space="preserve"> - óvodáztatási támogatás</t>
  </si>
  <si>
    <t xml:space="preserve">   - Vízmű kutak 10*10 m-es környezetének a rét művelési ágból történő kivonása</t>
  </si>
  <si>
    <t xml:space="preserve">  - figyelő kutakra vonatkozó vízjogi üzemeltetési engedélykérelem benyújtása</t>
  </si>
  <si>
    <t>Liszt F.Tagiskola szennyvíz- és csapadékcsatorna felújítása</t>
  </si>
  <si>
    <t>5./2.</t>
  </si>
  <si>
    <t xml:space="preserve"> Mindszenty emlékkert kialakításához pénzeszköz átadás a Jézus Szíve Ferences Plébánia részére</t>
  </si>
  <si>
    <t>5./19.</t>
  </si>
  <si>
    <t>Becsali úti kereszt gyártása és elhelyezése</t>
  </si>
  <si>
    <t xml:space="preserve"> - fedett fürdő jegyár kompenzáció</t>
  </si>
  <si>
    <t>1./3./4</t>
  </si>
  <si>
    <t>Ady Endre Általános Iskola,Gimnázium épületének energetikai korszerűsítése KEOP-5.7.0 előkészítő munkák</t>
  </si>
  <si>
    <t>Kölcsey Ferenc Gimnázium és a Landorhegyi óvoda épületeinek energetikei korszerűsítése KEOP-5.7.0 előkészítő munkái</t>
  </si>
  <si>
    <t>4./49.</t>
  </si>
  <si>
    <t>Batsányi J.u.páratlan oldali járda felújítás és víztelenítés</t>
  </si>
  <si>
    <t>4./50.</t>
  </si>
  <si>
    <t>Lőrinc barát u.parkoló burkolat felújítása</t>
  </si>
  <si>
    <t xml:space="preserve"> -új köztemető ivóvízrendszerének hibaelhárítása</t>
  </si>
  <si>
    <t>"Fiatalok" című köztéri alkotás megvalósítása</t>
  </si>
  <si>
    <t>6.a/12.</t>
  </si>
  <si>
    <t>Zsinagóga önálló fűtési rendszer kialakítása</t>
  </si>
  <si>
    <t>4./47.</t>
  </si>
  <si>
    <t>Köztársaság úti kerékpárút burkolat felújítása</t>
  </si>
  <si>
    <t>5./18.</t>
  </si>
  <si>
    <t>Göcseji úti Standfürdő területére játszótéri eszközök beszerzése, telepítése</t>
  </si>
  <si>
    <t>4./48.</t>
  </si>
  <si>
    <t>Juhász Gyula utca csomópont aszfaltozása</t>
  </si>
  <si>
    <t>1.2./10.</t>
  </si>
  <si>
    <t>082061 Múzeumi gyűjteményi tevékenység</t>
  </si>
  <si>
    <t xml:space="preserve"> - múzeumok szakmai támogatása</t>
  </si>
  <si>
    <t>Balesetveszélyes Landorhegyi óvodamennyezet felújítása</t>
  </si>
  <si>
    <t>1./1/8</t>
  </si>
  <si>
    <t>1./3./3</t>
  </si>
  <si>
    <t>Termálmedence csempeburkolat javítása</t>
  </si>
  <si>
    <t>2014. évről áthúzódó feladatok</t>
  </si>
  <si>
    <t>6.a/1</t>
  </si>
  <si>
    <t>6.a/2</t>
  </si>
  <si>
    <t>6.a/3</t>
  </si>
  <si>
    <t>6.a/4</t>
  </si>
  <si>
    <t>Páterdombi sportfejlesztési feladatok</t>
  </si>
  <si>
    <t>6.a/5</t>
  </si>
  <si>
    <t>6.a/6</t>
  </si>
  <si>
    <t>6.a/7</t>
  </si>
  <si>
    <t>6.a/8</t>
  </si>
  <si>
    <t>6.a/9</t>
  </si>
  <si>
    <t>6.a/10</t>
  </si>
  <si>
    <t>6.a/11</t>
  </si>
  <si>
    <t>Landorhegyi u. 8.szám alatti gyermekorvosi rendelő felújítás</t>
  </si>
  <si>
    <t xml:space="preserve"> - főépítészi feladatok</t>
  </si>
  <si>
    <t xml:space="preserve"> - Tervtanács  működtetése</t>
  </si>
  <si>
    <t xml:space="preserve"> - tanulmánytervek készítése,tervpályázati eljárások</t>
  </si>
  <si>
    <t xml:space="preserve"> - belterületbe vonással kapcsolatos működési kiadások</t>
  </si>
  <si>
    <t>Főépítészi feladatok működési kiadásai</t>
  </si>
  <si>
    <t>ZTE Stadion pályavilágításához kapcsolódó kapacitásbővítés költsége és trafó áthelyezés</t>
  </si>
  <si>
    <t xml:space="preserve"> ITP projektek engedélyes terv készítésével kapcsolatos kiadások</t>
  </si>
  <si>
    <t>Labdarúgó stadion fejlesztési munkái</t>
  </si>
  <si>
    <t>Főépítészi feladatok összesen:</t>
  </si>
  <si>
    <t>Városüzemelési  feladatok: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</si>
  <si>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</si>
  <si>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</si>
  <si>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</si>
  <si>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</si>
  <si>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</si>
  <si>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</si>
  <si>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Zöldterületi Stratégia feladatai</t>
  </si>
  <si>
    <t xml:space="preserve"> - önkormányzati utak szakági nyilvántartása</t>
  </si>
  <si>
    <t xml:space="preserve"> - lépcsők,sétányok, támfalak, korlátok javítása</t>
  </si>
  <si>
    <t xml:space="preserve"> - Első Egerszegi Hitel Zrt.törzstőke kivonása és értékesítés bevétele</t>
  </si>
  <si>
    <t xml:space="preserve"> -Ivóvízminőség javítása KEOP pályázat(KEOP-1.3.0/09-11-2013-0013 )</t>
  </si>
  <si>
    <t xml:space="preserve"> -Ivóvízminőség javítása KEOP pályázat (KEOP-1.3.0/09-11-2013-0013 ) állami hozzájárulás</t>
  </si>
  <si>
    <t xml:space="preserve"> -Ivóvízminőség javítása KEOP pályázat (KEOP-1.3.0/09-11-2013-0013 )</t>
  </si>
  <si>
    <t xml:space="preserve"> -Ivóvízminőség javítása KEOP pályázat (KEOP-1.3.0/09-11-2013-0013 ) -állami hozzájárulás</t>
  </si>
  <si>
    <t xml:space="preserve"> - települési vízellátás</t>
  </si>
  <si>
    <t>Kosztolányi téri óvoda felújítása és eszközbeszerzés</t>
  </si>
  <si>
    <t xml:space="preserve">Kosztolányi téri óvoda felújítása és eszközbeszerzés </t>
  </si>
  <si>
    <t xml:space="preserve"> - csapadékvízelvezető és árvízvédelmi létesítménnyek tisztítása-diagnosztika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</si>
  <si>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</si>
  <si>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</si>
  <si>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</si>
  <si>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t xml:space="preserve"> - vízbázisok védőövezeteinek ingatlannyilvántartásba történő bejegyzése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</si>
  <si>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</si>
  <si>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</si>
  <si>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</si>
  <si>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Kontakt Kft. köztéri szobrok tisztítása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</si>
  <si>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</si>
  <si>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</si>
  <si>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</si>
  <si>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Ökováros  egyéb kiadások</t>
  </si>
  <si>
    <t>066010 Zöldterület-kezelés</t>
  </si>
  <si>
    <t xml:space="preserve"> - közterületek, önk-i ingatlanok zöldfelület gazdálkodása</t>
  </si>
  <si>
    <t xml:space="preserve"> - ZG 3 termálkút üzemeltetése</t>
  </si>
  <si>
    <t xml:space="preserve"> - Aquaparkba kisértékű eszközök beszerzése</t>
  </si>
  <si>
    <t xml:space="preserve"> - védett síremlékek rendbetétele</t>
  </si>
  <si>
    <t xml:space="preserve"> - villamosenergia vásárlás</t>
  </si>
  <si>
    <t xml:space="preserve"> - ünnepi díszkivilágítás szerelés és bővítés</t>
  </si>
  <si>
    <t xml:space="preserve"> - közvilágítási hálózat karbantartása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</si>
  <si>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</si>
  <si>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</si>
  <si>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</si>
  <si>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</si>
  <si>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</si>
  <si>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Csapadékvízelvezetéssel, vízrendezésekkel kapcsolatos tervezési díjak</t>
  </si>
  <si>
    <t>Pintér M. u. - Lőrincz b. u. és Püspöki G. u. közötti szakaszának csapadékvízelvezetése</t>
  </si>
  <si>
    <t>Domb alja u. szennyvízelvezetés és úthelyreállítás I.ütem</t>
  </si>
  <si>
    <t>A Centrum tér és az Ady mozi melletti terület csapadékvízelvezetése</t>
  </si>
  <si>
    <t>Avas árok és a Bíró M. utcai vasúti áteresz felújítása</t>
  </si>
  <si>
    <t>Vagyonkezelésre a Zalavíznek nem átadott szennyvízcsatornák felújítása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</si>
  <si>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</si>
  <si>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</si>
  <si>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</si>
  <si>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</si>
  <si>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Berzsenyi-Stadion utcai tömbbelsőben és környékén járda felújítás és zöldfelület rendezés</t>
  </si>
  <si>
    <t>Magánerős szennyvízcsatorna bekötések</t>
  </si>
  <si>
    <t>Ivóvíz beruházások</t>
  </si>
  <si>
    <t>Információs táblák pótlása, kihelyezése</t>
  </si>
  <si>
    <t>9./5</t>
  </si>
  <si>
    <t>9./6</t>
  </si>
  <si>
    <t>I. Helyi önkormányzatok működésének általános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</si>
  <si>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</si>
  <si>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</si>
  <si>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1./8</t>
  </si>
  <si>
    <t>Göcseji úti temető ravatalozó épület felújítása</t>
  </si>
  <si>
    <t>Tervez.alapegység</t>
  </si>
  <si>
    <t>1./6</t>
  </si>
  <si>
    <t>1./7</t>
  </si>
  <si>
    <t>III. Települési önkormányzatok szociális és gyermekjóléti feladatainak támogatása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</si>
  <si>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</si>
  <si>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</si>
  <si>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</si>
  <si>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</si>
  <si>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</si>
  <si>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</si>
  <si>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</si>
  <si>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</si>
  <si>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>Egyéb finanszírozási kiadás</t>
  </si>
  <si>
    <t>Beruházási kiadások:</t>
  </si>
  <si>
    <t>1.) Működési célú támogatások államháztartáson belülről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</si>
  <si>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</si>
  <si>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</si>
  <si>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</si>
  <si>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</si>
  <si>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 xml:space="preserve"> - Botfai Hűvös kastély működési támogatása Notre Dame Női Kanonok- és Tanítórend részére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</si>
  <si>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</si>
  <si>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</si>
  <si>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</si>
  <si>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</si>
  <si>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</si>
  <si>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</si>
  <si>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</si>
  <si>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</si>
  <si>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</si>
  <si>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</si>
  <si>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</si>
  <si>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</si>
  <si>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</si>
  <si>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</si>
  <si>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</si>
  <si>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</si>
  <si>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</si>
  <si>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</si>
  <si>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</si>
  <si>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</si>
  <si>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</si>
  <si>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</si>
  <si>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</si>
  <si>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</si>
  <si>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</si>
  <si>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</si>
  <si>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</si>
  <si>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</si>
  <si>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</si>
  <si>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</si>
  <si>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</si>
  <si>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</si>
  <si>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</si>
  <si>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</si>
  <si>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</si>
  <si>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</si>
  <si>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</si>
  <si>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 xml:space="preserve"> - ifjúsági rendezvények</t>
  </si>
  <si>
    <t>Működési költségvetés összesen:</t>
  </si>
  <si>
    <t>Beruházások</t>
  </si>
  <si>
    <t>Felújítások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</si>
  <si>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</si>
  <si>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</si>
  <si>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</si>
  <si>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</si>
  <si>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</si>
  <si>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</si>
  <si>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</si>
  <si>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</si>
  <si>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</si>
  <si>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</si>
  <si>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</si>
  <si>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045120 Út, autópálya építése</t>
  </si>
  <si>
    <t>066020 Város-, községgazdálkodási egyéb szolgáltatás</t>
  </si>
  <si>
    <t>013350 Önk-i vagyonnal való gazdálkodáshoz kapcs.fa.</t>
  </si>
  <si>
    <t xml:space="preserve"> - Zalaegerszegi Szociális és Gyermekjóléti Alapszolgáltatási Társulás működési hozzájárulás</t>
  </si>
  <si>
    <t>Telekalja u.csapadékvíz elvezetés</t>
  </si>
  <si>
    <t xml:space="preserve"> - hatósági ügyintézés</t>
  </si>
  <si>
    <t xml:space="preserve"> - Nemzedékek kézfogása</t>
  </si>
  <si>
    <t>105010 Munkanélküli aktív korúak ellátásai</t>
  </si>
  <si>
    <t xml:space="preserve"> - rendszeres szociális segély</t>
  </si>
  <si>
    <t xml:space="preserve"> - foglalkoztatást helyettesítő támogatás</t>
  </si>
  <si>
    <t xml:space="preserve"> - belterületi fás szárú növények fenntartási munkái</t>
  </si>
  <si>
    <t>042180 Állat-egészségügy</t>
  </si>
  <si>
    <t>011320 Nemzetközi szervezetekben való részvétel</t>
  </si>
  <si>
    <t xml:space="preserve"> - Nemzetközi kapcsolatokra</t>
  </si>
  <si>
    <t>013350 Önk-i vagyonnal való gazdálkodáshoz kapcs. fa.</t>
  </si>
  <si>
    <t xml:space="preserve">018030 Támogatás célú finanszírozási műveletek </t>
  </si>
  <si>
    <t>O66010 Zöldterület  kezelés</t>
  </si>
  <si>
    <t>O66010 Zöldterület kezelés</t>
  </si>
  <si>
    <t xml:space="preserve"> - csapadékvízelvezető és árvízvédelmi létesítmények tisztítása-diagnosztika</t>
  </si>
  <si>
    <t xml:space="preserve"> - Gébártra szemetesedények beszerzéséhez pe. átadás Horgászegyesületek Z.M. szövetsége részére</t>
  </si>
  <si>
    <t>018010 Önkormányzatok elszámolásai a központi költségvetéssel</t>
  </si>
  <si>
    <t>1./11</t>
  </si>
  <si>
    <t>Sportcentrumban felépülő 111 x 72 m méretű műfüves labdarúgó pálya építés pályázati önerő és egyéb feladatok</t>
  </si>
  <si>
    <t>9./8</t>
  </si>
  <si>
    <t>9./9</t>
  </si>
  <si>
    <t>Duális képzőközpont kialakítása</t>
  </si>
  <si>
    <t>9./7</t>
  </si>
  <si>
    <t xml:space="preserve"> - Szennyvíztársulástól átvett víziközmű vagyon felújításához pénzeszköz átvétel a Szennyvíztársulástól</t>
  </si>
  <si>
    <t>Cím    szám</t>
  </si>
  <si>
    <t>Igazga-tási dolgozó</t>
  </si>
  <si>
    <t>Orvos</t>
  </si>
  <si>
    <t>Óvoda pedagó-gus</t>
  </si>
  <si>
    <t>Népmű-velő, könyv-táros</t>
  </si>
  <si>
    <t>Egyéb szakal-kal- mazott</t>
  </si>
  <si>
    <t>Fizikai dolgozó</t>
  </si>
  <si>
    <t>Változás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</si>
  <si>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</si>
  <si>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</si>
  <si>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</si>
  <si>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</si>
  <si>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>10.</t>
  </si>
  <si>
    <t>Zalaegerszegi Városrészek  Művelődési Központja és Könyvtára</t>
  </si>
  <si>
    <t>11.</t>
  </si>
  <si>
    <t>Keresztury Dezső Városi Művelődési Központ</t>
  </si>
  <si>
    <t>12.</t>
  </si>
  <si>
    <t>13.</t>
  </si>
  <si>
    <t>14.</t>
  </si>
  <si>
    <t>15.</t>
  </si>
  <si>
    <t xml:space="preserve">Hevesi Sándor Színház </t>
  </si>
  <si>
    <t>16.</t>
  </si>
  <si>
    <t>17.</t>
  </si>
  <si>
    <t>18.</t>
  </si>
  <si>
    <t>Költségvetési szervek összesen:</t>
  </si>
  <si>
    <t>Mindösszesen:</t>
  </si>
  <si>
    <t xml:space="preserve"> - ápolási díj méltányossági alapon</t>
  </si>
  <si>
    <t>1./10</t>
  </si>
  <si>
    <t>011130 Önkorm. és önkorm. hivatal. jogalk. és ált.ig.tev.</t>
  </si>
  <si>
    <t>098010 Oktatás igazgatása</t>
  </si>
  <si>
    <t>082091 Közművelődés - közösségi és társ. részvétel fejleszt.</t>
  </si>
  <si>
    <t>Önkormányzat összesen költségvetési szervek nélkül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</si>
  <si>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</si>
  <si>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</si>
  <si>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</si>
  <si>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>Szociális és igazgatási fa. kiadásai összesen:</t>
  </si>
  <si>
    <t>Humánigazgatási feladatok működési kiadásai:</t>
  </si>
  <si>
    <t>Jogi és igazgatási feladatok:</t>
  </si>
  <si>
    <t>Természettudományos oktatás eszközrendszerének és módszertanának fejlesztése a Kölcsey F. Gimnáziumban TÁMOP 3.1.3.-11/2-2012-0023</t>
  </si>
  <si>
    <t>1.a/5</t>
  </si>
  <si>
    <t>1.a/6</t>
  </si>
  <si>
    <t xml:space="preserve">Bekeháza temető környezetének rendezése, temetőt megközelítő út kialakítása </t>
  </si>
  <si>
    <t>Fenyő utca útépítés, közműfejlesztés, bővítés</t>
  </si>
  <si>
    <t>Pályázati műszaki előkészítés</t>
  </si>
  <si>
    <t xml:space="preserve"> - Labdarúgó Stadion fejlesztéséhez költségvetési támogatás és áfa visszaigénylés</t>
  </si>
  <si>
    <t xml:space="preserve"> - új közrendvédelmi rendelettel kapcsolatos kiadások</t>
  </si>
  <si>
    <t>Sportcsarnok belső felújításához pénzeszköz átadás az Egerszeg Sport és Turizmus Kft.részére</t>
  </si>
  <si>
    <t>10./2.</t>
  </si>
  <si>
    <t>4. Helyi közösségi közlekedés támogatása</t>
  </si>
  <si>
    <t>5.. Múzeumok szakmai támogatása</t>
  </si>
  <si>
    <t>7.Szociális ágazatban dolgozók kiegészítő pótléka</t>
  </si>
  <si>
    <t xml:space="preserve">8. Óvodáztatási támogatás </t>
  </si>
  <si>
    <t>Önkormányzati Fejlesztési Iroda kialakítása</t>
  </si>
  <si>
    <t>9./10</t>
  </si>
  <si>
    <t>Szállodafejlesztés előkészítése</t>
  </si>
  <si>
    <t>4./45.</t>
  </si>
  <si>
    <t>4./46.</t>
  </si>
  <si>
    <t>Főiskola területén útfelújítások</t>
  </si>
  <si>
    <t xml:space="preserve">6./6. </t>
  </si>
  <si>
    <t>Volt MMIK tervezési feladatok</t>
  </si>
  <si>
    <t>Temetői fejlesztések, felújítások</t>
  </si>
  <si>
    <t>2./3</t>
  </si>
  <si>
    <t>Art mozi fűtéskorszerűsítés, külső ajtók felújítása</t>
  </si>
  <si>
    <t>6./7.</t>
  </si>
  <si>
    <t>Új uszoda tervezés</t>
  </si>
  <si>
    <t>6. Szociális ágazati pótlék</t>
  </si>
  <si>
    <t>1. i) könyvtári érdekeltségnövelő támogatás</t>
  </si>
  <si>
    <t>100 %-os támogatottságú pályázatok előkészítésének költségei</t>
  </si>
  <si>
    <t>Városrehabilitáció II. ütem folytatása Lakásalapból</t>
  </si>
  <si>
    <t>Önkormányzat összesen költségetési szervek nélkül</t>
  </si>
  <si>
    <t>Vízelvezetési problémák megoldása Botfán</t>
  </si>
  <si>
    <t>Vízelvezetési problémák megoldása Zalabesenyőben</t>
  </si>
  <si>
    <t>Kovács K. tér buszmegálló járdaburkolat felújítás</t>
  </si>
  <si>
    <t>1.a./1</t>
  </si>
  <si>
    <t>1.a./2</t>
  </si>
  <si>
    <t>1.a./3</t>
  </si>
  <si>
    <t>Városüzemelési kiadások összesen:</t>
  </si>
  <si>
    <t>Városépítészet összesen:</t>
  </si>
  <si>
    <t>Vagyonkezelési feladatok összesen:</t>
  </si>
  <si>
    <t>Jogi és igazgatási feladatok összesen:</t>
  </si>
  <si>
    <t>Céltartalék</t>
  </si>
  <si>
    <t>Tartalék összesen:</t>
  </si>
  <si>
    <t>Önkormányzat összesen:</t>
  </si>
  <si>
    <t>*</t>
  </si>
  <si>
    <t>Jogi és közig. feladatok</t>
  </si>
  <si>
    <t>Városépítészeti feladatok</t>
  </si>
  <si>
    <t>Dologi kiadások</t>
  </si>
  <si>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</si>
  <si>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</si>
  <si>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</si>
  <si>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</si>
  <si>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 xml:space="preserve"> Buslakpusztai bezárt szilárd hulladéklerakó okozta szennyezés lokalizációja  pályázati támogatással KEOP-2.4.0/B/2F/10-11-2012-0005</t>
  </si>
  <si>
    <t>Értékesítési és forgalmi adók (iparűzési adó, idegenforgalmi adó)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</si>
  <si>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</si>
  <si>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</si>
  <si>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</si>
  <si>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</si>
  <si>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</si>
  <si>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</si>
  <si>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</si>
  <si>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</si>
  <si>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</si>
  <si>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</si>
  <si>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</si>
  <si>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</si>
  <si>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</si>
  <si>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Belvárosrehabilitáció II.ütemének előkészítő munkái</t>
  </si>
  <si>
    <t>9.a/2</t>
  </si>
  <si>
    <t>Építési telek kialakítása, közművesítése (Flórián u. , Andráshida ) Lakásalap</t>
  </si>
  <si>
    <t>Elővásárlási jog gyakorlásával történő lakóingatlan vásárlása (Lakásalap)</t>
  </si>
  <si>
    <t>1.a/1</t>
  </si>
  <si>
    <t>Deák Ferenc Megyei és Városi Könyvtár</t>
  </si>
  <si>
    <t>Göcseji Múzeum</t>
  </si>
  <si>
    <t xml:space="preserve"> - Városfejlesztő Zrt.részvényeinek megvásárlása </t>
  </si>
  <si>
    <t>2./4</t>
  </si>
  <si>
    <t>Adventi megújulás felhalmozási célú pe.átadás a Kvártélyház Kft. részére</t>
  </si>
  <si>
    <t>Részesedések értékesítése</t>
  </si>
  <si>
    <t xml:space="preserve"> - "Pannon -Tudás-Park" TÁMOP 4.2.1.C-14/1/Konv-2015-0006 projekt támogatás</t>
  </si>
  <si>
    <t>Városi Sportlétesítmények Gondnoksága</t>
  </si>
  <si>
    <t>Griff Bábszínház</t>
  </si>
  <si>
    <t>6./4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</si>
  <si>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</si>
  <si>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</si>
  <si>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</si>
  <si>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</si>
  <si>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</si>
  <si>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</si>
  <si>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</si>
  <si>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</si>
  <si>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</si>
  <si>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MŰKÖDÉSI CÉLÚ BEVÉTELEK ÖSSZ:                      </t>
  </si>
  <si>
    <t>II. Felhalmozási célú bevételek</t>
  </si>
  <si>
    <t>2.) Beruházás</t>
  </si>
  <si>
    <t>3.) Felújítás</t>
  </si>
  <si>
    <t>4.) Céltartalék</t>
  </si>
  <si>
    <t>3./2./3</t>
  </si>
  <si>
    <t>3./2./4</t>
  </si>
  <si>
    <t>Cseperedő bölcsődében felújítások</t>
  </si>
  <si>
    <t>3./1./4</t>
  </si>
  <si>
    <t xml:space="preserve">             Kulturális és ifjúsági feladatok</t>
  </si>
  <si>
    <t xml:space="preserve">                                               </t>
  </si>
  <si>
    <t xml:space="preserve">     Költségvetési felhalm. bevételei összesen:</t>
  </si>
  <si>
    <t xml:space="preserve">      Költségvetési felh.célú kiadásai összesen:</t>
  </si>
  <si>
    <t>Hevesi Sándor Színház</t>
  </si>
  <si>
    <t>FELHALMOZÁSI CÉLÚ BEVÉTELEK  ÖSSZESEN:</t>
  </si>
  <si>
    <t>FELHALMOZÁSI CÉLÚ KIADÁSOK ÖSSZESEN:</t>
  </si>
  <si>
    <t>BEVÉTELEK</t>
  </si>
  <si>
    <t>Tartalékok</t>
  </si>
  <si>
    <t>1.a/2</t>
  </si>
  <si>
    <t>1.a/3</t>
  </si>
  <si>
    <t>1.a/4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</si>
  <si>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</si>
  <si>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</si>
  <si>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</si>
  <si>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</si>
  <si>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</si>
  <si>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</si>
  <si>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</si>
  <si>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</si>
  <si>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6.b/1</t>
  </si>
  <si>
    <t>6.b/2</t>
  </si>
  <si>
    <t>6.b/3</t>
  </si>
  <si>
    <t>6.b/4</t>
  </si>
  <si>
    <t>6.b/5</t>
  </si>
  <si>
    <t>6.b/6</t>
  </si>
  <si>
    <t>Hulladékgazdálkodás</t>
  </si>
  <si>
    <t>9.a/1</t>
  </si>
  <si>
    <t>Önkormányzat tulajdonában lévő lakóépületek (lakások)  teljes vagy részleges  felújítása, korszerűsítése  (Lakásalap)</t>
  </si>
  <si>
    <t xml:space="preserve"> - iparűzési adó</t>
  </si>
  <si>
    <t xml:space="preserve"> - helyiséggazdálkodás kiadásai</t>
  </si>
  <si>
    <t>Társasház felújításához pénzeszköz átadás Kossuth L.u. 32. sz.társasház részére</t>
  </si>
  <si>
    <t xml:space="preserve"> - Szociális városrehabilitáció Zalaegerszegen NYDOP-3.1.1/B2-13-k2-2013-0001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</si>
  <si>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</si>
  <si>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</si>
  <si>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</si>
  <si>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</si>
  <si>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</si>
  <si>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</si>
  <si>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</si>
  <si>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Hitel-, kölcsönfelvétel áht-n kívülről</t>
  </si>
  <si>
    <t>4./25</t>
  </si>
  <si>
    <t xml:space="preserve"> Petőfi Iskolában vizesblokk felújítás II. üteme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</si>
  <si>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</si>
  <si>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</si>
  <si>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</si>
  <si>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</si>
  <si>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</si>
  <si>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</si>
  <si>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</si>
  <si>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</si>
  <si>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</si>
  <si>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</si>
  <si>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</si>
  <si>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</si>
  <si>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</si>
  <si>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</si>
  <si>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</si>
  <si>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</si>
  <si>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Belvárosi zöldfelület és játszótér felújítások</t>
  </si>
  <si>
    <t>Költségvetési szervek felújítási kerete (Vis maior)</t>
  </si>
  <si>
    <t>1.) Költségvetési szervek kiadásai</t>
  </si>
  <si>
    <t>"Pannon -Tudás-Park" TÁMOP 4.2.1.C-14/1/Konv-2015-0006 projekt támogatás</t>
  </si>
  <si>
    <t>Rádió frekvencia vásárlására pe. átadás a Zalaegerszegi Televízió Kft. részére</t>
  </si>
  <si>
    <t xml:space="preserve"> - Flórián u.19. melletti önkormányzati területek rendbetétele</t>
  </si>
  <si>
    <t xml:space="preserve"> - "Pannon -Tudás-Park" TÁMOP 4.2.1.C-14/1/Konv-2015-0006 projekt</t>
  </si>
  <si>
    <t>B34</t>
  </si>
  <si>
    <t xml:space="preserve"> - gondozási díj</t>
  </si>
  <si>
    <t xml:space="preserve"> - adósságkezelési lakásfenntartási támogatás</t>
  </si>
  <si>
    <t xml:space="preserve"> - adósságkezelési szolgáltatás</t>
  </si>
  <si>
    <t xml:space="preserve"> - méltányossági közgyógyellátás</t>
  </si>
  <si>
    <t xml:space="preserve"> - egyéb szociális feladat</t>
  </si>
  <si>
    <t xml:space="preserve"> - Városi Fedett uszoda műk.  támogatása</t>
  </si>
  <si>
    <t xml:space="preserve">6./5. </t>
  </si>
  <si>
    <t>Fotovoltaikus rendszer kialakítása a Polgármesteri Hivatalban</t>
  </si>
  <si>
    <t>Elektromos töltőhely burkolat építés</t>
  </si>
  <si>
    <t>2.) Önkormányzat szakosztályainak  kiadásai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</si>
  <si>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</si>
  <si>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</si>
  <si>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</si>
  <si>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</si>
  <si>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</si>
  <si>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</si>
  <si>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</si>
  <si>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Városüzemelési feladatok összesen:</t>
  </si>
  <si>
    <t>Kiadások összesen</t>
  </si>
  <si>
    <t>Építéshatósági feladatok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</si>
  <si>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</si>
  <si>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</si>
  <si>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</si>
  <si>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</si>
  <si>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</si>
  <si>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</si>
  <si>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</si>
  <si>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</si>
  <si>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</si>
  <si>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</si>
  <si>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</si>
  <si>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</si>
  <si>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</si>
  <si>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</si>
  <si>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</si>
  <si>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</si>
  <si>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</si>
  <si>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</si>
  <si>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</si>
  <si>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</si>
  <si>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</si>
  <si>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</si>
  <si>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</si>
  <si>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</si>
  <si>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</si>
  <si>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</si>
  <si>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</si>
  <si>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</si>
  <si>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</si>
  <si>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</si>
  <si>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</si>
  <si>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</si>
  <si>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</si>
  <si>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</si>
  <si>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</si>
  <si>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</si>
  <si>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</si>
  <si>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</si>
  <si>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</si>
  <si>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</si>
  <si>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</si>
  <si>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</si>
  <si>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</si>
  <si>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</si>
  <si>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</si>
  <si>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</si>
  <si>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pm</t>
  </si>
  <si>
    <t>Belvárosi zöldfelület és játszótér eszközbeszerzés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</si>
  <si>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</si>
  <si>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</si>
  <si>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</si>
  <si>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</si>
  <si>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</si>
  <si>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</si>
  <si>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</si>
  <si>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</si>
  <si>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</si>
  <si>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</si>
  <si>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</si>
  <si>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</si>
  <si>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</si>
  <si>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</si>
  <si>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</si>
  <si>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</si>
  <si>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</si>
  <si>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</si>
  <si>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</si>
  <si>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</si>
  <si>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</si>
  <si>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</si>
  <si>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</si>
  <si>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</si>
  <si>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</si>
  <si>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</si>
  <si>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</si>
  <si>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</si>
  <si>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</si>
  <si>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</si>
  <si>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</si>
  <si>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</si>
  <si>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</si>
  <si>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</si>
  <si>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</si>
  <si>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Belvárosi járdák felújítása</t>
  </si>
  <si>
    <t>6.) Hitel felvétel</t>
  </si>
  <si>
    <t>Helyi építészeti értékek védelme</t>
  </si>
  <si>
    <t>Felhalmozási célú céltartalék</t>
  </si>
  <si>
    <t xml:space="preserve"> - Fotovoltaikus rendszer kialakítása a Polgármesteri Hivatalban KEOP-4.10.0/N/14-2014-0118</t>
  </si>
  <si>
    <t>Fotovoltaikus rendszer kialakítása a Polgármesteri Hivatalban KEOP-4.10.0/N/14-2014-0118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</si>
  <si>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</si>
  <si>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</si>
  <si>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"Ivóvízminőség javítása" KEOP pályázathoz Önerő alap támogatás átadása</t>
  </si>
  <si>
    <t>107060 Egyéb szociális pénzbeli ellátások, támogatások</t>
  </si>
  <si>
    <t xml:space="preserve"> - parkfenntartás</t>
  </si>
  <si>
    <t xml:space="preserve"> - helyi utak, hidak fenntartása</t>
  </si>
  <si>
    <t xml:space="preserve"> - ÁFA befizetés</t>
  </si>
  <si>
    <t xml:space="preserve"> - Településrészi Önkormányzatok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</si>
  <si>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</si>
  <si>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</si>
  <si>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</si>
  <si>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</si>
  <si>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</si>
  <si>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</si>
  <si>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</si>
  <si>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</si>
  <si>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</si>
  <si>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</si>
  <si>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</si>
  <si>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</si>
  <si>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</si>
  <si>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</si>
  <si>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</si>
  <si>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</si>
  <si>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</si>
  <si>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</si>
  <si>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</si>
  <si>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</si>
  <si>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</si>
  <si>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</si>
  <si>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</si>
  <si>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</si>
  <si>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</si>
  <si>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</si>
  <si>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</si>
  <si>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</si>
  <si>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1./1/6</t>
  </si>
  <si>
    <t>3./1./3</t>
  </si>
  <si>
    <t>2015. évi módosítás</t>
  </si>
  <si>
    <t>2015. évi  módosított előirányzat</t>
  </si>
  <si>
    <t>2015. évi eredeti előirányzat</t>
  </si>
  <si>
    <t>2015. évi módosított előirányzat</t>
  </si>
  <si>
    <t>Kamatmentes kölcsön az ideiglenesen nehéz helyzetbe került zeg-i polgárok számára (Lakásalapból)</t>
  </si>
  <si>
    <t>1./2.</t>
  </si>
  <si>
    <t xml:space="preserve">             Általános iskolák</t>
  </si>
  <si>
    <t xml:space="preserve">Nehézatlétikai pálya kialakítása Városi Sportcentrum területén </t>
  </si>
  <si>
    <t>5.a/1</t>
  </si>
  <si>
    <t>5.a/2</t>
  </si>
  <si>
    <t>5.a/3</t>
  </si>
  <si>
    <t>5.a/4</t>
  </si>
  <si>
    <t>5.a/5</t>
  </si>
  <si>
    <t>Vízelvezetési problémák megoldása Páterdombon</t>
  </si>
  <si>
    <t>Társasházi felúj.alap átadása LÉSZ Kft. részére (Széchenyi tér 4-6.)</t>
  </si>
  <si>
    <t xml:space="preserve"> - közterületi reklám bevétel</t>
  </si>
  <si>
    <t xml:space="preserve"> - közterületfelügyeleti bírság</t>
  </si>
  <si>
    <t xml:space="preserve"> - közterület használati díj </t>
  </si>
  <si>
    <t xml:space="preserve"> - közterületi reklám </t>
  </si>
  <si>
    <t>Kossuth L.u. 45.  felújítás</t>
  </si>
  <si>
    <t xml:space="preserve"> - fa értékesítés bevétele</t>
  </si>
  <si>
    <t xml:space="preserve"> - erdészeti szakirányítás</t>
  </si>
  <si>
    <t>1./9</t>
  </si>
  <si>
    <t>Önkormányzati tulajdonú ingatlanok szennyvízbekötései</t>
  </si>
  <si>
    <t>Zalaegerszeg szennyvíz-elvezetés és tisztítás fejlesztése</t>
  </si>
  <si>
    <t>Közvilágítás kiépítése ellátatlan területen</t>
  </si>
  <si>
    <t>3.a/1</t>
  </si>
  <si>
    <t>Tervek készítése, műszaki ellenőrzések és egyéb hatósági díjak</t>
  </si>
  <si>
    <t>Buszváró létesítése Kaszaházán</t>
  </si>
  <si>
    <t>Szent András park és játszótér fejlesztésének folytatása</t>
  </si>
  <si>
    <t>5./5</t>
  </si>
  <si>
    <t>5./6</t>
  </si>
  <si>
    <t>5./7</t>
  </si>
  <si>
    <t>5./8</t>
  </si>
  <si>
    <t>Idősek Otthona mögötti tömbbelső parkoló-zöldsáv megújítás</t>
  </si>
  <si>
    <t>5./9</t>
  </si>
  <si>
    <t>Sport feladatok</t>
  </si>
  <si>
    <t>081043 Iskolai, diáksport-tevékenység és támogatása</t>
  </si>
  <si>
    <t xml:space="preserve"> - alapfokú versenyek rendezése és  támogatása</t>
  </si>
  <si>
    <t>5./10</t>
  </si>
  <si>
    <t>5./11</t>
  </si>
  <si>
    <t>5./12</t>
  </si>
  <si>
    <t>5./13</t>
  </si>
  <si>
    <t>5./14</t>
  </si>
  <si>
    <t>Csillagközi óvoda udvar parkosítás, füvesítés</t>
  </si>
  <si>
    <t>5./15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</si>
  <si>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</si>
  <si>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</si>
  <si>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</si>
  <si>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</si>
  <si>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Bozsoki horhos partfal stabilizációk</t>
  </si>
  <si>
    <t>9.a/3</t>
  </si>
  <si>
    <t>063020 Víztermelés, -kezelés, -ellátás</t>
  </si>
  <si>
    <t>6.) Egyéb finanszírozási kiadás</t>
  </si>
  <si>
    <t>Parkolóépítés parkolómegváltás bevételéből</t>
  </si>
  <si>
    <t xml:space="preserve"> - egyéb ingatlanhasznosítás (nem lakás célú hely bérl. díj)</t>
  </si>
  <si>
    <t>Zárda u. - Alsójánkahegyi u. víztározó töltővezeték építés utáni helyreállítási munkálatok</t>
  </si>
  <si>
    <t>1.a/7</t>
  </si>
  <si>
    <t>Köztársaság út 92-102. sz társasház keleti oldalán lévő terület vízelvezetése</t>
  </si>
  <si>
    <t>1.a/8</t>
  </si>
  <si>
    <t>Szennyvíztársulástól átvett víziközművagyon fejlesztése és eseményvezérelt felújítások használati díj terhére, társulási elszámolás</t>
  </si>
  <si>
    <t>Szennyvíztársulástól átvett víziközmű vagyon fejlesztésére pénzeszköz átadás Szennyvzítársulás részére</t>
  </si>
  <si>
    <t xml:space="preserve">Ivóvíz </t>
  </si>
  <si>
    <t xml:space="preserve">Kápolnahegyi u. vízellátása </t>
  </si>
  <si>
    <t>2.a/1.</t>
  </si>
  <si>
    <t>KEOP vízvezeték építéshez pályázatban nem támogatott munkákra pe.átadás</t>
  </si>
  <si>
    <t>2.a/2.</t>
  </si>
  <si>
    <t xml:space="preserve">Közvilágítás és egyéb közmű 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</si>
  <si>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</si>
  <si>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</si>
  <si>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</si>
  <si>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</si>
  <si>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</si>
  <si>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</si>
  <si>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</si>
  <si>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 xml:space="preserve">Út, járda, parkoló </t>
  </si>
  <si>
    <t>Bozsoki u. buszváró áthelyezése</t>
  </si>
  <si>
    <t>Buszvárok telepítése</t>
  </si>
  <si>
    <t>3.Nyári gyermekétkeztetés</t>
  </si>
  <si>
    <t>Zeg.Városrészek Művelődési Központja és Könyvtára részére fűnyíró tarktor beszerzéséhez pe. átadás</t>
  </si>
  <si>
    <t>104030 Gyermekek napközbeni ellátása</t>
  </si>
  <si>
    <t xml:space="preserve"> - nyári gyermekétkeztetés</t>
  </si>
  <si>
    <t>Borostyán út rézsű megtámasztás Vis maior pályázatból</t>
  </si>
  <si>
    <t xml:space="preserve">Nagytemplom környékének felújítása </t>
  </si>
  <si>
    <t>Mókus utca burkolat felújítás tervezése</t>
  </si>
  <si>
    <t>Karácsony S. u.vízvezeték utáni felújítás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</si>
  <si>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</si>
  <si>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</si>
  <si>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</si>
  <si>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</si>
  <si>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 xml:space="preserve"> - intézményi támogatások elszámolási különbözete</t>
  </si>
  <si>
    <t xml:space="preserve"> - Fotovoltaikus rendszer kialakítása a Polgármesteri Hivatalban</t>
  </si>
  <si>
    <t xml:space="preserve"> - Zalabesenyő temető kápolna felújítási munkáihoz kapcsolódó kötbér</t>
  </si>
  <si>
    <t>Mártírok - Síp u. tömbbelsőben útfelújítás</t>
  </si>
  <si>
    <t>Landorhegyi u. 18. parkoló felújítás</t>
  </si>
  <si>
    <t>Szeretet  és Cédrus út felújítás</t>
  </si>
  <si>
    <t>Tomori P. u. felújítása</t>
  </si>
  <si>
    <t xml:space="preserve">Balesetveszélyes rézsűk, partfalak stabilizálása </t>
  </si>
  <si>
    <t>Berzsenyi 14-16-18 átjáró és környezetének rendbe tétele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</si>
  <si>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</si>
  <si>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</si>
  <si>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</si>
  <si>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</si>
  <si>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</si>
  <si>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</si>
  <si>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</si>
  <si>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</si>
  <si>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</si>
  <si>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</si>
  <si>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</si>
  <si>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</si>
  <si>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</si>
  <si>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</si>
  <si>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</si>
  <si>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</si>
  <si>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</si>
  <si>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</si>
  <si>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Csillagközi Óvodát és autóbuszmegállót összekötő járda építés</t>
  </si>
  <si>
    <t>Tomori P. u. -Zrínyi út felőli járdafelújítás</t>
  </si>
  <si>
    <t>Olajmunkás u. járdaburkolat felújítás</t>
  </si>
  <si>
    <t>Ifjúság u. 13/4 járda akadálymentesítés</t>
  </si>
  <si>
    <t>4.a/8</t>
  </si>
  <si>
    <t>4.a/9</t>
  </si>
  <si>
    <t>4.a/10</t>
  </si>
  <si>
    <t>4.a/11</t>
  </si>
  <si>
    <t>4.a/12</t>
  </si>
  <si>
    <t>Madách u. – Landorhegyi u. 37– 51. sz. társasházakat összekötő lépcső felújítása</t>
  </si>
  <si>
    <t>4.a/13</t>
  </si>
  <si>
    <t>4.a/14</t>
  </si>
  <si>
    <t>Berzsenyi u. 11.sz. rámpa</t>
  </si>
  <si>
    <t>4.a/15</t>
  </si>
  <si>
    <t>Közösségi tér fejlesztés Vorhotán</t>
  </si>
  <si>
    <t xml:space="preserve">Közösségi térfejlesztése Újhegyen </t>
  </si>
  <si>
    <t>Gébárti tó andráshidai ág rendbetétele</t>
  </si>
  <si>
    <t>Hatházán közösségi tér kialakításának folytatása</t>
  </si>
  <si>
    <t>Pózvai játszótérre játékok beszerzés</t>
  </si>
  <si>
    <t>Közösségi tér fejlesztése Zalabesenyőben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</si>
  <si>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</si>
  <si>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</si>
  <si>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</si>
  <si>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</si>
  <si>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</si>
  <si>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</si>
  <si>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</si>
  <si>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</si>
  <si>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>5.a/6</t>
  </si>
  <si>
    <t>5.a/7</t>
  </si>
  <si>
    <t>5.a/8</t>
  </si>
  <si>
    <t>5.a/9</t>
  </si>
  <si>
    <t>Kinizsi u. fák cserjék</t>
  </si>
  <si>
    <t>5.a/10</t>
  </si>
  <si>
    <t>5.a/11</t>
  </si>
  <si>
    <t>B7.</t>
  </si>
  <si>
    <t>7./1</t>
  </si>
  <si>
    <t>Buslakpuszta bezárt hulladéklerakó szennyezés lokalizáció (pályázatban nem támogatott)</t>
  </si>
  <si>
    <t>8.a/2</t>
  </si>
  <si>
    <t>8.a/3</t>
  </si>
  <si>
    <t>8.a/4</t>
  </si>
  <si>
    <t>8.a/5</t>
  </si>
  <si>
    <t>Göcseji úti köztemető hősi halottak sírjelének fú.</t>
  </si>
  <si>
    <t>8.a/6</t>
  </si>
  <si>
    <t>Elektromos töltőállomás</t>
  </si>
  <si>
    <t>Városépítészeti feladatok: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</si>
  <si>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</si>
  <si>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</si>
  <si>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"M9" Térségi Fejlesztési Tanács műk.költségei</t>
  </si>
  <si>
    <t>Városépítészet működési kiadások:</t>
  </si>
  <si>
    <t xml:space="preserve"> Beruházási kiadások </t>
  </si>
  <si>
    <t>Falumúzeum szennyvízbekötése (telekhatáron belül 1 m-re)</t>
  </si>
  <si>
    <t>Kispálhegyi utca szennyvízelvezetés</t>
  </si>
  <si>
    <t>Domb  utca szennyvíz-elvezetés I. ütem</t>
  </si>
  <si>
    <t>Zalaegerszeg, 5530/12 hrsz területén üzemelő hírközlési földkábel teljeskörű kiváltása</t>
  </si>
  <si>
    <t>Zalaegerszeg, 5530/12 hrsz területén kútkiváltás</t>
  </si>
  <si>
    <t>Sas utca - Jánkahegyi út csp átépítése: vízvezeték átépítés</t>
  </si>
  <si>
    <t>Gébárti kézművesház támfalbontás</t>
  </si>
  <si>
    <t>Völgyi utca vízellátása</t>
  </si>
  <si>
    <t xml:space="preserve">Déli ipari terület fejlesztés:  tüzivíz </t>
  </si>
  <si>
    <t xml:space="preserve"> Zalaegerszeg, Rákóczi Ferenc utca Arany János utca és Mártírok útja között lévő szakaszán üzemelő csapadékcsatorna és ivóvízvezeték rekonstrukciója</t>
  </si>
  <si>
    <t xml:space="preserve">Közvilágítás korszerűsítés Zalaegerszeg I. (KEOP-5.5.0/A/12-2013-0191)                                             </t>
  </si>
  <si>
    <t xml:space="preserve">Közvilágítás korszerűsítés Zalaegerszeg II. (KEOP-5.5.0/A/12-2013-0182                                          </t>
  </si>
  <si>
    <t>Déli ipari terület fejlesztés: bekötőút és parkoló létesítése és közvilágítás kiépítése</t>
  </si>
  <si>
    <t>Déli ipari terület fejlesztés: gyalogjárda és kerékpárút kiépítéséhez területszerzés, tervezés, útelőkészítési munkák ( 550 fm hossz)</t>
  </si>
  <si>
    <t>Vagyoni típusú adók (építményadó, magánszemélyek kommunális adója)</t>
  </si>
  <si>
    <t>Fenyő utca feltáró út kialakítása, közvilágítás kiépítése</t>
  </si>
  <si>
    <t>Szentmártoni utca I. szakaszán járdaépítés</t>
  </si>
  <si>
    <t>Sas utca - Jánkahegyi út csp átépítése: támfal 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</si>
  <si>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</si>
  <si>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</si>
  <si>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</si>
  <si>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Takarék köz burkolatfelújítás II. ütem</t>
  </si>
  <si>
    <t>Ady utca járda - strand előtti szakasz felújítása</t>
  </si>
  <si>
    <t>Bóbita játszótér WC és kézmosó</t>
  </si>
  <si>
    <t>Kiemelt projektek</t>
  </si>
  <si>
    <t>Előtervezések víziközmű fejlesztésekhez</t>
  </si>
  <si>
    <t>Sportfejlesztési TAO-os pályázatok önrésze</t>
  </si>
  <si>
    <t>Közlekedési területek (út,járda) rendezése, területszerzés</t>
  </si>
  <si>
    <t xml:space="preserve"> - köztemetés megtérítése</t>
  </si>
  <si>
    <t xml:space="preserve"> -jogosulatlanul felvett segélyek visszafizetése</t>
  </si>
  <si>
    <t xml:space="preserve"> - önkormányzati erdő ápolási és megújítási feladatok</t>
  </si>
  <si>
    <t xml:space="preserve"> - közművesítési hozzájárulás</t>
  </si>
  <si>
    <t xml:space="preserve"> - egyéb város és községgazdálkodás</t>
  </si>
  <si>
    <t xml:space="preserve"> - helyi önkormányzatok kiegészítő állami támogatásai</t>
  </si>
  <si>
    <t>Működési célú költségvetési támogatások és kiegészítő támogatások</t>
  </si>
  <si>
    <t>2. 2015. évi bérkompenzáció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</si>
  <si>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</si>
  <si>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</si>
  <si>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Időseket és demens állapotúakat ellátó intézmény kialakításának munkái (volt Pais Iskolában)</t>
  </si>
  <si>
    <t>7.a./3</t>
  </si>
  <si>
    <t>"Települési szilárdhulladék-gazdálkodási rendszerek eszközparkjának fejlesztése, informatikai korszerűsítése" pályázati támogatással KEOP-1.1.1/C13-2013-0016</t>
  </si>
  <si>
    <t>Zalabesenyő temető kápolna felújítási munkái</t>
  </si>
  <si>
    <t>Aquaparkban  fejlesztés és felújítás</t>
  </si>
  <si>
    <t>Városi Strand rehabilitációs feladatai és tanuszoda, külső medence átépítés, területrendezés előkészítése</t>
  </si>
  <si>
    <t>Ebergényi sportpálya fejlesztés</t>
  </si>
  <si>
    <t>Vágóhíd utcai 72 x 111 m méretű műfüves sportpálya térvilágításának kiépítéséhez szükséges kapacitásbővítés</t>
  </si>
  <si>
    <t>Pózvai közösségi ház ablak cseréje</t>
  </si>
  <si>
    <t>Hadkieg Toborzó Iroda épületének homlokzat felújítási és fűtéskorszerűsítési munkái</t>
  </si>
  <si>
    <t>Művészlakások felújítása I.ütem lakásalapból</t>
  </si>
  <si>
    <t>Stratégiai feladatok</t>
  </si>
  <si>
    <t>10./1.</t>
  </si>
  <si>
    <t xml:space="preserve">  ZMJV ITP projektjeinek előkészítésével kapcsolatos kiadások</t>
  </si>
  <si>
    <t xml:space="preserve"> - reptér működési kiadásai </t>
  </si>
  <si>
    <t xml:space="preserve"> - épületek energiatanúsítványának elkészítése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</si>
  <si>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</si>
  <si>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</si>
  <si>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</si>
  <si>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 xml:space="preserve"> - volt laktanyával kapcsolatos kiadások</t>
  </si>
  <si>
    <t xml:space="preserve"> - Városfejlesztő Zrt. jutalék</t>
  </si>
  <si>
    <t>084031 Civil szervezetek működési támogatása</t>
  </si>
  <si>
    <t xml:space="preserve"> - Zalaegerszegi Honvédklub támogatása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</si>
  <si>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</si>
  <si>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</si>
  <si>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</si>
  <si>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1.a./6</t>
  </si>
  <si>
    <t>Önkormányzati területek rendezése, bontások</t>
  </si>
  <si>
    <t>1.a./7</t>
  </si>
  <si>
    <t>1.a./8</t>
  </si>
  <si>
    <t xml:space="preserve"> - térinformatika rendszer működtetése</t>
  </si>
  <si>
    <t xml:space="preserve"> - közbeszerzési eljárásokkal és jogi feladatokkal  kapcsolatos díjak</t>
  </si>
  <si>
    <t xml:space="preserve"> - közbiztonsági feladatok</t>
  </si>
  <si>
    <t xml:space="preserve"> - Landorhegyi közbiztonsági feladatok</t>
  </si>
  <si>
    <t>031030 Közterület rendjének fenntartása</t>
  </si>
  <si>
    <t xml:space="preserve"> - közterület felügyelet működési kiadásai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</si>
  <si>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</si>
  <si>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</si>
  <si>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</si>
  <si>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Ebergényi Polgárőrség gépkocsi vásárlás</t>
  </si>
  <si>
    <t>Pénzügyi lebonyolítás:</t>
  </si>
  <si>
    <t>018020 Központi költségvetési befizetések</t>
  </si>
  <si>
    <t xml:space="preserve"> - 2014. évi normatív hozzájárulás elszámolása </t>
  </si>
  <si>
    <t xml:space="preserve"> - forgalmi jutalék, számlavezetési díj</t>
  </si>
  <si>
    <t xml:space="preserve"> - könyvvizsgálat díja</t>
  </si>
  <si>
    <t xml:space="preserve"> - dolgozói lakásépítés és -vásárlás támogatása</t>
  </si>
  <si>
    <t xml:space="preserve"> - vagyon- és gépjármű biztosítás</t>
  </si>
  <si>
    <t>011140 Országos és helyi nemzetiségi önkorm.igazg. tev.</t>
  </si>
  <si>
    <t xml:space="preserve"> - Roma Nemzetiségi Önkormányzat támogatása</t>
  </si>
  <si>
    <t>107013 Hajléktalanok átmeneti ellátása</t>
  </si>
  <si>
    <t xml:space="preserve"> - Hajléktalanok szállása (Vöröskereszt) műk. támog.</t>
  </si>
  <si>
    <t>083050 Televízió-műsor szolgáltatása és támogatása</t>
  </si>
  <si>
    <t xml:space="preserve"> - Zalaegerszegi Televízió Kft. támogatása</t>
  </si>
  <si>
    <t xml:space="preserve"> - Ágazati felad. postai szolg. és utalvány díja, illeték</t>
  </si>
  <si>
    <t>031060 Bűnmegelőzés</t>
  </si>
  <si>
    <t xml:space="preserve"> -  Zalaegerszegi Városi Közbiztonsági  Polgárőr Egyesület támogatása</t>
  </si>
  <si>
    <t xml:space="preserve"> - "Rendért" Zalai Közbiztonsági és Polgárőr Egyesület támogatása</t>
  </si>
  <si>
    <t>045140 Városi és elővárosi közúti személyszállítás</t>
  </si>
  <si>
    <t xml:space="preserve"> - helyi buszközlekedés veszteségének finanszírozása</t>
  </si>
  <si>
    <t xml:space="preserve"> - Fejlesztési célú hitel igénybevételi díj, törlesztés és   kamatfizetési kötelezettség</t>
  </si>
  <si>
    <t>Pénzügyi lebonyolítás és kp-i  összesen:</t>
  </si>
  <si>
    <t>Beruházási és felújítási kiadások</t>
  </si>
  <si>
    <t>22.</t>
  </si>
  <si>
    <t xml:space="preserve"> Polgármesteri Kabinet</t>
  </si>
  <si>
    <t xml:space="preserve"> - rendezvények, kommunikáció, reprezentáció</t>
  </si>
  <si>
    <t xml:space="preserve"> - városmarketing</t>
  </si>
  <si>
    <t xml:space="preserve"> - VERSO projekt </t>
  </si>
  <si>
    <t xml:space="preserve"> - képviselők, bizottsági tagok és tisztségviselők tiszteletdíja</t>
  </si>
  <si>
    <t xml:space="preserve"> - tagsági díjak (MÖSZ, MJVSZ stb.)</t>
  </si>
  <si>
    <t xml:space="preserve"> - városi hírportál szerkesztése</t>
  </si>
  <si>
    <t xml:space="preserve"> - médiával kapcsolatos szerződések, támogatások</t>
  </si>
  <si>
    <t xml:space="preserve"> - rendezett tanácsú várossá nyilvánítás 130. évfordulója</t>
  </si>
  <si>
    <t xml:space="preserve"> - monográfia</t>
  </si>
  <si>
    <t>083030 Egyéb kiadói tevékenység</t>
  </si>
  <si>
    <t xml:space="preserve"> - városi újság támogatása</t>
  </si>
  <si>
    <t xml:space="preserve">  - városi kiadvány</t>
  </si>
  <si>
    <t>041233 Hosszabb időtartamú közfoglalkoztatás</t>
  </si>
  <si>
    <t xml:space="preserve"> - közfoglalkoztatás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</si>
  <si>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</si>
  <si>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</si>
  <si>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</si>
  <si>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</si>
  <si>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Szent István szobor ünnepség</t>
  </si>
  <si>
    <t xml:space="preserve"> - Közösségi rendezvények Andráshidán</t>
  </si>
  <si>
    <t>Polgármesteri Kabinet működési kiadásai összesen:</t>
  </si>
  <si>
    <t>Vállalkozásfejlesztési Alapítvány kamattámogatás</t>
  </si>
  <si>
    <t>900070 Fejezeti és általános tartalékok elszámolása</t>
  </si>
  <si>
    <t>Teljesítmény ösztönző keret</t>
  </si>
  <si>
    <t xml:space="preserve">Év közben jelentkező feladatokra </t>
  </si>
  <si>
    <t>Elmaradt bevételek pótlására</t>
  </si>
  <si>
    <t>Szociális, Lakás és Egészségügyi  Bizottság átruházott hatáskörében felosztható keret</t>
  </si>
  <si>
    <t xml:space="preserve">       eü. és szociális ágazat pályázati kerete</t>
  </si>
  <si>
    <t xml:space="preserve">        egyéb szociális szolgáltatás</t>
  </si>
  <si>
    <t xml:space="preserve">        címpótlék a szociális intézményekben</t>
  </si>
  <si>
    <t>Felhalmozási célú pénzeszköz átadás a Z.M.Katasztrófavéd. Igazgatóság részére</t>
  </si>
  <si>
    <t>biz.</t>
  </si>
  <si>
    <t>1.2./11.</t>
  </si>
  <si>
    <t>Lisz iskola multifunkcionális terem kialakításához pe. átadás</t>
  </si>
  <si>
    <t>Oktatási, Kulturális,Ifjúsági és Sport Bizottság átruházott hatáskörében felosztható keret</t>
  </si>
  <si>
    <t xml:space="preserve">         2015. évi közösségi, művészeti pályázatok</t>
  </si>
  <si>
    <t xml:space="preserve">        rendezvények támogatása</t>
  </si>
  <si>
    <t>Gazdasági   Bizottság átruházott hatáskörében felosztható keret</t>
  </si>
  <si>
    <t xml:space="preserve">        egyéb szervezetek támogatása</t>
  </si>
  <si>
    <t>Műszaki  Bizottság átruházott hatáskörében felosztható keret</t>
  </si>
  <si>
    <t xml:space="preserve">        lakossági, civil kezdeményezések támogatása</t>
  </si>
  <si>
    <t>Ügyrendi, Jogi és Vagyonnyilatkozatot  Ellenőrző Bizottság</t>
  </si>
  <si>
    <t xml:space="preserve">        közbiztonsági feladatokra</t>
  </si>
  <si>
    <t>Támogatott lakások elkülönített lakbérbevételéből</t>
  </si>
  <si>
    <t xml:space="preserve">Viziközművekkel kapcsolatos feladatok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</si>
  <si>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</si>
  <si>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2015. eredeti előirányzat</t>
  </si>
  <si>
    <t>Liget utca 0651/65 hrsz.magánerős útépítés</t>
  </si>
  <si>
    <t xml:space="preserve"> - köztemetés</t>
  </si>
  <si>
    <t xml:space="preserve"> - Egerszegkártya</t>
  </si>
  <si>
    <t xml:space="preserve"> - intézmények támogatása, rendezvényeik finanszírozása</t>
  </si>
  <si>
    <t>094260 Hallgatói és oktatói ösztöndíjak, egyéb juttatások</t>
  </si>
  <si>
    <t xml:space="preserve"> - "Új esély" program ÁROP-1.A.3-2014-2014-0078</t>
  </si>
  <si>
    <t xml:space="preserve"> 084010 Társadalmi tevékenységekkel, esélyegyenlőséggel, érdekképviselettel, nemzetiségekkel, egyházakkal összefüggő feladatok igazgatása</t>
  </si>
  <si>
    <t>5./16</t>
  </si>
  <si>
    <t>5./17</t>
  </si>
  <si>
    <t>Udvari játszóeszközök beszerzése ságodi állatsimogatóban</t>
  </si>
  <si>
    <t>Gasparich u. padok felújítása, kerítésfestés, drót csere</t>
  </si>
  <si>
    <t xml:space="preserve"> - Gébártra szemetesedények beszerzéséhez pe. átadás Horgászegyesületek Z.M. szövetségé részére</t>
  </si>
  <si>
    <t>Zrínyi Gimnázium gázellátásának szabályossá tétele és kerítés felújítás</t>
  </si>
  <si>
    <t xml:space="preserve"> - belterületbe vonással kapcsolatos feladatok</t>
  </si>
  <si>
    <t xml:space="preserve"> - felsőoktatási ösztöndíj</t>
  </si>
  <si>
    <t xml:space="preserve"> - játszóterek fenntartása, karbantartása</t>
  </si>
  <si>
    <t>047410 Ár- és belvízvédelemmel összefüggő tevékenység</t>
  </si>
  <si>
    <t xml:space="preserve">  -  környezetvéd.alap feltöltése</t>
  </si>
  <si>
    <t>064010 Közvilágítás</t>
  </si>
  <si>
    <t xml:space="preserve"> - Polgármesteri rendelkezésű keret</t>
  </si>
  <si>
    <t>Állami támogatások  évközi visszafizetésére</t>
  </si>
  <si>
    <t>Szociális rászorultság alapján és egyéb biztosítandó támogatások  a költségvetési szerveknél</t>
  </si>
  <si>
    <t>066020 Város-, községgazdálkodási egyéb szolgáltatások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</si>
  <si>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</si>
  <si>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</si>
  <si>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</si>
  <si>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</si>
  <si>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</si>
  <si>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</si>
  <si>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</si>
  <si>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</si>
  <si>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</si>
  <si>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</si>
  <si>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</si>
  <si>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</si>
  <si>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</si>
  <si>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</si>
  <si>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</si>
  <si>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</si>
  <si>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 xml:space="preserve"> - Járulékmegtakarításból eredő int.i befizetési kötelezettség</t>
  </si>
  <si>
    <t xml:space="preserve"> - Járulékcsökkenésből eredő megtakarítás befizetési kötelezettség </t>
  </si>
  <si>
    <t>V. Helyi önkorányzatok kiegészítő támogatásai</t>
  </si>
  <si>
    <t>1. Önkormányzatok és társulásaik európai uniós fejlesztési pályázatai saját forrás kiegészítésének támogatása</t>
  </si>
  <si>
    <t xml:space="preserve">       </t>
  </si>
  <si>
    <t>6. 2014. évről áthúzódó bérkompenzáció támogatása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</si>
  <si>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</si>
  <si>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</si>
  <si>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</si>
  <si>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</si>
  <si>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</si>
  <si>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</si>
  <si>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</si>
  <si>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</si>
  <si>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</si>
  <si>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</si>
  <si>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</si>
  <si>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</si>
  <si>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</si>
  <si>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</si>
  <si>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</si>
  <si>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</si>
  <si>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</si>
  <si>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</si>
  <si>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</si>
  <si>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</si>
  <si>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</si>
  <si>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</si>
  <si>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</si>
  <si>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</si>
  <si>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</si>
  <si>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</si>
  <si>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</si>
  <si>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</si>
  <si>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</si>
  <si>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</si>
  <si>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</si>
  <si>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</si>
  <si>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</si>
  <si>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</si>
  <si>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</si>
  <si>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</si>
  <si>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</si>
  <si>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</si>
  <si>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</si>
  <si>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</si>
  <si>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</si>
  <si>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</si>
  <si>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</si>
  <si>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</si>
  <si>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</si>
  <si>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</si>
  <si>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</si>
  <si>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</si>
  <si>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</si>
  <si>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</si>
  <si>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</si>
  <si>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</si>
  <si>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</si>
  <si>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Béke utca szennyvízcsatorna rekonstrukció és járulékos munkák</t>
  </si>
  <si>
    <t>Tüttő Gy u. 15.. és a szomszédos ingatlanok csapadékvízelvezetése</t>
  </si>
  <si>
    <t>3.a/2</t>
  </si>
  <si>
    <t>Takarék köz közműcsere utáni helyreállítás</t>
  </si>
  <si>
    <t>Játszótér és park kialakítása Hatházán</t>
  </si>
  <si>
    <t>B53</t>
  </si>
  <si>
    <t>Egyéb tárgyi eszközök értékesítése</t>
  </si>
  <si>
    <t>Gébárti fürdőlétesítmények (Aquacity) fejlesztési koncepció terv készítés</t>
  </si>
  <si>
    <t>Zalaegerszeg történelmi városközpont rehabilitációs és revitalizációs program NYDOP-3.1.1/B-2009-0005</t>
  </si>
  <si>
    <t>Ingatlanvásárlások</t>
  </si>
  <si>
    <t>AGORA-program - Ady mozi területszerzés (pince), jogi rendezés</t>
  </si>
  <si>
    <t>Buszvárók telepítése</t>
  </si>
  <si>
    <t>Berzsenyi 14-16-18 átjáró és környezetének rendbetétele</t>
  </si>
  <si>
    <t>Pózvai játszótérre játékok beszerzése</t>
  </si>
  <si>
    <t>LÉSZ Kft. telephely útcsatlakozás és szervízút építés</t>
  </si>
  <si>
    <t>6.b/7</t>
  </si>
  <si>
    <t>6.b/8</t>
  </si>
  <si>
    <t>6.b/9</t>
  </si>
  <si>
    <t xml:space="preserve">"Komplex belváros rehabilitációs program Zalaegerszegen" projekt pályázati támogatással NYDOP-3.1.1/B1-13-k-2013-0005 </t>
  </si>
  <si>
    <t>6.b/10</t>
  </si>
  <si>
    <t>6.b/11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</si>
  <si>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</si>
  <si>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</si>
  <si>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</si>
  <si>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</si>
  <si>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</si>
  <si>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</si>
  <si>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</si>
  <si>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</si>
  <si>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</si>
  <si>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</si>
  <si>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</si>
  <si>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 xml:space="preserve">Vagyonkezelési feladatok </t>
  </si>
  <si>
    <t>Területcsere É-i és D-i ipari parkban 254/2013. kgy.hat.alapján</t>
  </si>
  <si>
    <t>1.a./4</t>
  </si>
  <si>
    <t>1.a./5</t>
  </si>
  <si>
    <t>Térfigyelő kamera felszerelése Botfán</t>
  </si>
  <si>
    <t>Sorszám</t>
  </si>
  <si>
    <t>Óvodák felújítása</t>
  </si>
  <si>
    <t xml:space="preserve"> - önkormányzat kezelésében lévő ingatlanok hasznosításából származó bevétel</t>
  </si>
  <si>
    <t>22190*</t>
  </si>
  <si>
    <t>2216*</t>
  </si>
  <si>
    <t>Tervezési alapegység</t>
  </si>
  <si>
    <t>900060 Forgatási és befektetési célú finanszírozási műveletek</t>
  </si>
  <si>
    <t xml:space="preserve"> - Fejlesztési célú hitel felvétel  áthúzódó feladatokhoz kapcsolódó hitelkeretekből</t>
  </si>
  <si>
    <t>Belvárosi I.sz.Óvoda Mikes tagóvoda részére pe.átadás belső felújításhoz</t>
  </si>
  <si>
    <t>Hevesi Sándor Színházban szőnyeg beszerzés</t>
  </si>
  <si>
    <t>Állatmenhely szennyvízbekötése</t>
  </si>
  <si>
    <t>106020 Lakásfenntartással, lakhatással összefüggő ellátások</t>
  </si>
  <si>
    <t xml:space="preserve"> - lakásfenntartási támogatás normatív alapon</t>
  </si>
  <si>
    <t>103010, 104051, 107060 kormányzati funkciók</t>
  </si>
  <si>
    <t xml:space="preserve"> - adósságcsökkentési támogatás</t>
  </si>
  <si>
    <t xml:space="preserve"> - Zalaegerszegi Városi Diákönkormányzat </t>
  </si>
  <si>
    <t xml:space="preserve"> - Zalaegerszegi Ifjúsági Kerekasztal</t>
  </si>
  <si>
    <t xml:space="preserve"> - kulturális városi rendezvények</t>
  </si>
  <si>
    <t>074054 Komplex egészségfejl., prevenciós programok</t>
  </si>
  <si>
    <t xml:space="preserve"> - Egészséges Városok Mozgalom</t>
  </si>
  <si>
    <t>084010 Társ.tev., esélyegyenlőséggel, érdekképv., nemzetiségekkel, egyházakkal kapcs. felad.igazg.</t>
  </si>
  <si>
    <t>109010 Szociális szolgáltatás igazgatása</t>
  </si>
  <si>
    <t>081041 Versenysport- és utánpótlás-nevelési tevékenység</t>
  </si>
  <si>
    <t xml:space="preserve"> - DO rendezvények lebonyolítása</t>
  </si>
  <si>
    <t>081045 Szabadidősport-tevékenység és támogatása</t>
  </si>
  <si>
    <t xml:space="preserve"> - szabadidősport klubok támogatása</t>
  </si>
  <si>
    <t xml:space="preserve"> - városrészek környezetrendezési feladataira</t>
  </si>
  <si>
    <t xml:space="preserve"> - Kontakt Kft. tuskómarási munkálatok</t>
  </si>
  <si>
    <t xml:space="preserve"> - Kontakt Kft. graffiti eltávolítás</t>
  </si>
  <si>
    <t xml:space="preserve"> - forgalomtechnikai  és közlekedési feladatok</t>
  </si>
  <si>
    <t xml:space="preserve"> - rendezvényhez kapcsolódó forgalomkorlátozások</t>
  </si>
  <si>
    <t xml:space="preserve"> - utastájékoztatási rendszer üzemeltetése</t>
  </si>
  <si>
    <t xml:space="preserve"> - vízkészlethasználati járulék</t>
  </si>
  <si>
    <t xml:space="preserve"> - ár és belvízvédelmi feladatok</t>
  </si>
  <si>
    <t xml:space="preserve"> - csapadékvízelvezető és árvízvédelmi létesítmények fenntartása</t>
  </si>
  <si>
    <t xml:space="preserve"> - vízbázis védőidomok, kártalanítások</t>
  </si>
  <si>
    <t xml:space="preserve"> - víziközművek területigénybevételével  kapcsolatos költségek</t>
  </si>
  <si>
    <t xml:space="preserve"> - Környezetvédelmi Jeles napok rendezvény lebonyolítása</t>
  </si>
  <si>
    <t xml:space="preserve"> - hibaelhárítás, sürgősségi feladatok</t>
  </si>
  <si>
    <t xml:space="preserve"> - Kontakt Kft. rágógumi eltávolítás, speciális szennyeződésmentesítés</t>
  </si>
  <si>
    <t xml:space="preserve"> - közfoglalkoztatás anyag- és eszközigény biztosítása</t>
  </si>
  <si>
    <t xml:space="preserve"> -köztemető fenntartás és temetői létesítmények  használati díja</t>
  </si>
  <si>
    <t xml:space="preserve"> - köztemetőben lévő hadisírok rendbetétele</t>
  </si>
  <si>
    <t xml:space="preserve"> - liberalizált energiapiacra való kilépés műszaki előkész.</t>
  </si>
  <si>
    <t xml:space="preserve"> - közvilágítási feladatok előkészítő munkái</t>
  </si>
  <si>
    <t xml:space="preserve"> - Zalaegerszeg történelmi városközpont rehabilitációs és revitalizációs program NYDOP-3.1.1/B-2009-0005</t>
  </si>
  <si>
    <t>051030 Nem veszélyes hulladék vegyes begyűjtése, szállítása, átrakása</t>
  </si>
  <si>
    <t xml:space="preserve"> - önk. által kezelt ing.közös ktg.közüz.díj</t>
  </si>
  <si>
    <t xml:space="preserve"> - önkormányzat kezelésében lévő ingatlanok hasznosításához kapcsolódó kiadások</t>
  </si>
  <si>
    <t xml:space="preserve"> -  vagyongazdálkodási feladatok és szakértői díjak</t>
  </si>
  <si>
    <t xml:space="preserve"> - Idegenforgalmi feladatok</t>
  </si>
  <si>
    <t>Kodály úti tagóvodában vizesblokk felújítás</t>
  </si>
  <si>
    <t>Zalaegerszegi VMK DK-i szárny belső átalakítása (Családsegítő Szolgálat és Gyermekjóléti Központ)</t>
  </si>
  <si>
    <t>Orvosi rendelők felújítása</t>
  </si>
  <si>
    <t>Bölcsődék felújítása</t>
  </si>
  <si>
    <t>Landorhegyi Idősek Klubja tetőcsere</t>
  </si>
  <si>
    <t>Önkormányzati kezelésben lévő intézmények közműveinek felújítása</t>
  </si>
  <si>
    <t>Mártírok u. burkolatfelújítás, csapadékcsatorna építés</t>
  </si>
  <si>
    <t>Ady utca út- és járda felújítása (vízkiváltással)</t>
  </si>
  <si>
    <t>Gyimesi utca parkolófelújítás I. ütem</t>
  </si>
  <si>
    <t>4./41</t>
  </si>
  <si>
    <t>Ságodi u. járdaburkolat felújítás</t>
  </si>
  <si>
    <t>Ola utca járda felújítás és zöldfelület rendezés</t>
  </si>
  <si>
    <t xml:space="preserve"> - építményadó és kommunális adó bevétele</t>
  </si>
  <si>
    <r>
      <t xml:space="preserve">            </t>
    </r>
    <r>
      <rPr>
        <i/>
        <sz val="10"/>
        <rFont val="Times New Roman"/>
        <family val="1"/>
      </rPr>
      <t>Középiskolák</t>
    </r>
  </si>
  <si>
    <t>3./1/5</t>
  </si>
  <si>
    <t>3./1/6</t>
  </si>
  <si>
    <t>Idősek Otthona gyengeáramú rendszer kialakítása</t>
  </si>
  <si>
    <t>Idősek Otthona melegítő konyha átalakítási munkái</t>
  </si>
  <si>
    <t xml:space="preserve"> - intézményi pályázatokhoz megelőlegeztt pénzeszköz Deák Könyvtár</t>
  </si>
  <si>
    <t>Arany J.u.-tól nyugatra lévő lakóövezet járda felújítási munkái</t>
  </si>
  <si>
    <t>Bazita u. járdaburkolat felújítás</t>
  </si>
  <si>
    <t>2015. évi  eredeti előirányzat</t>
  </si>
  <si>
    <t>3.Egyéb működési célú kiadások (költségvetési szervek és tartalék nélkül)</t>
  </si>
  <si>
    <t>8.) Betétek megszüntetése</t>
  </si>
  <si>
    <t xml:space="preserve">   B818</t>
  </si>
  <si>
    <t>Betétek megszüntetése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</si>
  <si>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</si>
  <si>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</si>
  <si>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</si>
  <si>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</si>
  <si>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</si>
  <si>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</si>
  <si>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</si>
  <si>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</si>
  <si>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</si>
  <si>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</si>
  <si>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                                             4 hóra</t>
  </si>
  <si>
    <t>2015. évi bevétel módosított előirányzata</t>
  </si>
  <si>
    <t>2015. évi bevétel eredeti előirányzata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</si>
  <si>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</si>
  <si>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</si>
  <si>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</si>
  <si>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t>1. Pénzbeli szociális ellátások kiegészítése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</si>
  <si>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</si>
  <si>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Városüzemelési felad.</t>
  </si>
  <si>
    <t>Vagyonkez. feladatok</t>
  </si>
  <si>
    <t>Polgármesteri Kabinet</t>
  </si>
  <si>
    <t>Munkaadókat terhelő járulékok és szociális hj.adó</t>
  </si>
  <si>
    <t>Egyéb felhalmo-zási célú kiadások</t>
  </si>
  <si>
    <t>Kutilapi u. felújítása</t>
  </si>
  <si>
    <t xml:space="preserve"> - városmarketing támogatása</t>
  </si>
  <si>
    <t>B55</t>
  </si>
  <si>
    <t>Részesedések megszűnéséhez kapcsolódó bevételek</t>
  </si>
  <si>
    <t>Hitel-, kölcsöntör-lesztés áht-n kívülre</t>
  </si>
  <si>
    <t>Főépítészi feladatok</t>
  </si>
  <si>
    <t>Polgármesteri Kabinet kiadásai</t>
  </si>
  <si>
    <t>Összesen:</t>
  </si>
  <si>
    <t xml:space="preserve"> - Egerszeg kártya értékesítés</t>
  </si>
  <si>
    <t>Nyugati vízműhöz tartozó hálózatra történő rácsatlakozás támogatása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</si>
  <si>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</si>
  <si>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</si>
  <si>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</si>
  <si>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</si>
  <si>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 xml:space="preserve"> - MOL Nyrt. adomány</t>
  </si>
  <si>
    <t>092211 Gimn. oktatás, nevelés szakmai feladatai</t>
  </si>
  <si>
    <t xml:space="preserve"> - Természettudományos oktatás eszközrendszerének és módszertanának fejlesztése a Kölcsey F. Gimnáziumban TÁMOP 3.1.3.-11/2-2012-0023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</si>
  <si>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</si>
  <si>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</si>
  <si>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</si>
  <si>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 xml:space="preserve"> - ZG3 kút üzemeltetése</t>
  </si>
  <si>
    <t>066010 Zöldterület kezelés</t>
  </si>
  <si>
    <t xml:space="preserve"> - Szennyvíztársulástól átvett viziközmű vagyon használati díja</t>
  </si>
  <si>
    <t xml:space="preserve"> - 2015. évi Vis maior támogatás</t>
  </si>
  <si>
    <t>045170 Parkoló, garázs üzemeltetése, fenntartása</t>
  </si>
  <si>
    <t xml:space="preserve"> Városfejlesztő Zrt.részvényeinek megvásárlása </t>
  </si>
  <si>
    <t xml:space="preserve"> -Andráshidai LSC működési támogatás</t>
  </si>
  <si>
    <t xml:space="preserve"> - parkolási közszolgáltatási tevékenység ellátásával kapcsolatos bevétel</t>
  </si>
  <si>
    <t>B54</t>
  </si>
  <si>
    <t>052020  Szennyvíz gyűjtése, tisztítása, elhelyezése</t>
  </si>
  <si>
    <t xml:space="preserve"> - ZALAVÍZ Zrt. befizetése</t>
  </si>
  <si>
    <t xml:space="preserve"> 045120 Út, autópálya építés</t>
  </si>
  <si>
    <t xml:space="preserve"> -  Buslakpusztai bezárt szilárd hulladéklerakó okozta szennyezés lokalizációja  pályázati támogatással KEOP-2.4.0/B/2F/10-11-2012-0005</t>
  </si>
  <si>
    <t xml:space="preserve"> - "Települési szilárdhulladék-gazdálkodási rendszerek eszközparkjának fejlesztése, informatikai korszerűsítése" pályázati támogatás és Áfa   KEOP-1.1.1/C13-2013-0182.</t>
  </si>
  <si>
    <t>081030 Sportlétes., edzőtáborok működtetése és fejlesztése</t>
  </si>
  <si>
    <t xml:space="preserve"> - "Komplex belváros rehabilitációs program Zalaegerszegen" projekt pályázati támogatással NYDOP-3.1.1/B1-13-k-2013-0005 </t>
  </si>
  <si>
    <t xml:space="preserve"> - Idősek Otthona kialakításához pénzeszköz átvétel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</si>
  <si>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</si>
  <si>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</si>
  <si>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ingatlaneladás </t>
  </si>
  <si>
    <t xml:space="preserve"> - haszonbérleti szerződés</t>
  </si>
  <si>
    <t xml:space="preserve"> - osztalék bevétel VG Kft-től</t>
  </si>
  <si>
    <t xml:space="preserve"> - természetbeli támogatások (Erzsébet utalvány)</t>
  </si>
  <si>
    <t xml:space="preserve"> -Ady Endre Általános Iskola,Gimnázium épületének energetikai korszerűsítése KEOP-5.7.0 projekt</t>
  </si>
  <si>
    <t xml:space="preserve"> - Kölcsey Ferenc Gimnázium és a Landorhegyi óvoda épületeinek energetikei korszerűsítése KEOP-5.7.0 projekt</t>
  </si>
  <si>
    <t xml:space="preserve"> - "Egymásra hangolva" projekt pályázati támogatás</t>
  </si>
  <si>
    <t xml:space="preserve"> - "Fiatalok" című köztéri alkotás megvalósításához pályázati támogatás</t>
  </si>
  <si>
    <t xml:space="preserve"> - Eresco röntgengép értékesítése</t>
  </si>
  <si>
    <t xml:space="preserve"> - Gébárti kemping földhasználati díj</t>
  </si>
  <si>
    <t xml:space="preserve"> - köztéri padok</t>
  </si>
  <si>
    <t xml:space="preserve"> - Pipahegyi út magánerős útépítéshez lakossági befizetés</t>
  </si>
  <si>
    <t xml:space="preserve"> -kötnyezetvédelmi bírság</t>
  </si>
  <si>
    <t xml:space="preserve"> - Zalavíz Zrt.részvények eladása</t>
  </si>
  <si>
    <t xml:space="preserve"> - lakásalaphoz kapcsolódó bevételek</t>
  </si>
  <si>
    <t xml:space="preserve"> - közbeszerzési eljárások és jogi feladatok</t>
  </si>
  <si>
    <t xml:space="preserve"> - Nyugdíjas Otthonházi adomány</t>
  </si>
  <si>
    <t xml:space="preserve"> - 2014. évi állami támogatások elszámolásából eredő bevétel</t>
  </si>
  <si>
    <t xml:space="preserve"> - bírság, késedelmi pótlék</t>
  </si>
  <si>
    <t xml:space="preserve"> - Pénzmaradvány terhére intézményi elvonás</t>
  </si>
  <si>
    <t xml:space="preserve"> - oktatási intézményekkel kapcsolatos elszámolások, befizetések</t>
  </si>
  <si>
    <t xml:space="preserve"> -jótékonysági nap bevétele</t>
  </si>
  <si>
    <t xml:space="preserve"> - idegenforgalmi feladatok</t>
  </si>
  <si>
    <t>106010 Lakóingatl. szoc.célú bérbeadása, üzemeltetése</t>
  </si>
  <si>
    <t xml:space="preserve"> - LÉSZ bérlemény üzemeltetés bevétele</t>
  </si>
  <si>
    <t xml:space="preserve"> - Inkubátorház bérleti díja</t>
  </si>
  <si>
    <t xml:space="preserve"> - volt laktanyával kapcsolatos bevétel</t>
  </si>
  <si>
    <t xml:space="preserve"> - helypénz és helybiztosítás</t>
  </si>
  <si>
    <t>051040 Nem veszélyes hulladék kezelése, ártalmatlanítása</t>
  </si>
  <si>
    <t xml:space="preserve"> - ZALA-DEPO Kft.által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</si>
  <si>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</si>
  <si>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</si>
  <si>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</si>
  <si>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 - lakásalap  pénzmaradványának bevonása</t>
  </si>
  <si>
    <t>Vagyonkezelési felad. összesen:</t>
  </si>
  <si>
    <t xml:space="preserve"> - közterületen hagyott gépjárművek értékesítése</t>
  </si>
  <si>
    <t xml:space="preserve"> </t>
  </si>
  <si>
    <t>Jogi igazgatási feladat összesen:</t>
  </si>
  <si>
    <t xml:space="preserve"> - folyószámla kamata</t>
  </si>
  <si>
    <t xml:space="preserve"> -Áfa visszaigénylés</t>
  </si>
  <si>
    <t xml:space="preserve"> - 2014. évi pénzmaradvány igénybevétele áthúzódó feladatokhoz</t>
  </si>
  <si>
    <t xml:space="preserve"> - 2014. évi pénzmaradvány igénybevétele új feladatokhoz</t>
  </si>
  <si>
    <t xml:space="preserve"> - kiegészítő támogatás 2015. évi feladatok biztonságos finanszírozásához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</si>
  <si>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</si>
  <si>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</si>
  <si>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</si>
  <si>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</si>
  <si>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>900020 Önkormányzatok funkcióra nem sorolható bevételei áht-n kívűlről</t>
  </si>
  <si>
    <t xml:space="preserve"> - gépjárműadó</t>
  </si>
  <si>
    <t xml:space="preserve"> - idegenforgalmi adó</t>
  </si>
  <si>
    <t xml:space="preserve"> - talajterhelési díj</t>
  </si>
  <si>
    <t>082042 Könyvtári állomány gyarapítása, nyilvánt.</t>
  </si>
  <si>
    <t xml:space="preserve"> - Deák F. Megyei és Városi Könyvtár részére  megelőlegezett ált.forgalmi adó visszafizetése</t>
  </si>
  <si>
    <t>082091 Közművelődés – közösségi és társadalmi részvétel fejlesztése</t>
  </si>
  <si>
    <t xml:space="preserve"> - Intézményi pályázatokhoz biztosított kölcsön visszafizetése</t>
  </si>
  <si>
    <t xml:space="preserve"> - Építéshatósági feladatok</t>
  </si>
  <si>
    <t xml:space="preserve"> - VERSO projekt pályázati támogatás</t>
  </si>
  <si>
    <t>Polgármesteri Kabinet összesen:</t>
  </si>
  <si>
    <t xml:space="preserve"> - megélhetési támogatás</t>
  </si>
  <si>
    <t xml:space="preserve"> - energia támogatás</t>
  </si>
  <si>
    <t xml:space="preserve"> - rendszeres gyermekvédelmi segély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</si>
  <si>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</si>
  <si>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</si>
  <si>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</si>
  <si>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</si>
  <si>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Bursa Hungarica ösztöndíj</t>
  </si>
  <si>
    <t xml:space="preserve"> - lakásgazdálkodási feladatokra</t>
  </si>
  <si>
    <t>107054 Családsegítés</t>
  </si>
  <si>
    <t xml:space="preserve"> - Családsegítő Szolgálathoz krízissegélyezés</t>
  </si>
  <si>
    <t>032020 Tűz- és katasztrófavéd. tevékenység</t>
  </si>
  <si>
    <t xml:space="preserve"> - helyi védelmi igazgatás</t>
  </si>
  <si>
    <t>Szociális és igazgatási fa.működési kiadás összesen:</t>
  </si>
  <si>
    <t>Beruházási és felújítási kiadások:</t>
  </si>
  <si>
    <t>2014. évről áthúzódó feladat</t>
  </si>
  <si>
    <t xml:space="preserve">               </t>
  </si>
  <si>
    <t xml:space="preserve"> - szakképzési  ösztöndíj</t>
  </si>
  <si>
    <t xml:space="preserve"> - díszokleveles pedagógusok ünnepsége és jutalmazása</t>
  </si>
  <si>
    <t>013350 Az önkorm. vagyonnal való gazd. kapcs. feladatok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</si>
</sst>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72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9"/>
      <name val="Times New Roman CE"/>
      <family val="0"/>
    </font>
    <font>
      <sz val="9"/>
      <name val="Times New Roman CE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.1"/>
      <name val="Times New Roman"/>
      <family val="1"/>
    </font>
    <font>
      <sz val="9"/>
      <name val="MS Sans Serif"/>
      <family val="2"/>
    </font>
    <font>
      <i/>
      <sz val="10"/>
      <name val="MS Sans Serif"/>
      <family val="2"/>
    </font>
    <font>
      <sz val="9"/>
      <color indexed="10"/>
      <name val="Arial CE"/>
      <family val="2"/>
    </font>
    <font>
      <b/>
      <i/>
      <sz val="9"/>
      <color indexed="10"/>
      <name val="Times New Roman"/>
      <family val="1"/>
    </font>
    <font>
      <sz val="8"/>
      <name val="Arial CE"/>
      <family val="2"/>
    </font>
    <font>
      <i/>
      <sz val="8"/>
      <name val="Times New Roman"/>
      <family val="1"/>
    </font>
    <font>
      <sz val="9"/>
      <name val="Times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19" fillId="4" borderId="0" applyNumberFormat="0" applyBorder="0" applyAlignment="0" applyProtection="0"/>
    <xf numFmtId="0" fontId="37" fillId="5" borderId="0" applyNumberFormat="0" applyBorder="0" applyAlignment="0" applyProtection="0"/>
    <xf numFmtId="0" fontId="19" fillId="6" borderId="0" applyNumberFormat="0" applyBorder="0" applyAlignment="0" applyProtection="0"/>
    <xf numFmtId="0" fontId="37" fillId="7" borderId="0" applyNumberFormat="0" applyBorder="0" applyAlignment="0" applyProtection="0"/>
    <xf numFmtId="0" fontId="19" fillId="8" borderId="0" applyNumberFormat="0" applyBorder="0" applyAlignment="0" applyProtection="0"/>
    <xf numFmtId="0" fontId="37" fillId="9" borderId="0" applyNumberFormat="0" applyBorder="0" applyAlignment="0" applyProtection="0"/>
    <xf numFmtId="0" fontId="19" fillId="10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37" fillId="13" borderId="0" applyNumberFormat="0" applyBorder="0" applyAlignment="0" applyProtection="0"/>
    <xf numFmtId="0" fontId="19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20" borderId="0" applyNumberFormat="0" applyBorder="0" applyAlignment="0" applyProtection="0"/>
    <xf numFmtId="0" fontId="37" fillId="21" borderId="0" applyNumberFormat="0" applyBorder="0" applyAlignment="0" applyProtection="0"/>
    <xf numFmtId="0" fontId="19" fillId="22" borderId="0" applyNumberFormat="0" applyBorder="0" applyAlignment="0" applyProtection="0"/>
    <xf numFmtId="0" fontId="37" fillId="23" borderId="0" applyNumberFormat="0" applyBorder="0" applyAlignment="0" applyProtection="0"/>
    <xf numFmtId="0" fontId="19" fillId="10" borderId="0" applyNumberFormat="0" applyBorder="0" applyAlignment="0" applyProtection="0"/>
    <xf numFmtId="0" fontId="37" fillId="11" borderId="0" applyNumberFormat="0" applyBorder="0" applyAlignment="0" applyProtection="0"/>
    <xf numFmtId="0" fontId="19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17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0" fillId="27" borderId="0" applyNumberFormat="0" applyBorder="0" applyAlignment="0" applyProtection="0"/>
    <xf numFmtId="0" fontId="38" fillId="28" borderId="0" applyNumberFormat="0" applyBorder="0" applyAlignment="0" applyProtection="0"/>
    <xf numFmtId="0" fontId="20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22" borderId="0" applyNumberFormat="0" applyBorder="0" applyAlignment="0" applyProtection="0"/>
    <xf numFmtId="0" fontId="38" fillId="23" borderId="0" applyNumberFormat="0" applyBorder="0" applyAlignment="0" applyProtection="0"/>
    <xf numFmtId="0" fontId="20" fillId="29" borderId="0" applyNumberFormat="0" applyBorder="0" applyAlignment="0" applyProtection="0"/>
    <xf numFmtId="0" fontId="38" fillId="30" borderId="0" applyNumberFormat="0" applyBorder="0" applyAlignment="0" applyProtection="0"/>
    <xf numFmtId="0" fontId="20" fillId="2" borderId="0" applyNumberFormat="0" applyBorder="0" applyAlignment="0" applyProtection="0"/>
    <xf numFmtId="0" fontId="38" fillId="31" borderId="0" applyNumberFormat="0" applyBorder="0" applyAlignment="0" applyProtection="0"/>
    <xf numFmtId="0" fontId="20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7" borderId="0" applyNumberFormat="0" applyBorder="0" applyAlignment="0" applyProtection="0"/>
    <xf numFmtId="0" fontId="38" fillId="20" borderId="0" applyNumberFormat="0" applyBorder="0" applyAlignment="0" applyProtection="0"/>
    <xf numFmtId="0" fontId="38" fillId="22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38" fillId="34" borderId="0" applyNumberFormat="0" applyBorder="0" applyAlignment="0" applyProtection="0"/>
    <xf numFmtId="0" fontId="38" fillId="26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0" applyNumberFormat="0" applyBorder="0" applyAlignment="0" applyProtection="0"/>
    <xf numFmtId="0" fontId="21" fillId="14" borderId="1" applyNumberFormat="0" applyAlignment="0" applyProtection="0"/>
    <xf numFmtId="0" fontId="47" fillId="15" borderId="1" applyNumberFormat="0" applyAlignment="0" applyProtection="0"/>
    <xf numFmtId="0" fontId="40" fillId="35" borderId="1" applyNumberFormat="0" applyAlignment="0" applyProtection="0"/>
    <xf numFmtId="0" fontId="41" fillId="16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4" fillId="0" borderId="4" applyNumberFormat="0" applyFill="0" applyAlignment="0" applyProtection="0"/>
    <xf numFmtId="0" fontId="24" fillId="0" borderId="5" applyNumberFormat="0" applyFill="0" applyAlignment="0" applyProtection="0"/>
    <xf numFmtId="0" fontId="45" fillId="0" borderId="6" applyNumberFormat="0" applyFill="0" applyAlignment="0" applyProtection="0"/>
    <xf numFmtId="0" fontId="25" fillId="0" borderId="7" applyNumberFormat="0" applyFill="0" applyAlignment="0" applyProtection="0"/>
    <xf numFmtId="0" fontId="4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2" applyNumberFormat="0" applyAlignment="0" applyProtection="0"/>
    <xf numFmtId="0" fontId="41" fillId="36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8" fillId="0" borderId="9" applyNumberFormat="0" applyFill="0" applyAlignment="0" applyProtection="0"/>
    <xf numFmtId="0" fontId="47" fillId="14" borderId="1" applyNumberFormat="0" applyAlignment="0" applyProtection="0"/>
    <xf numFmtId="0" fontId="0" fillId="37" borderId="10" applyNumberFormat="0" applyFont="0" applyAlignment="0" applyProtection="0"/>
    <xf numFmtId="0" fontId="4" fillId="38" borderId="10" applyNumberFormat="0" applyAlignment="0" applyProtection="0"/>
    <xf numFmtId="0" fontId="20" fillId="25" borderId="0" applyNumberFormat="0" applyBorder="0" applyAlignment="0" applyProtection="0"/>
    <xf numFmtId="0" fontId="38" fillId="39" borderId="0" applyNumberFormat="0" applyBorder="0" applyAlignment="0" applyProtection="0"/>
    <xf numFmtId="0" fontId="20" fillId="34" borderId="0" applyNumberFormat="0" applyBorder="0" applyAlignment="0" applyProtection="0"/>
    <xf numFmtId="0" fontId="38" fillId="40" borderId="0" applyNumberFormat="0" applyBorder="0" applyAlignment="0" applyProtection="0"/>
    <xf numFmtId="0" fontId="20" fillId="26" borderId="0" applyNumberFormat="0" applyBorder="0" applyAlignment="0" applyProtection="0"/>
    <xf numFmtId="0" fontId="38" fillId="41" borderId="0" applyNumberFormat="0" applyBorder="0" applyAlignment="0" applyProtection="0"/>
    <xf numFmtId="0" fontId="20" fillId="29" borderId="0" applyNumberFormat="0" applyBorder="0" applyAlignment="0" applyProtection="0"/>
    <xf numFmtId="0" fontId="38" fillId="30" borderId="0" applyNumberFormat="0" applyBorder="0" applyAlignment="0" applyProtection="0"/>
    <xf numFmtId="0" fontId="20" fillId="2" borderId="0" applyNumberFormat="0" applyBorder="0" applyAlignment="0" applyProtection="0"/>
    <xf numFmtId="0" fontId="38" fillId="31" borderId="0" applyNumberFormat="0" applyBorder="0" applyAlignment="0" applyProtection="0"/>
    <xf numFmtId="0" fontId="20" fillId="3" borderId="0" applyNumberFormat="0" applyBorder="0" applyAlignment="0" applyProtection="0"/>
    <xf numFmtId="0" fontId="38" fillId="42" borderId="0" applyNumberFormat="0" applyBorder="0" applyAlignment="0" applyProtection="0"/>
    <xf numFmtId="0" fontId="29" fillId="8" borderId="0" applyNumberFormat="0" applyBorder="0" applyAlignment="0" applyProtection="0"/>
    <xf numFmtId="0" fontId="43" fillId="9" borderId="0" applyNumberFormat="0" applyBorder="0" applyAlignment="0" applyProtection="0"/>
    <xf numFmtId="0" fontId="30" fillId="35" borderId="11" applyNumberFormat="0" applyAlignment="0" applyProtection="0"/>
    <xf numFmtId="0" fontId="51" fillId="43" borderId="11" applyNumberFormat="0" applyAlignment="0" applyProtection="0"/>
    <xf numFmtId="0" fontId="1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7" fillId="37" borderId="10" applyNumberFormat="0" applyFont="0" applyAlignment="0" applyProtection="0"/>
    <xf numFmtId="0" fontId="51" fillId="35" borderId="11" applyNumberFormat="0" applyAlignment="0" applyProtection="0"/>
    <xf numFmtId="0" fontId="32" fillId="0" borderId="12" applyNumberFormat="0" applyFill="0" applyAlignment="0" applyProtection="0"/>
    <xf numFmtId="0" fontId="52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9" fillId="7" borderId="0" applyNumberFormat="0" applyBorder="0" applyAlignment="0" applyProtection="0"/>
    <xf numFmtId="0" fontId="34" fillId="44" borderId="0" applyNumberFormat="0" applyBorder="0" applyAlignment="0" applyProtection="0"/>
    <xf numFmtId="0" fontId="49" fillId="45" borderId="0" applyNumberFormat="0" applyBorder="0" applyAlignment="0" applyProtection="0"/>
    <xf numFmtId="0" fontId="35" fillId="35" borderId="1" applyNumberFormat="0" applyAlignment="0" applyProtection="0"/>
    <xf numFmtId="0" fontId="40" fillId="43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852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170" applyNumberFormat="1" applyFont="1" applyFill="1" applyBorder="1" applyAlignment="1">
      <alignment horizontal="center" vertical="center" wrapText="1"/>
      <protection/>
    </xf>
    <xf numFmtId="3" fontId="12" fillId="0" borderId="14" xfId="170" applyNumberFormat="1" applyFont="1" applyFill="1" applyBorder="1" applyAlignment="1">
      <alignment vertical="center"/>
      <protection/>
    </xf>
    <xf numFmtId="3" fontId="12" fillId="0" borderId="13" xfId="170" applyNumberFormat="1" applyFont="1" applyFill="1" applyBorder="1" applyAlignment="1">
      <alignment horizontal="center" vertical="center" wrapText="1"/>
      <protection/>
    </xf>
    <xf numFmtId="3" fontId="13" fillId="0" borderId="13" xfId="170" applyNumberFormat="1" applyFont="1" applyBorder="1" applyAlignment="1">
      <alignment horizontal="center" vertical="center"/>
      <protection/>
    </xf>
    <xf numFmtId="3" fontId="13" fillId="0" borderId="13" xfId="170" applyNumberFormat="1" applyFont="1" applyBorder="1" applyAlignment="1">
      <alignment horizontal="right" vertical="center"/>
      <protection/>
    </xf>
    <xf numFmtId="3" fontId="13" fillId="0" borderId="13" xfId="170" applyNumberFormat="1" applyFont="1" applyBorder="1" applyAlignment="1">
      <alignment vertical="center"/>
      <protection/>
    </xf>
    <xf numFmtId="3" fontId="13" fillId="0" borderId="13" xfId="170" applyNumberFormat="1" applyFont="1" applyFill="1" applyBorder="1" applyAlignment="1">
      <alignment horizontal="center" vertical="center"/>
      <protection/>
    </xf>
    <xf numFmtId="3" fontId="13" fillId="0" borderId="13" xfId="170" applyNumberFormat="1" applyFont="1" applyFill="1" applyBorder="1" applyAlignment="1">
      <alignment vertical="center"/>
      <protection/>
    </xf>
    <xf numFmtId="3" fontId="12" fillId="8" borderId="13" xfId="170" applyNumberFormat="1" applyFont="1" applyFill="1" applyBorder="1" applyAlignment="1">
      <alignment horizontal="right" vertical="center"/>
      <protection/>
    </xf>
    <xf numFmtId="3" fontId="12" fillId="0" borderId="13" xfId="170" applyNumberFormat="1" applyFont="1" applyFill="1" applyBorder="1" applyAlignment="1">
      <alignment horizontal="center" vertical="center"/>
      <protection/>
    </xf>
    <xf numFmtId="3" fontId="13" fillId="0" borderId="15" xfId="170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4" fillId="0" borderId="0" xfId="157">
      <alignment/>
      <protection/>
    </xf>
    <xf numFmtId="0" fontId="4" fillId="0" borderId="0" xfId="157" applyAlignment="1">
      <alignment vertical="center"/>
      <protection/>
    </xf>
    <xf numFmtId="0" fontId="4" fillId="0" borderId="0" xfId="157" applyAlignment="1">
      <alignment horizontal="center" vertical="center"/>
      <protection/>
    </xf>
    <xf numFmtId="0" fontId="4" fillId="0" borderId="0" xfId="157" applyAlignment="1">
      <alignment horizontal="center"/>
      <protection/>
    </xf>
    <xf numFmtId="0" fontId="8" fillId="8" borderId="13" xfId="157" applyFont="1" applyFill="1" applyBorder="1" applyAlignment="1">
      <alignment horizontal="center" vertical="center"/>
      <protection/>
    </xf>
    <xf numFmtId="0" fontId="9" fillId="8" borderId="13" xfId="157" applyFont="1" applyFill="1" applyBorder="1" applyAlignment="1">
      <alignment vertical="center"/>
      <protection/>
    </xf>
    <xf numFmtId="3" fontId="9" fillId="8" borderId="13" xfId="157" applyNumberFormat="1" applyFont="1" applyFill="1" applyBorder="1" applyAlignment="1">
      <alignment horizontal="right" vertical="center"/>
      <protection/>
    </xf>
    <xf numFmtId="3" fontId="18" fillId="0" borderId="0" xfId="170" applyNumberFormat="1" applyFont="1" applyFill="1" applyAlignment="1">
      <alignment vertical="center"/>
      <protection/>
    </xf>
    <xf numFmtId="3" fontId="6" fillId="0" borderId="0" xfId="170" applyNumberFormat="1" applyFont="1" applyAlignment="1">
      <alignment vertical="center"/>
      <protection/>
    </xf>
    <xf numFmtId="3" fontId="6" fillId="0" borderId="0" xfId="170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0" borderId="13" xfId="170" applyNumberFormat="1" applyFont="1" applyBorder="1" applyAlignment="1">
      <alignment horizontal="left" vertical="center" wrapText="1"/>
      <protection/>
    </xf>
    <xf numFmtId="3" fontId="13" fillId="0" borderId="13" xfId="170" applyNumberFormat="1" applyFont="1" applyBorder="1" applyAlignment="1">
      <alignment horizontal="left" vertical="center"/>
      <protection/>
    </xf>
    <xf numFmtId="3" fontId="13" fillId="8" borderId="13" xfId="170" applyNumberFormat="1" applyFont="1" applyFill="1" applyBorder="1" applyAlignment="1">
      <alignment horizontal="center" vertical="center"/>
      <protection/>
    </xf>
    <xf numFmtId="0" fontId="8" fillId="0" borderId="13" xfId="163" applyFont="1" applyFill="1" applyBorder="1" applyAlignment="1">
      <alignment vertical="center"/>
      <protection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horizontal="left" vertical="center" wrapText="1"/>
    </xf>
    <xf numFmtId="3" fontId="12" fillId="8" borderId="2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8" borderId="17" xfId="0" applyNumberFormat="1" applyFont="1" applyFill="1" applyBorder="1" applyAlignment="1">
      <alignment horizontal="center" vertical="center" wrapText="1"/>
    </xf>
    <xf numFmtId="3" fontId="9" fillId="8" borderId="2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vertical="center" wrapText="1"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3" fontId="12" fillId="8" borderId="13" xfId="170" applyNumberFormat="1" applyFont="1" applyFill="1" applyBorder="1" applyAlignment="1">
      <alignment vertical="center"/>
      <protection/>
    </xf>
    <xf numFmtId="0" fontId="13" fillId="0" borderId="16" xfId="0" applyFont="1" applyBorder="1" applyAlignment="1">
      <alignment vertical="center"/>
    </xf>
    <xf numFmtId="3" fontId="12" fillId="0" borderId="16" xfId="0" applyNumberFormat="1" applyFont="1" applyBorder="1" applyAlignment="1">
      <alignment vertical="center" wrapText="1"/>
    </xf>
    <xf numFmtId="0" fontId="8" fillId="0" borderId="13" xfId="157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right" vertical="center"/>
    </xf>
    <xf numFmtId="3" fontId="6" fillId="0" borderId="0" xfId="152" applyNumberFormat="1" applyFont="1" applyAlignment="1">
      <alignment vertical="center"/>
      <protection/>
    </xf>
    <xf numFmtId="0" fontId="6" fillId="0" borderId="0" xfId="152" applyFont="1" applyAlignment="1">
      <alignment vertical="center"/>
      <protection/>
    </xf>
    <xf numFmtId="3" fontId="6" fillId="0" borderId="0" xfId="152" applyNumberFormat="1" applyFont="1" applyBorder="1" applyAlignment="1">
      <alignment vertical="center"/>
      <protection/>
    </xf>
    <xf numFmtId="0" fontId="6" fillId="0" borderId="0" xfId="152" applyFont="1" applyBorder="1" applyAlignment="1">
      <alignment vertical="center"/>
      <protection/>
    </xf>
    <xf numFmtId="0" fontId="12" fillId="0" borderId="0" xfId="152" applyFont="1" applyFill="1" applyBorder="1" applyAlignment="1">
      <alignment vertical="center"/>
      <protection/>
    </xf>
    <xf numFmtId="0" fontId="6" fillId="0" borderId="0" xfId="152" applyFont="1" applyFill="1" applyBorder="1" applyAlignment="1">
      <alignment vertical="center" wrapText="1"/>
      <protection/>
    </xf>
    <xf numFmtId="3" fontId="8" fillId="0" borderId="13" xfId="157" applyNumberFormat="1" applyFont="1" applyFill="1" applyBorder="1" applyAlignment="1">
      <alignment horizontal="right" vertical="center" wrapText="1"/>
      <protection/>
    </xf>
    <xf numFmtId="3" fontId="8" fillId="0" borderId="13" xfId="157" applyNumberFormat="1" applyFont="1" applyFill="1" applyBorder="1" applyAlignment="1">
      <alignment horizontal="right" vertical="center"/>
      <protection/>
    </xf>
    <xf numFmtId="3" fontId="18" fillId="0" borderId="0" xfId="170" applyNumberFormat="1" applyFont="1" applyAlignment="1">
      <alignment vertical="center"/>
      <protection/>
    </xf>
    <xf numFmtId="3" fontId="9" fillId="0" borderId="13" xfId="170" applyNumberFormat="1" applyFont="1" applyFill="1" applyBorder="1" applyAlignment="1">
      <alignment horizontal="left" vertical="center" wrapText="1"/>
      <protection/>
    </xf>
    <xf numFmtId="3" fontId="8" fillId="0" borderId="13" xfId="170" applyNumberFormat="1" applyFont="1" applyFill="1" applyBorder="1" applyAlignment="1">
      <alignment horizontal="center" vertical="center" wrapText="1"/>
      <protection/>
    </xf>
    <xf numFmtId="3" fontId="8" fillId="0" borderId="13" xfId="170" applyNumberFormat="1" applyFont="1" applyFill="1" applyBorder="1" applyAlignment="1">
      <alignment horizontal="left" vertical="center" wrapText="1"/>
      <protection/>
    </xf>
    <xf numFmtId="3" fontId="8" fillId="0" borderId="13" xfId="170" applyNumberFormat="1" applyFont="1" applyFill="1" applyBorder="1" applyAlignment="1">
      <alignment vertical="center" wrapText="1"/>
      <protection/>
    </xf>
    <xf numFmtId="3" fontId="6" fillId="0" borderId="0" xfId="170" applyNumberFormat="1" applyFont="1" applyFill="1" applyAlignment="1">
      <alignment vertical="center"/>
      <protection/>
    </xf>
    <xf numFmtId="3" fontId="8" fillId="0" borderId="13" xfId="170" applyNumberFormat="1" applyFont="1" applyBorder="1" applyAlignment="1">
      <alignment horizontal="left" vertical="center" wrapText="1"/>
      <protection/>
    </xf>
    <xf numFmtId="3" fontId="8" fillId="0" borderId="13" xfId="170" applyNumberFormat="1" applyFont="1" applyBorder="1" applyAlignment="1">
      <alignment vertical="center"/>
      <protection/>
    </xf>
    <xf numFmtId="3" fontId="8" fillId="0" borderId="13" xfId="170" applyNumberFormat="1" applyFont="1" applyBorder="1" applyAlignment="1">
      <alignment horizontal="left" vertical="center"/>
      <protection/>
    </xf>
    <xf numFmtId="3" fontId="8" fillId="0" borderId="13" xfId="170" applyNumberFormat="1" applyFont="1" applyFill="1" applyBorder="1" applyAlignment="1">
      <alignment vertical="center"/>
      <protection/>
    </xf>
    <xf numFmtId="3" fontId="9" fillId="0" borderId="13" xfId="170" applyNumberFormat="1" applyFont="1" applyBorder="1" applyAlignment="1">
      <alignment vertical="center"/>
      <protection/>
    </xf>
    <xf numFmtId="3" fontId="9" fillId="0" borderId="13" xfId="170" applyNumberFormat="1" applyFont="1" applyBorder="1" applyAlignment="1">
      <alignment horizontal="left" vertical="center" wrapText="1"/>
      <protection/>
    </xf>
    <xf numFmtId="3" fontId="8" fillId="0" borderId="13" xfId="170" applyNumberFormat="1" applyFont="1" applyBorder="1" applyAlignment="1">
      <alignment horizontal="center" vertical="center"/>
      <protection/>
    </xf>
    <xf numFmtId="3" fontId="9" fillId="0" borderId="13" xfId="170" applyNumberFormat="1" applyFont="1" applyFill="1" applyBorder="1" applyAlignment="1">
      <alignment vertical="center"/>
      <protection/>
    </xf>
    <xf numFmtId="3" fontId="8" fillId="8" borderId="13" xfId="170" applyNumberFormat="1" applyFont="1" applyFill="1" applyBorder="1" applyAlignment="1">
      <alignment horizontal="center" vertical="center"/>
      <protection/>
    </xf>
    <xf numFmtId="3" fontId="9" fillId="8" borderId="13" xfId="170" applyNumberFormat="1" applyFont="1" applyFill="1" applyBorder="1" applyAlignment="1">
      <alignment horizontal="left" vertical="center" wrapText="1"/>
      <protection/>
    </xf>
    <xf numFmtId="3" fontId="9" fillId="8" borderId="13" xfId="170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3" xfId="163" applyNumberFormat="1" applyFont="1" applyFill="1" applyBorder="1" applyAlignment="1">
      <alignment horizontal="right" vertical="center"/>
      <protection/>
    </xf>
    <xf numFmtId="3" fontId="12" fillId="8" borderId="24" xfId="170" applyNumberFormat="1" applyFont="1" applyFill="1" applyBorder="1" applyAlignment="1">
      <alignment horizontal="center" vertical="center" wrapText="1"/>
      <protection/>
    </xf>
    <xf numFmtId="3" fontId="12" fillId="8" borderId="13" xfId="170" applyNumberFormat="1" applyFont="1" applyFill="1" applyBorder="1" applyAlignment="1">
      <alignment horizontal="center" vertical="center" wrapText="1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left" vertical="center"/>
    </xf>
    <xf numFmtId="3" fontId="16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3" fontId="13" fillId="46" borderId="15" xfId="0" applyNumberFormat="1" applyFont="1" applyFill="1" applyBorder="1" applyAlignment="1">
      <alignment vertical="center"/>
    </xf>
    <xf numFmtId="0" fontId="8" fillId="0" borderId="13" xfId="163" applyFont="1" applyFill="1" applyBorder="1" applyAlignment="1">
      <alignment vertical="center" wrapText="1"/>
      <protection/>
    </xf>
    <xf numFmtId="0" fontId="8" fillId="0" borderId="13" xfId="157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36" fillId="8" borderId="13" xfId="157" applyFont="1" applyFill="1" applyBorder="1" applyAlignment="1">
      <alignment horizontal="center" vertical="center" wrapText="1"/>
      <protection/>
    </xf>
    <xf numFmtId="3" fontId="8" fillId="0" borderId="13" xfId="157" applyNumberFormat="1" applyFont="1" applyBorder="1" applyAlignment="1">
      <alignment horizontal="right" vertical="center" wrapText="1"/>
      <protection/>
    </xf>
    <xf numFmtId="3" fontId="8" fillId="0" borderId="13" xfId="157" applyNumberFormat="1" applyFont="1" applyBorder="1" applyAlignment="1">
      <alignment horizontal="right"/>
      <protection/>
    </xf>
    <xf numFmtId="3" fontId="13" fillId="0" borderId="25" xfId="153" applyNumberFormat="1" applyFont="1" applyFill="1" applyBorder="1" applyAlignment="1">
      <alignment vertical="center" wrapText="1"/>
      <protection/>
    </xf>
    <xf numFmtId="0" fontId="8" fillId="0" borderId="26" xfId="139" applyFont="1" applyBorder="1" applyAlignment="1">
      <alignment vertical="center"/>
      <protection/>
    </xf>
    <xf numFmtId="49" fontId="13" fillId="0" borderId="26" xfId="154" applyNumberFormat="1" applyFont="1" applyBorder="1" applyAlignment="1">
      <alignment horizontal="left" vertical="center" wrapText="1"/>
      <protection/>
    </xf>
    <xf numFmtId="49" fontId="8" fillId="47" borderId="26" xfId="161" applyNumberFormat="1" applyFont="1" applyFill="1" applyBorder="1" applyAlignment="1">
      <alignment horizontal="left" vertical="top" wrapText="1"/>
      <protection/>
    </xf>
    <xf numFmtId="0" fontId="8" fillId="0" borderId="26" xfId="168" applyFont="1" applyBorder="1" applyAlignment="1">
      <alignment vertical="center"/>
      <protection/>
    </xf>
    <xf numFmtId="0" fontId="9" fillId="0" borderId="26" xfId="150" applyFont="1" applyFill="1" applyBorder="1" applyAlignment="1">
      <alignment vertical="top"/>
      <protection/>
    </xf>
    <xf numFmtId="0" fontId="8" fillId="0" borderId="26" xfId="161" applyFont="1" applyFill="1" applyBorder="1">
      <alignment/>
      <protection/>
    </xf>
    <xf numFmtId="49" fontId="0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45" applyFont="1" applyFill="1" applyBorder="1" applyAlignment="1">
      <alignment vertical="top" wrapText="1"/>
      <protection/>
    </xf>
    <xf numFmtId="0" fontId="13" fillId="0" borderId="26" xfId="161" applyFont="1" applyBorder="1" applyAlignment="1">
      <alignment wrapText="1"/>
      <protection/>
    </xf>
    <xf numFmtId="49" fontId="8" fillId="0" borderId="26" xfId="161" applyNumberFormat="1" applyFont="1" applyFill="1" applyBorder="1" applyAlignment="1">
      <alignment horizontal="left" vertical="top" wrapText="1"/>
      <protection/>
    </xf>
    <xf numFmtId="49" fontId="8" fillId="47" borderId="27" xfId="161" applyNumberFormat="1" applyFont="1" applyFill="1" applyBorder="1" applyAlignment="1">
      <alignment horizontal="left" vertical="top" wrapText="1"/>
      <protection/>
    </xf>
    <xf numFmtId="0" fontId="13" fillId="0" borderId="26" xfId="161" applyFont="1" applyFill="1" applyBorder="1" applyAlignment="1">
      <alignment horizontal="left" vertical="top" wrapText="1"/>
      <protection/>
    </xf>
    <xf numFmtId="0" fontId="13" fillId="0" borderId="26" xfId="161" applyFont="1" applyBorder="1">
      <alignment/>
      <protection/>
    </xf>
    <xf numFmtId="0" fontId="8" fillId="0" borderId="26" xfId="150" applyFont="1" applyFill="1" applyBorder="1" applyAlignment="1">
      <alignment vertical="top" wrapText="1"/>
      <protection/>
    </xf>
    <xf numFmtId="0" fontId="13" fillId="0" borderId="26" xfId="161" applyFont="1" applyFill="1" applyBorder="1" applyAlignment="1">
      <alignment wrapText="1"/>
      <protection/>
    </xf>
    <xf numFmtId="3" fontId="8" fillId="0" borderId="26" xfId="161" applyNumberFormat="1" applyFont="1" applyFill="1" applyBorder="1" applyAlignment="1">
      <alignment vertical="center" wrapText="1"/>
      <protection/>
    </xf>
    <xf numFmtId="49" fontId="0" fillId="0" borderId="26" xfId="161" applyNumberFormat="1" applyFont="1" applyBorder="1" applyAlignment="1">
      <alignment horizontal="left" vertical="center" wrapText="1"/>
      <protection/>
    </xf>
    <xf numFmtId="0" fontId="8" fillId="47" borderId="26" xfId="150" applyFont="1" applyFill="1" applyBorder="1" applyAlignment="1">
      <alignment vertical="top" wrapText="1"/>
      <protection/>
    </xf>
    <xf numFmtId="0" fontId="9" fillId="0" borderId="26" xfId="168" applyFont="1" applyBorder="1" applyAlignment="1">
      <alignment vertical="center"/>
      <protection/>
    </xf>
    <xf numFmtId="0" fontId="13" fillId="0" borderId="26" xfId="161" applyFont="1" applyBorder="1" applyAlignment="1">
      <alignment horizontal="left" wrapText="1"/>
      <protection/>
    </xf>
    <xf numFmtId="0" fontId="13" fillId="0" borderId="26" xfId="161" applyFont="1" applyFill="1" applyBorder="1">
      <alignment/>
      <protection/>
    </xf>
    <xf numFmtId="49" fontId="56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68" applyFont="1" applyFill="1" applyBorder="1" applyAlignment="1">
      <alignment vertical="center" wrapText="1"/>
      <protection/>
    </xf>
    <xf numFmtId="0" fontId="13" fillId="0" borderId="26" xfId="168" applyFont="1" applyFill="1" applyBorder="1" applyAlignment="1">
      <alignment vertical="center" wrapText="1"/>
      <protection/>
    </xf>
    <xf numFmtId="0" fontId="13" fillId="0" borderId="26" xfId="168" applyFont="1" applyBorder="1" applyAlignment="1">
      <alignment vertical="center"/>
      <protection/>
    </xf>
    <xf numFmtId="3" fontId="13" fillId="0" borderId="21" xfId="170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2" fillId="8" borderId="29" xfId="0" applyNumberFormat="1" applyFont="1" applyFill="1" applyBorder="1" applyAlignment="1">
      <alignment vertical="center"/>
    </xf>
    <xf numFmtId="3" fontId="12" fillId="8" borderId="29" xfId="0" applyNumberFormat="1" applyFont="1" applyFill="1" applyBorder="1" applyAlignment="1">
      <alignment vertical="center" wrapText="1"/>
    </xf>
    <xf numFmtId="3" fontId="12" fillId="8" borderId="30" xfId="0" applyNumberFormat="1" applyFont="1" applyFill="1" applyBorder="1" applyAlignment="1">
      <alignment vertical="center" wrapText="1"/>
    </xf>
    <xf numFmtId="3" fontId="12" fillId="8" borderId="31" xfId="0" applyNumberFormat="1" applyFont="1" applyFill="1" applyBorder="1" applyAlignment="1">
      <alignment vertical="center"/>
    </xf>
    <xf numFmtId="3" fontId="12" fillId="8" borderId="3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8" borderId="23" xfId="0" applyNumberFormat="1" applyFont="1" applyFill="1" applyBorder="1" applyAlignment="1">
      <alignment horizontal="center" vertical="center" wrapText="1"/>
    </xf>
    <xf numFmtId="3" fontId="9" fillId="0" borderId="20" xfId="170" applyNumberFormat="1" applyFont="1" applyFill="1" applyBorder="1" applyAlignment="1">
      <alignment horizontal="center" vertical="center" wrapText="1"/>
      <protection/>
    </xf>
    <xf numFmtId="3" fontId="9" fillId="0" borderId="20" xfId="170" applyNumberFormat="1" applyFont="1" applyFill="1" applyBorder="1" applyAlignment="1">
      <alignment horizontal="left" vertical="center" wrapText="1"/>
      <protection/>
    </xf>
    <xf numFmtId="0" fontId="13" fillId="9" borderId="32" xfId="152" applyFont="1" applyFill="1" applyBorder="1" applyAlignment="1">
      <alignment vertical="center"/>
      <protection/>
    </xf>
    <xf numFmtId="0" fontId="12" fillId="9" borderId="33" xfId="152" applyFont="1" applyFill="1" applyBorder="1" applyAlignment="1">
      <alignment horizontal="center" vertical="top"/>
      <protection/>
    </xf>
    <xf numFmtId="3" fontId="12" fillId="9" borderId="34" xfId="152" applyNumberFormat="1" applyFont="1" applyFill="1" applyBorder="1" applyAlignment="1">
      <alignment horizontal="center" vertical="center" wrapText="1"/>
      <protection/>
    </xf>
    <xf numFmtId="3" fontId="12" fillId="9" borderId="35" xfId="152" applyNumberFormat="1" applyFont="1" applyFill="1" applyBorder="1" applyAlignment="1">
      <alignment horizontal="center" vertical="center" wrapText="1"/>
      <protection/>
    </xf>
    <xf numFmtId="0" fontId="16" fillId="0" borderId="36" xfId="152" applyFont="1" applyBorder="1" applyAlignment="1">
      <alignment vertical="center"/>
      <protection/>
    </xf>
    <xf numFmtId="0" fontId="13" fillId="0" borderId="36" xfId="152" applyFont="1" applyBorder="1" applyAlignment="1">
      <alignment vertical="center"/>
      <protection/>
    </xf>
    <xf numFmtId="0" fontId="13" fillId="0" borderId="36" xfId="152" applyFont="1" applyBorder="1" applyAlignment="1">
      <alignment vertical="center" wrapText="1"/>
      <protection/>
    </xf>
    <xf numFmtId="49" fontId="13" fillId="0" borderId="36" xfId="152" applyNumberFormat="1" applyFont="1" applyBorder="1" applyAlignment="1">
      <alignment vertical="center" wrapText="1"/>
      <protection/>
    </xf>
    <xf numFmtId="3" fontId="13" fillId="0" borderId="36" xfId="152" applyNumberFormat="1" applyFont="1" applyBorder="1" applyAlignment="1">
      <alignment vertical="center"/>
      <protection/>
    </xf>
    <xf numFmtId="3" fontId="13" fillId="0" borderId="36" xfId="152" applyNumberFormat="1" applyFont="1" applyFill="1" applyBorder="1" applyAlignment="1">
      <alignment vertical="center"/>
      <protection/>
    </xf>
    <xf numFmtId="0" fontId="13" fillId="0" borderId="36" xfId="152" applyFont="1" applyFill="1" applyBorder="1" applyAlignment="1">
      <alignment vertical="center"/>
      <protection/>
    </xf>
    <xf numFmtId="0" fontId="12" fillId="9" borderId="36" xfId="152" applyFont="1" applyFill="1" applyBorder="1" applyAlignment="1">
      <alignment vertical="center"/>
      <protection/>
    </xf>
    <xf numFmtId="3" fontId="12" fillId="9" borderId="36" xfId="152" applyNumberFormat="1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 wrapText="1"/>
    </xf>
    <xf numFmtId="0" fontId="8" fillId="0" borderId="13" xfId="167" applyFont="1" applyFill="1" applyBorder="1" applyAlignment="1">
      <alignment vertical="center" wrapText="1"/>
      <protection/>
    </xf>
    <xf numFmtId="3" fontId="8" fillId="0" borderId="15" xfId="0" applyNumberFormat="1" applyFont="1" applyBorder="1" applyAlignment="1">
      <alignment vertical="center" wrapText="1"/>
    </xf>
    <xf numFmtId="3" fontId="8" fillId="0" borderId="13" xfId="157" applyNumberFormat="1" applyFont="1" applyBorder="1" applyAlignment="1">
      <alignment horizontal="right" vertical="center"/>
      <protection/>
    </xf>
    <xf numFmtId="3" fontId="13" fillId="46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6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13" xfId="170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162" applyFont="1" applyFill="1" applyBorder="1" applyAlignment="1">
      <alignment horizontal="left" vertical="center" wrapText="1"/>
      <protection/>
    </xf>
    <xf numFmtId="0" fontId="8" fillId="0" borderId="13" xfId="157" applyFont="1" applyBorder="1" applyAlignment="1">
      <alignment vertical="center"/>
      <protection/>
    </xf>
    <xf numFmtId="0" fontId="59" fillId="8" borderId="13" xfId="157" applyFont="1" applyFill="1" applyBorder="1" applyAlignment="1">
      <alignment horizontal="center" vertical="center"/>
      <protection/>
    </xf>
    <xf numFmtId="0" fontId="60" fillId="8" borderId="13" xfId="157" applyFont="1" applyFill="1" applyBorder="1" applyAlignment="1">
      <alignment vertical="center"/>
      <protection/>
    </xf>
    <xf numFmtId="0" fontId="59" fillId="8" borderId="13" xfId="157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 wrapText="1"/>
    </xf>
    <xf numFmtId="3" fontId="13" fillId="0" borderId="15" xfId="170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3" fontId="13" fillId="0" borderId="15" xfId="170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8" fillId="0" borderId="13" xfId="165" applyNumberFormat="1" applyFont="1" applyFill="1" applyBorder="1" applyAlignment="1">
      <alignment vertical="center"/>
      <protection/>
    </xf>
    <xf numFmtId="3" fontId="8" fillId="0" borderId="36" xfId="152" applyNumberFormat="1" applyFont="1" applyFill="1" applyBorder="1" applyAlignment="1">
      <alignment vertical="center"/>
      <protection/>
    </xf>
    <xf numFmtId="4" fontId="8" fillId="0" borderId="36" xfId="152" applyNumberFormat="1" applyFont="1" applyFill="1" applyBorder="1" applyAlignment="1">
      <alignment vertical="center"/>
      <protection/>
    </xf>
    <xf numFmtId="179" fontId="8" fillId="0" borderId="36" xfId="152" applyNumberFormat="1" applyFont="1" applyFill="1" applyBorder="1" applyAlignment="1">
      <alignment vertical="center"/>
      <protection/>
    </xf>
    <xf numFmtId="3" fontId="57" fillId="0" borderId="36" xfId="152" applyNumberFormat="1" applyFont="1" applyFill="1" applyBorder="1" applyAlignment="1">
      <alignment vertical="center"/>
      <protection/>
    </xf>
    <xf numFmtId="196" fontId="8" fillId="0" borderId="36" xfId="152" applyNumberFormat="1" applyFont="1" applyFill="1" applyBorder="1" applyAlignment="1">
      <alignment vertical="center"/>
      <protection/>
    </xf>
    <xf numFmtId="3" fontId="8" fillId="0" borderId="36" xfId="152" applyNumberFormat="1" applyFont="1" applyBorder="1" applyAlignment="1">
      <alignment vertical="center"/>
      <protection/>
    </xf>
    <xf numFmtId="3" fontId="8" fillId="0" borderId="36" xfId="152" applyNumberFormat="1" applyFont="1" applyBorder="1" applyAlignment="1">
      <alignment horizontal="right" vertical="center"/>
      <protection/>
    </xf>
    <xf numFmtId="0" fontId="6" fillId="0" borderId="36" xfId="152" applyFont="1" applyBorder="1" applyAlignment="1">
      <alignment vertical="center"/>
      <protection/>
    </xf>
    <xf numFmtId="0" fontId="6" fillId="0" borderId="36" xfId="152" applyFont="1" applyFill="1" applyBorder="1" applyAlignment="1">
      <alignment vertical="center"/>
      <protection/>
    </xf>
    <xf numFmtId="179" fontId="8" fillId="0" borderId="36" xfId="152" applyNumberFormat="1" applyFont="1" applyBorder="1" applyAlignment="1">
      <alignment vertical="center"/>
      <protection/>
    </xf>
    <xf numFmtId="3" fontId="8" fillId="0" borderId="36" xfId="152" applyNumberFormat="1" applyFont="1" applyFill="1" applyBorder="1" applyAlignment="1">
      <alignment horizontal="right" vertical="center"/>
      <protection/>
    </xf>
    <xf numFmtId="3" fontId="6" fillId="0" borderId="0" xfId="152" applyNumberFormat="1" applyFont="1" applyFill="1" applyAlignment="1">
      <alignment vertical="center"/>
      <protection/>
    </xf>
    <xf numFmtId="3" fontId="57" fillId="0" borderId="36" xfId="152" applyNumberFormat="1" applyFont="1" applyFill="1" applyBorder="1" applyAlignment="1">
      <alignment horizontal="right" vertical="center"/>
      <protection/>
    </xf>
    <xf numFmtId="3" fontId="9" fillId="48" borderId="22" xfId="170" applyNumberFormat="1" applyFont="1" applyFill="1" applyBorder="1" applyAlignment="1">
      <alignment horizontal="center" vertical="center" wrapText="1"/>
      <protection/>
    </xf>
    <xf numFmtId="0" fontId="55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center"/>
      <protection/>
    </xf>
    <xf numFmtId="0" fontId="5" fillId="0" borderId="0" xfId="138" applyAlignment="1">
      <alignment vertical="center"/>
      <protection/>
    </xf>
    <xf numFmtId="0" fontId="12" fillId="8" borderId="13" xfId="138" applyFont="1" applyFill="1" applyBorder="1" applyAlignment="1">
      <alignment horizontal="center" vertical="top" wrapText="1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0" fontId="55" fillId="8" borderId="15" xfId="0" applyFont="1" applyFill="1" applyBorder="1" applyAlignment="1">
      <alignment horizontal="center" vertical="center" wrapText="1"/>
    </xf>
    <xf numFmtId="0" fontId="5" fillId="0" borderId="0" xfId="138" applyAlignment="1">
      <alignment vertical="top"/>
      <protection/>
    </xf>
    <xf numFmtId="0" fontId="13" fillId="0" borderId="13" xfId="138" applyFont="1" applyBorder="1" applyAlignment="1">
      <alignment vertical="center"/>
      <protection/>
    </xf>
    <xf numFmtId="0" fontId="13" fillId="0" borderId="21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0" fontId="13" fillId="0" borderId="13" xfId="138" applyFont="1" applyBorder="1" applyAlignment="1">
      <alignment vertical="center" wrapText="1"/>
      <protection/>
    </xf>
    <xf numFmtId="3" fontId="13" fillId="0" borderId="13" xfId="138" applyNumberFormat="1" applyFont="1" applyBorder="1" applyAlignment="1">
      <alignment vertical="center"/>
      <protection/>
    </xf>
    <xf numFmtId="0" fontId="8" fillId="0" borderId="13" xfId="165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vertical="center" wrapText="1"/>
      <protection/>
    </xf>
    <xf numFmtId="3" fontId="12" fillId="8" borderId="13" xfId="138" applyNumberFormat="1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63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3" fillId="0" borderId="13" xfId="170" applyNumberFormat="1" applyFont="1" applyFill="1" applyBorder="1" applyAlignment="1">
      <alignment horizontal="left" vertical="center"/>
      <protection/>
    </xf>
    <xf numFmtId="0" fontId="13" fillId="0" borderId="13" xfId="165" applyFont="1" applyFill="1" applyBorder="1" applyAlignment="1">
      <alignment vertical="center" wrapText="1"/>
      <protection/>
    </xf>
    <xf numFmtId="0" fontId="13" fillId="0" borderId="13" xfId="138" applyFont="1" applyFill="1" applyBorder="1" applyAlignment="1">
      <alignment vertical="center"/>
      <protection/>
    </xf>
    <xf numFmtId="3" fontId="12" fillId="0" borderId="13" xfId="170" applyNumberFormat="1" applyFont="1" applyFill="1" applyBorder="1" applyAlignment="1">
      <alignment horizontal="right" vertical="center"/>
      <protection/>
    </xf>
    <xf numFmtId="0" fontId="5" fillId="0" borderId="0" xfId="141">
      <alignment/>
      <protection/>
    </xf>
    <xf numFmtId="0" fontId="9" fillId="8" borderId="37" xfId="138" applyFont="1" applyFill="1" applyBorder="1" applyAlignment="1">
      <alignment horizontal="center" vertical="top" wrapText="1"/>
      <protection/>
    </xf>
    <xf numFmtId="0" fontId="9" fillId="8" borderId="20" xfId="138" applyFont="1" applyFill="1" applyBorder="1" applyAlignment="1">
      <alignment horizontal="center" vertical="top" wrapText="1"/>
      <protection/>
    </xf>
    <xf numFmtId="0" fontId="3" fillId="8" borderId="21" xfId="0" applyFont="1" applyFill="1" applyBorder="1" applyAlignment="1">
      <alignment horizontal="center" vertical="center" wrapText="1"/>
    </xf>
    <xf numFmtId="0" fontId="9" fillId="8" borderId="20" xfId="138" applyFont="1" applyFill="1" applyBorder="1" applyAlignment="1">
      <alignment horizontal="center" vertical="center" wrapText="1"/>
      <protection/>
    </xf>
    <xf numFmtId="0" fontId="3" fillId="8" borderId="38" xfId="0" applyFont="1" applyFill="1" applyBorder="1" applyAlignment="1">
      <alignment horizontal="center" vertical="center" wrapText="1"/>
    </xf>
    <xf numFmtId="0" fontId="5" fillId="0" borderId="0" xfId="141" applyAlignment="1">
      <alignment vertical="center"/>
      <protection/>
    </xf>
    <xf numFmtId="0" fontId="8" fillId="0" borderId="13" xfId="165" applyFont="1" applyBorder="1" applyAlignment="1">
      <alignment horizontal="center" vertical="center"/>
      <protection/>
    </xf>
    <xf numFmtId="0" fontId="9" fillId="0" borderId="21" xfId="165" applyFont="1" applyBorder="1" applyAlignment="1">
      <alignment vertical="center"/>
      <protection/>
    </xf>
    <xf numFmtId="0" fontId="8" fillId="0" borderId="13" xfId="165" applyFont="1" applyBorder="1" applyAlignment="1">
      <alignment vertical="center"/>
      <protection/>
    </xf>
    <xf numFmtId="0" fontId="8" fillId="0" borderId="21" xfId="165" applyFont="1" applyBorder="1" applyAlignment="1">
      <alignment vertical="center"/>
      <protection/>
    </xf>
    <xf numFmtId="0" fontId="9" fillId="0" borderId="13" xfId="165" applyFont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3" xfId="138" applyFont="1" applyBorder="1" applyAlignment="1">
      <alignment vertical="center"/>
      <protection/>
    </xf>
    <xf numFmtId="3" fontId="9" fillId="0" borderId="16" xfId="0" applyNumberFormat="1" applyFont="1" applyFill="1" applyBorder="1" applyAlignment="1">
      <alignment vertical="center"/>
    </xf>
    <xf numFmtId="0" fontId="64" fillId="0" borderId="0" xfId="141" applyFont="1" applyAlignment="1">
      <alignment vertical="center"/>
      <protection/>
    </xf>
    <xf numFmtId="0" fontId="13" fillId="0" borderId="15" xfId="165" applyFont="1" applyBorder="1" applyAlignment="1">
      <alignment vertical="center" wrapText="1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3" xfId="165" applyFont="1" applyFill="1" applyBorder="1" applyAlignment="1">
      <alignment horizontal="center" vertical="center"/>
      <protection/>
    </xf>
    <xf numFmtId="3" fontId="8" fillId="0" borderId="16" xfId="165" applyNumberFormat="1" applyFont="1" applyFill="1" applyBorder="1" applyAlignment="1">
      <alignment vertical="center"/>
      <protection/>
    </xf>
    <xf numFmtId="0" fontId="9" fillId="8" borderId="13" xfId="165" applyFont="1" applyFill="1" applyBorder="1" applyAlignment="1">
      <alignment horizontal="center" vertical="center"/>
      <protection/>
    </xf>
    <xf numFmtId="3" fontId="9" fillId="8" borderId="13" xfId="0" applyNumberFormat="1" applyFont="1" applyFill="1" applyBorder="1" applyAlignment="1">
      <alignment vertical="center"/>
    </xf>
    <xf numFmtId="3" fontId="9" fillId="8" borderId="13" xfId="165" applyNumberFormat="1" applyFont="1" applyFill="1" applyBorder="1" applyAlignment="1">
      <alignment vertical="center"/>
      <protection/>
    </xf>
    <xf numFmtId="0" fontId="9" fillId="0" borderId="13" xfId="165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/>
    </xf>
    <xf numFmtId="3" fontId="9" fillId="0" borderId="13" xfId="165" applyNumberFormat="1" applyFont="1" applyFill="1" applyBorder="1" applyAlignment="1">
      <alignment vertical="center"/>
      <protection/>
    </xf>
    <xf numFmtId="0" fontId="8" fillId="0" borderId="13" xfId="165" applyFont="1" applyBorder="1" applyAlignment="1">
      <alignment vertical="center" wrapText="1"/>
      <protection/>
    </xf>
    <xf numFmtId="0" fontId="8" fillId="0" borderId="13" xfId="165" applyFont="1" applyFill="1" applyBorder="1" applyAlignment="1">
      <alignment vertical="center" wrapText="1"/>
      <protection/>
    </xf>
    <xf numFmtId="0" fontId="36" fillId="0" borderId="13" xfId="165" applyFont="1" applyFill="1" applyBorder="1" applyAlignment="1">
      <alignment vertical="center" wrapText="1"/>
      <protection/>
    </xf>
    <xf numFmtId="3" fontId="8" fillId="0" borderId="15" xfId="149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0" fontId="8" fillId="0" borderId="21" xfId="165" applyFont="1" applyBorder="1" applyAlignment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8" fillId="0" borderId="13" xfId="149" applyNumberFormat="1" applyFont="1" applyFill="1" applyBorder="1" applyAlignment="1">
      <alignment vertical="center" wrapText="1"/>
      <protection/>
    </xf>
    <xf numFmtId="0" fontId="8" fillId="0" borderId="13" xfId="149" applyFont="1" applyBorder="1" applyAlignment="1">
      <alignment vertical="center" wrapText="1"/>
      <protection/>
    </xf>
    <xf numFmtId="3" fontId="9" fillId="8" borderId="16" xfId="165" applyNumberFormat="1" applyFont="1" applyFill="1" applyBorder="1" applyAlignment="1">
      <alignment vertical="center"/>
      <protection/>
    </xf>
    <xf numFmtId="3" fontId="8" fillId="0" borderId="13" xfId="165" applyNumberFormat="1" applyFont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5" xfId="165" applyFont="1" applyBorder="1" applyAlignment="1">
      <alignment vertical="center"/>
      <protection/>
    </xf>
    <xf numFmtId="0" fontId="8" fillId="0" borderId="15" xfId="149" applyFont="1" applyBorder="1" applyAlignment="1">
      <alignment vertical="center" wrapText="1"/>
      <protection/>
    </xf>
    <xf numFmtId="0" fontId="13" fillId="0" borderId="15" xfId="165" applyFont="1" applyFill="1" applyBorder="1" applyAlignment="1">
      <alignment vertical="center" wrapText="1"/>
      <protection/>
    </xf>
    <xf numFmtId="0" fontId="5" fillId="0" borderId="0" xfId="141" applyFont="1" applyAlignment="1">
      <alignment vertical="center"/>
      <protection/>
    </xf>
    <xf numFmtId="0" fontId="8" fillId="0" borderId="15" xfId="165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top" wrapText="1"/>
    </xf>
    <xf numFmtId="3" fontId="8" fillId="0" borderId="13" xfId="165" applyNumberFormat="1" applyFont="1" applyBorder="1" applyAlignment="1">
      <alignment vertical="center" wrapText="1"/>
      <protection/>
    </xf>
    <xf numFmtId="3" fontId="8" fillId="0" borderId="13" xfId="165" applyNumberFormat="1" applyFont="1" applyFill="1" applyBorder="1" applyAlignment="1">
      <alignment vertical="center" wrapText="1"/>
      <protection/>
    </xf>
    <xf numFmtId="0" fontId="9" fillId="8" borderId="15" xfId="165" applyFont="1" applyFill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8" fillId="0" borderId="26" xfId="136" applyFont="1" applyFill="1" applyBorder="1" applyAlignment="1">
      <alignment horizontal="left" vertical="center" wrapText="1"/>
      <protection/>
    </xf>
    <xf numFmtId="3" fontId="58" fillId="0" borderId="13" xfId="0" applyNumberFormat="1" applyFont="1" applyBorder="1" applyAlignment="1">
      <alignment horizontal="left" vertical="center" wrapText="1"/>
    </xf>
    <xf numFmtId="0" fontId="8" fillId="0" borderId="13" xfId="138" applyFont="1" applyFill="1" applyBorder="1" applyAlignment="1">
      <alignment horizontal="left" vertical="center" wrapText="1"/>
      <protection/>
    </xf>
    <xf numFmtId="0" fontId="8" fillId="0" borderId="13" xfId="147" applyFont="1" applyFill="1" applyBorder="1" applyAlignment="1">
      <alignment vertical="top" wrapText="1"/>
      <protection/>
    </xf>
    <xf numFmtId="0" fontId="8" fillId="0" borderId="15" xfId="149" applyFont="1" applyFill="1" applyBorder="1" applyAlignment="1">
      <alignment vertical="top" wrapText="1"/>
      <protection/>
    </xf>
    <xf numFmtId="3" fontId="8" fillId="0" borderId="15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left" vertical="center"/>
    </xf>
    <xf numFmtId="0" fontId="8" fillId="0" borderId="15" xfId="143" applyFont="1" applyFill="1" applyBorder="1" applyAlignment="1">
      <alignment vertical="top" wrapText="1"/>
      <protection/>
    </xf>
    <xf numFmtId="0" fontId="9" fillId="8" borderId="13" xfId="165" applyFont="1" applyFill="1" applyBorder="1" applyAlignment="1">
      <alignment vertical="center"/>
      <protection/>
    </xf>
    <xf numFmtId="0" fontId="8" fillId="0" borderId="0" xfId="165" applyFont="1" applyBorder="1" applyAlignment="1">
      <alignment vertical="center"/>
      <protection/>
    </xf>
    <xf numFmtId="0" fontId="8" fillId="0" borderId="13" xfId="141" applyFont="1" applyBorder="1" applyAlignment="1">
      <alignment vertical="center"/>
      <protection/>
    </xf>
    <xf numFmtId="0" fontId="8" fillId="0" borderId="23" xfId="165" applyFont="1" applyBorder="1" applyAlignment="1">
      <alignment horizontal="center" vertical="center"/>
      <protection/>
    </xf>
    <xf numFmtId="3" fontId="8" fillId="0" borderId="23" xfId="165" applyNumberFormat="1" applyFont="1" applyBorder="1" applyAlignment="1">
      <alignment vertical="center"/>
      <protection/>
    </xf>
    <xf numFmtId="0" fontId="8" fillId="0" borderId="21" xfId="165" applyFont="1" applyBorder="1" applyAlignment="1">
      <alignment horizontal="center" vertical="center"/>
      <protection/>
    </xf>
    <xf numFmtId="3" fontId="8" fillId="0" borderId="21" xfId="165" applyNumberFormat="1" applyFont="1" applyBorder="1" applyAlignment="1">
      <alignment vertical="center"/>
      <protection/>
    </xf>
    <xf numFmtId="0" fontId="8" fillId="0" borderId="13" xfId="141" applyFont="1" applyBorder="1" applyAlignment="1">
      <alignment vertical="center" wrapText="1"/>
      <protection/>
    </xf>
    <xf numFmtId="0" fontId="8" fillId="0" borderId="21" xfId="165" applyFont="1" applyFill="1" applyBorder="1" applyAlignment="1">
      <alignment vertical="center" wrapText="1"/>
      <protection/>
    </xf>
    <xf numFmtId="0" fontId="8" fillId="0" borderId="23" xfId="141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9" fillId="8" borderId="13" xfId="165" applyNumberFormat="1" applyFont="1" applyFill="1" applyBorder="1" applyAlignment="1">
      <alignment vertical="center" wrapText="1"/>
      <protection/>
    </xf>
    <xf numFmtId="3" fontId="8" fillId="0" borderId="13" xfId="141" applyNumberFormat="1" applyFont="1" applyBorder="1" applyAlignment="1">
      <alignment vertical="center"/>
      <protection/>
    </xf>
    <xf numFmtId="0" fontId="8" fillId="0" borderId="15" xfId="165" applyFont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right" vertical="center" wrapText="1"/>
    </xf>
    <xf numFmtId="0" fontId="8" fillId="8" borderId="13" xfId="165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 wrapText="1"/>
    </xf>
    <xf numFmtId="3" fontId="9" fillId="8" borderId="15" xfId="0" applyNumberFormat="1" applyFont="1" applyFill="1" applyBorder="1" applyAlignment="1">
      <alignment vertical="center"/>
    </xf>
    <xf numFmtId="0" fontId="8" fillId="8" borderId="13" xfId="0" applyFont="1" applyFill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0" fontId="8" fillId="0" borderId="0" xfId="141" applyFont="1" applyAlignment="1">
      <alignment vertical="center"/>
      <protection/>
    </xf>
    <xf numFmtId="0" fontId="8" fillId="0" borderId="0" xfId="141" applyFont="1">
      <alignment/>
      <protection/>
    </xf>
    <xf numFmtId="3" fontId="8" fillId="0" borderId="0" xfId="141" applyNumberFormat="1" applyFont="1">
      <alignment/>
      <protection/>
    </xf>
    <xf numFmtId="3" fontId="17" fillId="8" borderId="39" xfId="170" applyNumberFormat="1" applyFont="1" applyFill="1" applyBorder="1" applyAlignment="1">
      <alignment horizontal="center" vertical="center"/>
      <protection/>
    </xf>
    <xf numFmtId="3" fontId="12" fillId="8" borderId="40" xfId="170" applyNumberFormat="1" applyFont="1" applyFill="1" applyBorder="1" applyAlignment="1">
      <alignment horizontal="center" vertical="center" wrapText="1"/>
      <protection/>
    </xf>
    <xf numFmtId="3" fontId="12" fillId="8" borderId="21" xfId="170" applyNumberFormat="1" applyFont="1" applyFill="1" applyBorder="1" applyAlignment="1">
      <alignment horizontal="center" vertical="center" wrapText="1"/>
      <protection/>
    </xf>
    <xf numFmtId="3" fontId="12" fillId="8" borderId="38" xfId="170" applyNumberFormat="1" applyFont="1" applyFill="1" applyBorder="1" applyAlignment="1">
      <alignment horizontal="center" vertical="center" wrapText="1"/>
      <protection/>
    </xf>
    <xf numFmtId="3" fontId="17" fillId="8" borderId="29" xfId="170" applyNumberFormat="1" applyFont="1" applyFill="1" applyBorder="1" applyAlignment="1">
      <alignment horizontal="center" vertical="center"/>
      <protection/>
    </xf>
    <xf numFmtId="3" fontId="13" fillId="0" borderId="41" xfId="170" applyNumberFormat="1" applyFont="1" applyFill="1" applyBorder="1" applyAlignment="1">
      <alignment horizontal="center" vertical="center" wrapText="1"/>
      <protection/>
    </xf>
    <xf numFmtId="3" fontId="15" fillId="0" borderId="13" xfId="170" applyNumberFormat="1" applyFont="1" applyFill="1" applyBorder="1" applyAlignment="1">
      <alignment vertical="center"/>
      <protection/>
    </xf>
    <xf numFmtId="0" fontId="13" fillId="0" borderId="15" xfId="138" applyFont="1" applyBorder="1" applyAlignment="1">
      <alignment vertical="center"/>
      <protection/>
    </xf>
    <xf numFmtId="3" fontId="12" fillId="0" borderId="13" xfId="170" applyNumberFormat="1" applyFont="1" applyFill="1" applyBorder="1" applyAlignment="1">
      <alignment horizontal="left" vertical="center"/>
      <protection/>
    </xf>
    <xf numFmtId="3" fontId="13" fillId="0" borderId="15" xfId="170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 vertical="center"/>
    </xf>
    <xf numFmtId="3" fontId="58" fillId="0" borderId="13" xfId="170" applyNumberFormat="1" applyFont="1" applyFill="1" applyBorder="1" applyAlignment="1">
      <alignment horizontal="right" vertical="center"/>
      <protection/>
    </xf>
    <xf numFmtId="3" fontId="65" fillId="0" borderId="0" xfId="0" applyNumberFormat="1" applyFont="1" applyAlignment="1">
      <alignment vertical="center"/>
    </xf>
    <xf numFmtId="0" fontId="13" fillId="0" borderId="13" xfId="0" applyFont="1" applyBorder="1" applyAlignment="1">
      <alignment vertical="center"/>
    </xf>
    <xf numFmtId="3" fontId="58" fillId="0" borderId="13" xfId="170" applyNumberFormat="1" applyFont="1" applyFill="1" applyBorder="1" applyAlignment="1">
      <alignment vertical="center"/>
      <protection/>
    </xf>
    <xf numFmtId="3" fontId="58" fillId="0" borderId="13" xfId="170" applyNumberFormat="1" applyFont="1" applyFill="1" applyBorder="1" applyAlignment="1">
      <alignment horizontal="center" vertical="center"/>
      <protection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vertical="center"/>
    </xf>
    <xf numFmtId="0" fontId="13" fillId="0" borderId="15" xfId="165" applyFont="1" applyBorder="1" applyAlignment="1">
      <alignment vertical="center"/>
      <protection/>
    </xf>
    <xf numFmtId="3" fontId="13" fillId="46" borderId="15" xfId="0" applyNumberFormat="1" applyFont="1" applyFill="1" applyBorder="1" applyAlignment="1">
      <alignment horizontal="left" vertical="center"/>
    </xf>
    <xf numFmtId="3" fontId="13" fillId="0" borderId="15" xfId="170" applyNumberFormat="1" applyFont="1" applyBorder="1" applyAlignment="1">
      <alignment horizontal="left" vertical="center"/>
      <protection/>
    </xf>
    <xf numFmtId="3" fontId="12" fillId="8" borderId="15" xfId="0" applyNumberFormat="1" applyFont="1" applyFill="1" applyBorder="1" applyAlignment="1">
      <alignment horizontal="center" vertical="center"/>
    </xf>
    <xf numFmtId="3" fontId="12" fillId="8" borderId="16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3" fillId="0" borderId="42" xfId="153" applyNumberFormat="1" applyFont="1" applyFill="1" applyBorder="1" applyAlignment="1">
      <alignment vertical="center" wrapText="1"/>
      <protection/>
    </xf>
    <xf numFmtId="0" fontId="16" fillId="0" borderId="15" xfId="138" applyFont="1" applyBorder="1" applyAlignment="1">
      <alignment vertical="center"/>
      <protection/>
    </xf>
    <xf numFmtId="3" fontId="16" fillId="0" borderId="1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9" fontId="12" fillId="0" borderId="26" xfId="154" applyNumberFormat="1" applyFont="1" applyFill="1" applyBorder="1" applyAlignment="1">
      <alignment horizontal="left" vertical="center" wrapText="1"/>
      <protection/>
    </xf>
    <xf numFmtId="49" fontId="13" fillId="0" borderId="26" xfId="154" applyNumberFormat="1" applyFont="1" applyFill="1" applyBorder="1" applyAlignment="1">
      <alignment horizontal="left" vertical="center" wrapText="1"/>
      <protection/>
    </xf>
    <xf numFmtId="49" fontId="8" fillId="0" borderId="26" xfId="154" applyNumberFormat="1" applyFont="1" applyBorder="1" applyAlignment="1">
      <alignment horizontal="left" vertical="center" wrapText="1"/>
      <protection/>
    </xf>
    <xf numFmtId="3" fontId="12" fillId="0" borderId="26" xfId="154" applyNumberFormat="1" applyFont="1" applyBorder="1" applyAlignment="1">
      <alignment vertical="top" wrapText="1"/>
      <protection/>
    </xf>
    <xf numFmtId="49" fontId="8" fillId="0" borderId="25" xfId="154" applyNumberFormat="1" applyFont="1" applyFill="1" applyBorder="1" applyAlignment="1">
      <alignment horizontal="left" vertical="center" wrapText="1"/>
      <protection/>
    </xf>
    <xf numFmtId="49" fontId="8" fillId="0" borderId="44" xfId="154" applyNumberFormat="1" applyFont="1" applyBorder="1" applyAlignment="1">
      <alignment horizontal="left" vertical="center" wrapText="1"/>
      <protection/>
    </xf>
    <xf numFmtId="0" fontId="8" fillId="0" borderId="27" xfId="168" applyFont="1" applyFill="1" applyBorder="1" applyAlignment="1">
      <alignment vertical="center" wrapText="1"/>
      <protection/>
    </xf>
    <xf numFmtId="3" fontId="12" fillId="46" borderId="13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vertical="center"/>
    </xf>
    <xf numFmtId="0" fontId="8" fillId="0" borderId="45" xfId="168" applyFont="1" applyFill="1" applyBorder="1" applyAlignment="1">
      <alignment horizontal="left" vertical="top" wrapText="1"/>
      <protection/>
    </xf>
    <xf numFmtId="0" fontId="8" fillId="0" borderId="46" xfId="150" applyFont="1" applyBorder="1" applyAlignment="1">
      <alignment horizontal="left" vertical="center" wrapText="1"/>
      <protection/>
    </xf>
    <xf numFmtId="0" fontId="8" fillId="0" borderId="47" xfId="138" applyFont="1" applyFill="1" applyBorder="1" applyAlignment="1">
      <alignment horizontal="left" vertical="center" wrapText="1"/>
      <protection/>
    </xf>
    <xf numFmtId="0" fontId="8" fillId="49" borderId="15" xfId="138" applyFont="1" applyFill="1" applyBorder="1" applyAlignment="1">
      <alignment horizontal="left" vertical="center" wrapText="1"/>
      <protection/>
    </xf>
    <xf numFmtId="0" fontId="8" fillId="0" borderId="42" xfId="161" applyFont="1" applyBorder="1" applyAlignment="1">
      <alignment horizontal="left" wrapText="1"/>
      <protection/>
    </xf>
    <xf numFmtId="3" fontId="8" fillId="0" borderId="15" xfId="0" applyNumberFormat="1" applyFont="1" applyFill="1" applyBorder="1" applyAlignment="1">
      <alignment horizontal="left" vertical="center"/>
    </xf>
    <xf numFmtId="0" fontId="13" fillId="0" borderId="15" xfId="165" applyFont="1" applyFill="1" applyBorder="1" applyAlignment="1">
      <alignment vertical="center"/>
      <protection/>
    </xf>
    <xf numFmtId="3" fontId="13" fillId="8" borderId="16" xfId="0" applyNumberFormat="1" applyFont="1" applyFill="1" applyBorder="1" applyAlignment="1">
      <alignment vertical="center"/>
    </xf>
    <xf numFmtId="3" fontId="13" fillId="8" borderId="13" xfId="0" applyNumberFormat="1" applyFont="1" applyFill="1" applyBorder="1" applyAlignment="1">
      <alignment vertical="center"/>
    </xf>
    <xf numFmtId="0" fontId="8" fillId="0" borderId="26" xfId="143" applyFont="1" applyFill="1" applyBorder="1" applyAlignment="1">
      <alignment vertical="top" wrapText="1"/>
      <protection/>
    </xf>
    <xf numFmtId="0" fontId="8" fillId="0" borderId="26" xfId="148" applyFont="1" applyFill="1" applyBorder="1" applyAlignment="1">
      <alignment vertical="top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46" borderId="13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left" vertical="center" wrapText="1"/>
    </xf>
    <xf numFmtId="49" fontId="56" fillId="0" borderId="2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/>
    </xf>
    <xf numFmtId="49" fontId="8" fillId="0" borderId="15" xfId="161" applyNumberFormat="1" applyFont="1" applyFill="1" applyBorder="1" applyAlignment="1">
      <alignment horizontal="left" vertical="center" wrapText="1"/>
      <protection/>
    </xf>
    <xf numFmtId="0" fontId="8" fillId="47" borderId="48" xfId="161" applyFont="1" applyFill="1" applyBorder="1" applyAlignment="1">
      <alignment horizontal="left" vertical="top" wrapText="1"/>
      <protection/>
    </xf>
    <xf numFmtId="0" fontId="8" fillId="47" borderId="49" xfId="161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horizontal="left" vertical="center"/>
    </xf>
    <xf numFmtId="0" fontId="9" fillId="47" borderId="15" xfId="150" applyFont="1" applyFill="1" applyBorder="1" applyAlignment="1">
      <alignment horizontal="left" vertical="top" wrapText="1"/>
      <protection/>
    </xf>
    <xf numFmtId="3" fontId="56" fillId="0" borderId="26" xfId="0" applyNumberFormat="1" applyFont="1" applyFill="1" applyBorder="1" applyAlignment="1">
      <alignment horizontal="left" vertical="center" wrapText="1"/>
    </xf>
    <xf numFmtId="3" fontId="56" fillId="0" borderId="49" xfId="0" applyNumberFormat="1" applyFont="1" applyFill="1" applyBorder="1" applyAlignment="1">
      <alignment vertical="center" wrapText="1"/>
    </xf>
    <xf numFmtId="3" fontId="56" fillId="0" borderId="48" xfId="0" applyNumberFormat="1" applyFont="1" applyFill="1" applyBorder="1" applyAlignment="1">
      <alignment horizontal="left" vertical="center" wrapText="1"/>
    </xf>
    <xf numFmtId="3" fontId="56" fillId="0" borderId="27" xfId="0" applyNumberFormat="1" applyFont="1" applyFill="1" applyBorder="1" applyAlignment="1">
      <alignment vertical="center" wrapText="1"/>
    </xf>
    <xf numFmtId="49" fontId="56" fillId="0" borderId="26" xfId="0" applyNumberFormat="1" applyFont="1" applyBorder="1" applyAlignment="1">
      <alignment vertical="center" wrapText="1"/>
    </xf>
    <xf numFmtId="49" fontId="56" fillId="0" borderId="26" xfId="135" applyNumberFormat="1" applyFont="1" applyFill="1" applyBorder="1" applyAlignment="1">
      <alignment horizontal="left" vertical="center" wrapText="1"/>
      <protection/>
    </xf>
    <xf numFmtId="49" fontId="56" fillId="0" borderId="26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56" fillId="0" borderId="27" xfId="0" applyNumberFormat="1" applyFont="1" applyBorder="1" applyAlignment="1">
      <alignment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49" fontId="56" fillId="0" borderId="27" xfId="0" applyNumberFormat="1" applyFont="1" applyBorder="1" applyAlignment="1">
      <alignment horizontal="left" vertical="center" wrapText="1"/>
    </xf>
    <xf numFmtId="3" fontId="13" fillId="46" borderId="0" xfId="0" applyNumberFormat="1" applyFont="1" applyFill="1" applyBorder="1" applyAlignment="1">
      <alignment vertical="center"/>
    </xf>
    <xf numFmtId="49" fontId="13" fillId="0" borderId="15" xfId="161" applyNumberFormat="1" applyFont="1" applyBorder="1" applyAlignment="1">
      <alignment horizontal="left" vertical="center" wrapText="1"/>
      <protection/>
    </xf>
    <xf numFmtId="49" fontId="56" fillId="0" borderId="48" xfId="161" applyNumberFormat="1" applyFont="1" applyFill="1" applyBorder="1" applyAlignment="1">
      <alignment horizontal="left" vertical="center" wrapText="1"/>
      <protection/>
    </xf>
    <xf numFmtId="49" fontId="13" fillId="0" borderId="50" xfId="161" applyNumberFormat="1" applyFont="1" applyBorder="1" applyAlignment="1">
      <alignment horizontal="left" vertical="center" wrapText="1"/>
      <protection/>
    </xf>
    <xf numFmtId="49" fontId="13" fillId="0" borderId="49" xfId="161" applyNumberFormat="1" applyFont="1" applyBorder="1" applyAlignment="1">
      <alignment horizontal="left" vertical="center" wrapText="1"/>
      <protection/>
    </xf>
    <xf numFmtId="49" fontId="56" fillId="0" borderId="15" xfId="161" applyNumberFormat="1" applyFont="1" applyFill="1" applyBorder="1" applyAlignment="1">
      <alignment horizontal="left" vertical="center" wrapText="1"/>
      <protection/>
    </xf>
    <xf numFmtId="0" fontId="8" fillId="47" borderId="26" xfId="151" applyFont="1" applyFill="1" applyBorder="1" applyAlignment="1">
      <alignment vertical="top"/>
      <protection/>
    </xf>
    <xf numFmtId="0" fontId="9" fillId="47" borderId="36" xfId="151" applyFont="1" applyFill="1" applyBorder="1" applyAlignment="1">
      <alignment horizontal="center" vertical="top" wrapText="1"/>
      <protection/>
    </xf>
    <xf numFmtId="0" fontId="9" fillId="47" borderId="26" xfId="151" applyFont="1" applyFill="1" applyBorder="1" applyAlignment="1">
      <alignment vertical="top"/>
      <protection/>
    </xf>
    <xf numFmtId="49" fontId="8" fillId="47" borderId="15" xfId="161" applyNumberFormat="1" applyFont="1" applyFill="1" applyBorder="1" applyAlignment="1">
      <alignment horizontal="left" vertical="top" wrapText="1"/>
      <protection/>
    </xf>
    <xf numFmtId="0" fontId="8" fillId="0" borderId="15" xfId="161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vertical="center"/>
    </xf>
    <xf numFmtId="0" fontId="8" fillId="0" borderId="15" xfId="165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horizontal="center" vertical="center"/>
    </xf>
    <xf numFmtId="0" fontId="9" fillId="0" borderId="51" xfId="151" applyFont="1" applyFill="1" applyBorder="1" applyAlignment="1">
      <alignment horizontal="center" vertical="center"/>
      <protection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left" vertical="center"/>
    </xf>
    <xf numFmtId="3" fontId="13" fillId="0" borderId="23" xfId="0" applyNumberFormat="1" applyFont="1" applyFill="1" applyBorder="1" applyAlignment="1">
      <alignment vertical="center"/>
    </xf>
    <xf numFmtId="0" fontId="8" fillId="0" borderId="13" xfId="151" applyFont="1" applyFill="1" applyBorder="1" applyAlignment="1">
      <alignment horizontal="center" vertical="center"/>
      <protection/>
    </xf>
    <xf numFmtId="49" fontId="8" fillId="0" borderId="15" xfId="154" applyNumberFormat="1" applyFont="1" applyBorder="1" applyAlignment="1">
      <alignment horizontal="left" vertical="center" wrapText="1"/>
      <protection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9" fillId="0" borderId="13" xfId="151" applyFont="1" applyFill="1" applyBorder="1" applyAlignment="1">
      <alignment horizontal="center" vertical="center"/>
      <protection/>
    </xf>
    <xf numFmtId="0" fontId="8" fillId="0" borderId="15" xfId="169" applyFont="1" applyBorder="1" applyAlignment="1">
      <alignment vertical="center"/>
      <protection/>
    </xf>
    <xf numFmtId="0" fontId="8" fillId="0" borderId="53" xfId="151" applyFont="1" applyFill="1" applyBorder="1" applyAlignment="1">
      <alignment horizontal="center" vertical="center"/>
      <protection/>
    </xf>
    <xf numFmtId="0" fontId="13" fillId="0" borderId="25" xfId="161" applyFont="1" applyBorder="1" applyAlignment="1">
      <alignment horizontal="left" vertical="top" wrapText="1"/>
      <protection/>
    </xf>
    <xf numFmtId="3" fontId="13" fillId="0" borderId="54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3" fontId="13" fillId="0" borderId="21" xfId="0" applyNumberFormat="1" applyFont="1" applyFill="1" applyBorder="1" applyAlignment="1">
      <alignment vertical="center"/>
    </xf>
    <xf numFmtId="0" fontId="8" fillId="0" borderId="36" xfId="151" applyFont="1" applyFill="1" applyBorder="1" applyAlignment="1">
      <alignment horizontal="center" vertical="center"/>
      <protection/>
    </xf>
    <xf numFmtId="0" fontId="9" fillId="0" borderId="36" xfId="151" applyFont="1" applyBorder="1" applyAlignment="1">
      <alignment horizontal="center" vertical="center"/>
      <protection/>
    </xf>
    <xf numFmtId="0" fontId="9" fillId="0" borderId="26" xfId="151" applyFont="1" applyBorder="1" applyAlignment="1">
      <alignment vertical="center"/>
      <protection/>
    </xf>
    <xf numFmtId="0" fontId="8" fillId="0" borderId="36" xfId="151" applyFont="1" applyBorder="1" applyAlignment="1">
      <alignment horizontal="center" vertical="center"/>
      <protection/>
    </xf>
    <xf numFmtId="0" fontId="8" fillId="0" borderId="26" xfId="169" applyFont="1" applyBorder="1" applyAlignment="1">
      <alignment vertical="center"/>
      <protection/>
    </xf>
    <xf numFmtId="0" fontId="8" fillId="47" borderId="26" xfId="144" applyFont="1" applyFill="1" applyBorder="1" applyAlignment="1">
      <alignment vertical="top" wrapText="1"/>
      <protection/>
    </xf>
    <xf numFmtId="0" fontId="8" fillId="47" borderId="36" xfId="151" applyFont="1" applyFill="1" applyBorder="1" applyAlignment="1">
      <alignment horizontal="center" vertical="top" wrapText="1"/>
      <protection/>
    </xf>
    <xf numFmtId="49" fontId="13" fillId="0" borderId="42" xfId="161" applyNumberFormat="1" applyFont="1" applyBorder="1" applyAlignment="1">
      <alignment horizontal="left" vertical="center" wrapText="1"/>
      <protection/>
    </xf>
    <xf numFmtId="0" fontId="8" fillId="47" borderId="42" xfId="161" applyFont="1" applyFill="1" applyBorder="1" applyAlignment="1">
      <alignment horizontal="left" vertical="top" wrapText="1"/>
      <protection/>
    </xf>
    <xf numFmtId="0" fontId="8" fillId="47" borderId="36" xfId="151" applyFont="1" applyFill="1" applyBorder="1" applyAlignment="1">
      <alignment vertical="top"/>
      <protection/>
    </xf>
    <xf numFmtId="0" fontId="8" fillId="47" borderId="0" xfId="150" applyFont="1" applyFill="1" applyBorder="1" applyAlignment="1">
      <alignment vertical="top"/>
      <protection/>
    </xf>
    <xf numFmtId="0" fontId="8" fillId="0" borderId="26" xfId="148" applyFont="1" applyFill="1" applyBorder="1" applyAlignment="1">
      <alignment vertical="top"/>
      <protection/>
    </xf>
    <xf numFmtId="0" fontId="8" fillId="0" borderId="36" xfId="151" applyFont="1" applyFill="1" applyBorder="1" applyAlignment="1">
      <alignment horizontal="center" vertical="top" wrapText="1"/>
      <protection/>
    </xf>
    <xf numFmtId="0" fontId="8" fillId="0" borderId="26" xfId="151" applyFont="1" applyFill="1" applyBorder="1" applyAlignment="1">
      <alignment vertical="top"/>
      <protection/>
    </xf>
    <xf numFmtId="0" fontId="8" fillId="0" borderId="26" xfId="151" applyFont="1" applyBorder="1">
      <alignment/>
      <protection/>
    </xf>
    <xf numFmtId="0" fontId="8" fillId="0" borderId="26" xfId="151" applyFont="1" applyFill="1" applyBorder="1" applyAlignment="1">
      <alignment vertical="top" wrapText="1"/>
      <protection/>
    </xf>
    <xf numFmtId="0" fontId="8" fillId="0" borderId="26" xfId="140" applyFont="1" applyFill="1" applyBorder="1" applyAlignment="1">
      <alignment horizontal="left" vertical="center" wrapText="1"/>
      <protection/>
    </xf>
    <xf numFmtId="0" fontId="8" fillId="0" borderId="26" xfId="148" applyFont="1" applyFill="1" applyBorder="1" applyAlignment="1">
      <alignment vertical="top" wrapText="1"/>
      <protection/>
    </xf>
    <xf numFmtId="0" fontId="8" fillId="47" borderId="26" xfId="151" applyFont="1" applyFill="1" applyBorder="1" applyAlignment="1">
      <alignment horizontal="left" vertical="top" wrapText="1"/>
      <protection/>
    </xf>
    <xf numFmtId="49" fontId="8" fillId="0" borderId="26" xfId="155" applyNumberFormat="1" applyFont="1" applyFill="1" applyBorder="1" applyAlignment="1">
      <alignment horizontal="left" vertical="center"/>
      <protection/>
    </xf>
    <xf numFmtId="49" fontId="8" fillId="0" borderId="26" xfId="154" applyNumberFormat="1" applyFont="1" applyFill="1" applyBorder="1" applyAlignment="1">
      <alignment horizontal="left" vertical="center"/>
      <protection/>
    </xf>
    <xf numFmtId="0" fontId="8" fillId="0" borderId="26" xfId="146" applyFont="1" applyFill="1" applyBorder="1" applyAlignment="1">
      <alignment vertical="top" wrapText="1"/>
      <protection/>
    </xf>
    <xf numFmtId="0" fontId="8" fillId="0" borderId="26" xfId="140" applyFont="1" applyFill="1" applyBorder="1" applyAlignment="1">
      <alignment horizontal="left" vertical="center" wrapText="1"/>
      <protection/>
    </xf>
    <xf numFmtId="0" fontId="8" fillId="0" borderId="26" xfId="137" applyFont="1" applyFill="1" applyBorder="1" applyAlignment="1">
      <alignment horizontal="left" vertical="center" wrapText="1"/>
      <protection/>
    </xf>
    <xf numFmtId="0" fontId="9" fillId="0" borderId="26" xfId="151" applyFont="1" applyFill="1" applyBorder="1" applyAlignment="1">
      <alignment vertical="top"/>
      <protection/>
    </xf>
    <xf numFmtId="49" fontId="8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61" applyFont="1" applyBorder="1" applyAlignment="1">
      <alignment horizontal="left" vertical="top" wrapText="1"/>
      <protection/>
    </xf>
    <xf numFmtId="0" fontId="8" fillId="0" borderId="26" xfId="161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44" xfId="169" applyFont="1" applyFill="1" applyBorder="1" applyAlignment="1">
      <alignment vertical="center" wrapText="1"/>
      <protection/>
    </xf>
    <xf numFmtId="0" fontId="8" fillId="47" borderId="26" xfId="151" applyFont="1" applyFill="1" applyBorder="1" applyAlignment="1">
      <alignment vertical="top" wrapText="1"/>
      <protection/>
    </xf>
    <xf numFmtId="0" fontId="8" fillId="0" borderId="26" xfId="150" applyFont="1" applyFill="1" applyBorder="1" applyAlignment="1">
      <alignment vertical="center" wrapText="1"/>
      <protection/>
    </xf>
    <xf numFmtId="0" fontId="13" fillId="0" borderId="14" xfId="167" applyFont="1" applyFill="1" applyBorder="1" applyAlignment="1">
      <alignment vertical="center" wrapText="1"/>
      <protection/>
    </xf>
    <xf numFmtId="0" fontId="13" fillId="0" borderId="0" xfId="169" applyFont="1" applyFill="1" applyBorder="1" applyAlignment="1">
      <alignment vertical="center" wrapText="1"/>
      <protection/>
    </xf>
    <xf numFmtId="3" fontId="14" fillId="0" borderId="13" xfId="170" applyNumberFormat="1" applyFont="1" applyFill="1" applyBorder="1" applyAlignment="1">
      <alignment horizontal="center" vertical="top" wrapText="1"/>
      <protection/>
    </xf>
    <xf numFmtId="3" fontId="13" fillId="0" borderId="13" xfId="170" applyNumberFormat="1" applyFont="1" applyFill="1" applyBorder="1" applyAlignment="1">
      <alignment horizontal="right" vertical="top" wrapText="1"/>
      <protection/>
    </xf>
    <xf numFmtId="3" fontId="14" fillId="0" borderId="13" xfId="170" applyNumberFormat="1" applyFont="1" applyFill="1" applyBorder="1" applyAlignment="1">
      <alignment horizontal="center" vertical="center" wrapText="1"/>
      <protection/>
    </xf>
    <xf numFmtId="3" fontId="16" fillId="46" borderId="15" xfId="0" applyNumberFormat="1" applyFont="1" applyFill="1" applyBorder="1" applyAlignment="1">
      <alignment vertical="center"/>
    </xf>
    <xf numFmtId="3" fontId="12" fillId="46" borderId="15" xfId="0" applyNumberFormat="1" applyFont="1" applyFill="1" applyBorder="1" applyAlignment="1">
      <alignment horizontal="center" vertical="center"/>
    </xf>
    <xf numFmtId="3" fontId="12" fillId="46" borderId="15" xfId="0" applyNumberFormat="1" applyFont="1" applyFill="1" applyBorder="1" applyAlignment="1">
      <alignment vertical="center"/>
    </xf>
    <xf numFmtId="3" fontId="12" fillId="46" borderId="16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horizontal="right" vertical="center"/>
    </xf>
    <xf numFmtId="3" fontId="66" fillId="46" borderId="13" xfId="0" applyNumberFormat="1" applyFont="1" applyFill="1" applyBorder="1" applyAlignment="1">
      <alignment vertical="center"/>
    </xf>
    <xf numFmtId="3" fontId="12" fillId="46" borderId="13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horizontal="right" vertical="center" wrapText="1"/>
    </xf>
    <xf numFmtId="3" fontId="12" fillId="46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3" fontId="12" fillId="46" borderId="14" xfId="0" applyNumberFormat="1" applyFont="1" applyFill="1" applyBorder="1" applyAlignment="1">
      <alignment horizontal="center" vertical="center"/>
    </xf>
    <xf numFmtId="0" fontId="8" fillId="0" borderId="15" xfId="149" applyFont="1" applyFill="1" applyBorder="1" applyAlignment="1">
      <alignment vertical="center" wrapText="1"/>
      <protection/>
    </xf>
    <xf numFmtId="3" fontId="12" fillId="8" borderId="16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6" fillId="46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3" fontId="17" fillId="46" borderId="13" xfId="170" applyNumberFormat="1" applyFont="1" applyFill="1" applyBorder="1" applyAlignment="1">
      <alignment horizontal="center" vertical="top" wrapText="1"/>
      <protection/>
    </xf>
    <xf numFmtId="3" fontId="13" fillId="46" borderId="15" xfId="170" applyNumberFormat="1" applyFont="1" applyFill="1" applyBorder="1" applyAlignment="1">
      <alignment horizontal="left" vertical="top"/>
      <protection/>
    </xf>
    <xf numFmtId="3" fontId="13" fillId="46" borderId="13" xfId="170" applyNumberFormat="1" applyFont="1" applyFill="1" applyBorder="1" applyAlignment="1">
      <alignment horizontal="right" vertical="top" wrapText="1"/>
      <protection/>
    </xf>
    <xf numFmtId="3" fontId="17" fillId="46" borderId="13" xfId="170" applyNumberFormat="1" applyFont="1" applyFill="1" applyBorder="1" applyAlignment="1">
      <alignment horizontal="center" vertical="center" wrapText="1"/>
      <protection/>
    </xf>
    <xf numFmtId="3" fontId="8" fillId="46" borderId="13" xfId="170" applyNumberFormat="1" applyFont="1" applyFill="1" applyBorder="1" applyAlignment="1">
      <alignment horizontal="right" vertical="top" wrapText="1"/>
      <protection/>
    </xf>
    <xf numFmtId="3" fontId="16" fillId="0" borderId="15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3" fontId="56" fillId="0" borderId="0" xfId="0" applyNumberFormat="1" applyFont="1" applyFill="1" applyBorder="1" applyAlignment="1">
      <alignment vertical="center" wrapText="1"/>
    </xf>
    <xf numFmtId="0" fontId="12" fillId="8" borderId="15" xfId="138" applyFont="1" applyFill="1" applyBorder="1" applyAlignment="1">
      <alignment vertical="center" wrapText="1"/>
      <protection/>
    </xf>
    <xf numFmtId="0" fontId="0" fillId="8" borderId="52" xfId="0" applyFill="1" applyBorder="1" applyAlignment="1">
      <alignment vertical="center"/>
    </xf>
    <xf numFmtId="3" fontId="12" fillId="8" borderId="2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vertical="center"/>
    </xf>
    <xf numFmtId="3" fontId="12" fillId="46" borderId="55" xfId="0" applyNumberFormat="1" applyFont="1" applyFill="1" applyBorder="1" applyAlignment="1">
      <alignment vertical="center"/>
    </xf>
    <xf numFmtId="0" fontId="9" fillId="8" borderId="13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49" fontId="13" fillId="0" borderId="44" xfId="154" applyNumberFormat="1" applyFont="1" applyBorder="1" applyAlignment="1">
      <alignment horizontal="left" vertical="center" wrapText="1"/>
      <protection/>
    </xf>
    <xf numFmtId="49" fontId="13" fillId="0" borderId="25" xfId="154" applyNumberFormat="1" applyFont="1" applyFill="1" applyBorder="1" applyAlignment="1">
      <alignment horizontal="left" vertical="center" wrapText="1"/>
      <protection/>
    </xf>
    <xf numFmtId="0" fontId="13" fillId="0" borderId="26" xfId="143" applyFont="1" applyFill="1" applyBorder="1" applyAlignment="1">
      <alignment vertical="top" wrapText="1"/>
      <protection/>
    </xf>
    <xf numFmtId="0" fontId="13" fillId="0" borderId="26" xfId="148" applyFont="1" applyFill="1" applyBorder="1" applyAlignment="1">
      <alignment vertical="top" wrapText="1"/>
      <protection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16" fillId="0" borderId="48" xfId="0" applyNumberFormat="1" applyFont="1" applyBorder="1" applyAlignment="1">
      <alignment vertical="center"/>
    </xf>
    <xf numFmtId="0" fontId="13" fillId="47" borderId="48" xfId="161" applyFont="1" applyFill="1" applyBorder="1" applyAlignment="1">
      <alignment horizontal="left" vertical="top" wrapText="1"/>
      <protection/>
    </xf>
    <xf numFmtId="0" fontId="13" fillId="47" borderId="49" xfId="161" applyFont="1" applyFill="1" applyBorder="1" applyAlignment="1">
      <alignment horizontal="left" vertical="top" wrapText="1"/>
      <protection/>
    </xf>
    <xf numFmtId="0" fontId="13" fillId="47" borderId="15" xfId="161" applyFont="1" applyFill="1" applyBorder="1" applyAlignment="1">
      <alignment horizontal="left" vertical="top" wrapText="1"/>
      <protection/>
    </xf>
    <xf numFmtId="0" fontId="13" fillId="0" borderId="26" xfId="144" applyFont="1" applyFill="1" applyBorder="1" applyAlignment="1">
      <alignment horizontal="left" vertical="top"/>
      <protection/>
    </xf>
    <xf numFmtId="0" fontId="13" fillId="47" borderId="26" xfId="151" applyFont="1" applyFill="1" applyBorder="1" applyAlignment="1">
      <alignment vertical="top"/>
      <protection/>
    </xf>
    <xf numFmtId="49" fontId="13" fillId="0" borderId="15" xfId="161" applyNumberFormat="1" applyFont="1" applyFill="1" applyBorder="1" applyAlignment="1">
      <alignment horizontal="left" vertical="center" wrapText="1"/>
      <protection/>
    </xf>
    <xf numFmtId="49" fontId="13" fillId="47" borderId="27" xfId="161" applyNumberFormat="1" applyFont="1" applyFill="1" applyBorder="1" applyAlignment="1">
      <alignment horizontal="left" vertical="top" wrapText="1"/>
      <protection/>
    </xf>
    <xf numFmtId="3" fontId="12" fillId="0" borderId="15" xfId="0" applyNumberFormat="1" applyFont="1" applyBorder="1" applyAlignment="1">
      <alignment horizontal="left" vertical="center"/>
    </xf>
    <xf numFmtId="0" fontId="12" fillId="47" borderId="15" xfId="150" applyFont="1" applyFill="1" applyBorder="1" applyAlignment="1">
      <alignment horizontal="left" vertical="top" wrapText="1"/>
      <protection/>
    </xf>
    <xf numFmtId="0" fontId="12" fillId="0" borderId="26" xfId="150" applyFont="1" applyFill="1" applyBorder="1" applyAlignment="1">
      <alignment vertical="top"/>
      <protection/>
    </xf>
    <xf numFmtId="0" fontId="12" fillId="47" borderId="26" xfId="151" applyFont="1" applyFill="1" applyBorder="1" applyAlignment="1">
      <alignment vertical="top"/>
      <protection/>
    </xf>
    <xf numFmtId="49" fontId="13" fillId="47" borderId="15" xfId="161" applyNumberFormat="1" applyFont="1" applyFill="1" applyBorder="1" applyAlignment="1">
      <alignment horizontal="left" vertical="top" wrapText="1"/>
      <protection/>
    </xf>
    <xf numFmtId="0" fontId="13" fillId="0" borderId="15" xfId="161" applyFont="1" applyFill="1" applyBorder="1" applyAlignment="1">
      <alignment horizontal="left" vertical="top" wrapText="1"/>
      <protection/>
    </xf>
    <xf numFmtId="3" fontId="13" fillId="0" borderId="49" xfId="0" applyNumberFormat="1" applyFont="1" applyFill="1" applyBorder="1" applyAlignment="1">
      <alignment vertical="center" wrapText="1"/>
    </xf>
    <xf numFmtId="3" fontId="13" fillId="0" borderId="48" xfId="0" applyNumberFormat="1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49" fontId="13" fillId="0" borderId="26" xfId="135" applyNumberFormat="1" applyFont="1" applyFill="1" applyBorder="1" applyAlignment="1">
      <alignment horizontal="left" vertical="center" wrapText="1"/>
      <protection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48" xfId="161" applyNumberFormat="1" applyFont="1" applyFill="1" applyBorder="1" applyAlignment="1">
      <alignment horizontal="left" vertical="center" wrapText="1"/>
      <protection/>
    </xf>
    <xf numFmtId="49" fontId="13" fillId="0" borderId="26" xfId="161" applyNumberFormat="1" applyFont="1" applyBorder="1" applyAlignment="1">
      <alignment horizontal="left" vertical="center" wrapText="1"/>
      <protection/>
    </xf>
    <xf numFmtId="49" fontId="13" fillId="0" borderId="49" xfId="0" applyNumberFormat="1" applyFont="1" applyBorder="1" applyAlignment="1">
      <alignment vertical="center" wrapText="1"/>
    </xf>
    <xf numFmtId="0" fontId="13" fillId="0" borderId="48" xfId="169" applyFont="1" applyFill="1" applyBorder="1" applyAlignment="1">
      <alignment vertical="center" wrapText="1"/>
      <protection/>
    </xf>
    <xf numFmtId="3" fontId="16" fillId="0" borderId="48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8" fillId="0" borderId="0" xfId="152" applyNumberFormat="1" applyFont="1" applyFill="1" applyBorder="1" applyAlignment="1">
      <alignment vertical="center"/>
      <protection/>
    </xf>
    <xf numFmtId="3" fontId="6" fillId="0" borderId="0" xfId="152" applyNumberFormat="1" applyFont="1" applyFill="1" applyBorder="1" applyAlignment="1">
      <alignment vertical="center"/>
      <protection/>
    </xf>
    <xf numFmtId="3" fontId="13" fillId="46" borderId="55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0" fontId="13" fillId="0" borderId="26" xfId="150" applyFont="1" applyFill="1" applyBorder="1" applyAlignment="1">
      <alignment vertical="top" wrapText="1"/>
      <protection/>
    </xf>
    <xf numFmtId="3" fontId="67" fillId="0" borderId="0" xfId="0" applyNumberFormat="1" applyFont="1" applyBorder="1" applyAlignment="1">
      <alignment vertical="center"/>
    </xf>
    <xf numFmtId="3" fontId="15" fillId="0" borderId="15" xfId="170" applyNumberFormat="1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8" borderId="43" xfId="0" applyNumberFormat="1" applyFont="1" applyFill="1" applyBorder="1" applyAlignment="1">
      <alignment vertical="center"/>
    </xf>
    <xf numFmtId="3" fontId="6" fillId="8" borderId="13" xfId="0" applyNumberFormat="1" applyFont="1" applyFill="1" applyBorder="1" applyAlignment="1">
      <alignment vertical="center"/>
    </xf>
    <xf numFmtId="0" fontId="13" fillId="0" borderId="36" xfId="152" applyFont="1" applyFill="1" applyBorder="1" applyAlignment="1">
      <alignment vertical="center" wrapText="1"/>
      <protection/>
    </xf>
    <xf numFmtId="0" fontId="16" fillId="0" borderId="36" xfId="152" applyFont="1" applyFill="1" applyBorder="1" applyAlignment="1">
      <alignment vertical="center"/>
      <protection/>
    </xf>
    <xf numFmtId="0" fontId="9" fillId="8" borderId="56" xfId="164" applyFont="1" applyFill="1" applyBorder="1" applyAlignment="1">
      <alignment horizontal="center" vertical="center" wrapText="1"/>
      <protection/>
    </xf>
    <xf numFmtId="0" fontId="9" fillId="8" borderId="57" xfId="164" applyFont="1" applyFill="1" applyBorder="1" applyAlignment="1">
      <alignment horizontal="center" vertical="center" wrapText="1"/>
      <protection/>
    </xf>
    <xf numFmtId="2" fontId="9" fillId="8" borderId="57" xfId="164" applyNumberFormat="1" applyFont="1" applyFill="1" applyBorder="1" applyAlignment="1">
      <alignment horizontal="center" vertical="center" wrapText="1"/>
      <protection/>
    </xf>
    <xf numFmtId="3" fontId="9" fillId="8" borderId="57" xfId="164" applyNumberFormat="1" applyFont="1" applyFill="1" applyBorder="1" applyAlignment="1">
      <alignment horizontal="center" vertical="center" wrapText="1"/>
      <protection/>
    </xf>
    <xf numFmtId="0" fontId="8" fillId="0" borderId="13" xfId="164" applyFont="1" applyFill="1" applyBorder="1" applyAlignment="1">
      <alignment horizontal="center" vertical="center" wrapText="1"/>
      <protection/>
    </xf>
    <xf numFmtId="175" fontId="50" fillId="0" borderId="13" xfId="159" applyNumberFormat="1" applyFont="1" applyBorder="1">
      <alignment/>
      <protection/>
    </xf>
    <xf numFmtId="0" fontId="50" fillId="0" borderId="13" xfId="159" applyFont="1" applyBorder="1">
      <alignment/>
      <protection/>
    </xf>
    <xf numFmtId="175" fontId="8" fillId="0" borderId="13" xfId="164" applyNumberFormat="1" applyFont="1" applyFill="1" applyBorder="1">
      <alignment/>
      <protection/>
    </xf>
    <xf numFmtId="175" fontId="8" fillId="0" borderId="13" xfId="159" applyNumberFormat="1" applyFont="1" applyBorder="1">
      <alignment/>
      <protection/>
    </xf>
    <xf numFmtId="175" fontId="8" fillId="0" borderId="13" xfId="164" applyNumberFormat="1" applyFont="1" applyBorder="1" applyAlignment="1">
      <alignment vertical="center"/>
      <protection/>
    </xf>
    <xf numFmtId="0" fontId="8" fillId="0" borderId="13" xfId="164" applyFont="1" applyBorder="1" applyAlignment="1">
      <alignment vertical="center"/>
      <protection/>
    </xf>
    <xf numFmtId="2" fontId="8" fillId="0" borderId="13" xfId="164" applyNumberFormat="1" applyFont="1" applyBorder="1" applyAlignment="1">
      <alignment vertical="center"/>
      <protection/>
    </xf>
    <xf numFmtId="3" fontId="8" fillId="0" borderId="13" xfId="164" applyNumberFormat="1" applyFont="1" applyBorder="1" applyAlignment="1">
      <alignment vertical="center"/>
      <protection/>
    </xf>
    <xf numFmtId="179" fontId="8" fillId="0" borderId="13" xfId="164" applyNumberFormat="1" applyFont="1" applyBorder="1" applyAlignment="1">
      <alignment vertical="center"/>
      <protection/>
    </xf>
    <xf numFmtId="175" fontId="8" fillId="0" borderId="13" xfId="164" applyNumberFormat="1" applyFont="1" applyBorder="1">
      <alignment/>
      <protection/>
    </xf>
    <xf numFmtId="0" fontId="8" fillId="0" borderId="13" xfId="164" applyFont="1" applyBorder="1">
      <alignment/>
      <protection/>
    </xf>
    <xf numFmtId="179" fontId="8" fillId="0" borderId="13" xfId="164" applyNumberFormat="1" applyFont="1" applyBorder="1">
      <alignment/>
      <protection/>
    </xf>
    <xf numFmtId="2" fontId="8" fillId="0" borderId="13" xfId="164" applyNumberFormat="1" applyFont="1" applyBorder="1">
      <alignment/>
      <protection/>
    </xf>
    <xf numFmtId="175" fontId="60" fillId="8" borderId="13" xfId="164" applyNumberFormat="1" applyFont="1" applyFill="1" applyBorder="1">
      <alignment/>
      <protection/>
    </xf>
    <xf numFmtId="0" fontId="59" fillId="8" borderId="13" xfId="159" applyFont="1" applyFill="1" applyBorder="1">
      <alignment/>
      <protection/>
    </xf>
    <xf numFmtId="175" fontId="60" fillId="8" borderId="13" xfId="159" applyNumberFormat="1" applyFont="1" applyFill="1" applyBorder="1">
      <alignment/>
      <protection/>
    </xf>
    <xf numFmtId="49" fontId="8" fillId="0" borderId="0" xfId="154" applyNumberFormat="1" applyFont="1" applyBorder="1" applyAlignment="1">
      <alignment horizontal="left" vertical="center" wrapText="1"/>
      <protection/>
    </xf>
    <xf numFmtId="3" fontId="8" fillId="0" borderId="13" xfId="170" applyNumberFormat="1" applyFont="1" applyFill="1" applyBorder="1" applyAlignment="1">
      <alignment horizontal="right" vertical="center" wrapText="1"/>
      <protection/>
    </xf>
    <xf numFmtId="3" fontId="8" fillId="0" borderId="13" xfId="170" applyNumberFormat="1" applyFont="1" applyBorder="1" applyAlignment="1">
      <alignment horizontal="right" vertical="center" wrapText="1"/>
      <protection/>
    </xf>
    <xf numFmtId="3" fontId="8" fillId="0" borderId="13" xfId="170" applyNumberFormat="1" applyFont="1" applyBorder="1" applyAlignment="1">
      <alignment horizontal="right" vertical="center"/>
      <protection/>
    </xf>
    <xf numFmtId="0" fontId="9" fillId="0" borderId="21" xfId="165" applyFont="1" applyBorder="1" applyAlignment="1">
      <alignment horizontal="center" vertical="center"/>
      <protection/>
    </xf>
    <xf numFmtId="0" fontId="9" fillId="0" borderId="13" xfId="165" applyFont="1" applyBorder="1" applyAlignment="1">
      <alignment horizontal="center" vertical="center"/>
      <protection/>
    </xf>
    <xf numFmtId="0" fontId="8" fillId="0" borderId="16" xfId="138" applyFont="1" applyBorder="1" applyAlignment="1">
      <alignment horizontal="center" vertical="center"/>
      <protection/>
    </xf>
    <xf numFmtId="0" fontId="13" fillId="0" borderId="15" xfId="165" applyFont="1" applyBorder="1" applyAlignment="1">
      <alignment horizontal="center" vertical="center" wrapText="1"/>
      <protection/>
    </xf>
    <xf numFmtId="3" fontId="9" fillId="8" borderId="13" xfId="0" applyNumberFormat="1" applyFont="1" applyFill="1" applyBorder="1" applyAlignment="1">
      <alignment horizontal="center" vertical="center"/>
    </xf>
    <xf numFmtId="0" fontId="8" fillId="0" borderId="16" xfId="165" applyFont="1" applyBorder="1" applyAlignment="1">
      <alignment horizontal="center" vertical="center" wrapText="1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8" fillId="0" borderId="0" xfId="141" applyFont="1" applyAlignment="1">
      <alignment horizontal="center" vertical="center"/>
      <protection/>
    </xf>
    <xf numFmtId="0" fontId="8" fillId="0" borderId="0" xfId="141" applyFont="1" applyAlignment="1">
      <alignment horizontal="center"/>
      <protection/>
    </xf>
    <xf numFmtId="0" fontId="5" fillId="0" borderId="0" xfId="141" applyAlignment="1">
      <alignment horizontal="center"/>
      <protection/>
    </xf>
    <xf numFmtId="3" fontId="8" fillId="0" borderId="16" xfId="165" applyNumberFormat="1" applyFont="1" applyFill="1" applyBorder="1" applyAlignment="1">
      <alignment horizontal="center" vertical="center"/>
      <protection/>
    </xf>
    <xf numFmtId="202" fontId="8" fillId="0" borderId="16" xfId="98" applyNumberFormat="1" applyFont="1" applyFill="1" applyBorder="1" applyAlignment="1">
      <alignment horizontal="center" vertical="center" wrapText="1"/>
    </xf>
    <xf numFmtId="202" fontId="8" fillId="0" borderId="54" xfId="98" applyNumberFormat="1" applyFont="1" applyBorder="1" applyAlignment="1">
      <alignment horizontal="center" vertical="center" wrapText="1"/>
    </xf>
    <xf numFmtId="202" fontId="8" fillId="0" borderId="16" xfId="98" applyNumberFormat="1" applyFont="1" applyBorder="1" applyAlignment="1">
      <alignment horizontal="center" vertical="center" wrapText="1"/>
    </xf>
    <xf numFmtId="202" fontId="9" fillId="8" borderId="16" xfId="98" applyNumberFormat="1" applyFont="1" applyFill="1" applyBorder="1" applyAlignment="1">
      <alignment horizontal="center" vertical="center"/>
    </xf>
    <xf numFmtId="202" fontId="9" fillId="0" borderId="13" xfId="98" applyNumberFormat="1" applyFont="1" applyBorder="1" applyAlignment="1">
      <alignment horizontal="center" vertical="center"/>
    </xf>
    <xf numFmtId="202" fontId="8" fillId="0" borderId="15" xfId="98" applyNumberFormat="1" applyFont="1" applyBorder="1" applyAlignment="1">
      <alignment horizontal="center" vertical="center" wrapText="1"/>
    </xf>
    <xf numFmtId="202" fontId="8" fillId="0" borderId="13" xfId="98" applyNumberFormat="1" applyFont="1" applyBorder="1" applyAlignment="1">
      <alignment horizontal="center" vertical="center" wrapText="1"/>
    </xf>
    <xf numFmtId="202" fontId="8" fillId="0" borderId="15" xfId="98" applyNumberFormat="1" applyFont="1" applyBorder="1" applyAlignment="1">
      <alignment horizontal="center" vertical="center"/>
    </xf>
    <xf numFmtId="202" fontId="13" fillId="0" borderId="15" xfId="98" applyNumberFormat="1" applyFont="1" applyFill="1" applyBorder="1" applyAlignment="1">
      <alignment horizontal="center" vertical="center" wrapText="1"/>
    </xf>
    <xf numFmtId="202" fontId="8" fillId="0" borderId="15" xfId="98" applyNumberFormat="1" applyFont="1" applyFill="1" applyBorder="1" applyAlignment="1">
      <alignment horizontal="center" vertical="center" wrapText="1"/>
    </xf>
    <xf numFmtId="202" fontId="8" fillId="0" borderId="13" xfId="98" applyNumberFormat="1" applyFont="1" applyFill="1" applyBorder="1" applyAlignment="1">
      <alignment horizontal="center" vertical="top" wrapText="1"/>
    </xf>
    <xf numFmtId="202" fontId="8" fillId="0" borderId="13" xfId="98" applyNumberFormat="1" applyFont="1" applyFill="1" applyBorder="1" applyAlignment="1">
      <alignment horizontal="center" vertical="center" wrapText="1"/>
    </xf>
    <xf numFmtId="202" fontId="9" fillId="8" borderId="15" xfId="98" applyNumberFormat="1" applyFont="1" applyFill="1" applyBorder="1" applyAlignment="1">
      <alignment horizontal="center" vertical="center"/>
    </xf>
    <xf numFmtId="202" fontId="8" fillId="0" borderId="13" xfId="98" applyNumberFormat="1" applyFont="1" applyBorder="1" applyAlignment="1">
      <alignment horizontal="center" vertical="center"/>
    </xf>
    <xf numFmtId="202" fontId="8" fillId="0" borderId="21" xfId="98" applyNumberFormat="1" applyFont="1" applyBorder="1" applyAlignment="1">
      <alignment horizontal="center" vertical="center" wrapText="1"/>
    </xf>
    <xf numFmtId="202" fontId="8" fillId="0" borderId="15" xfId="98" applyNumberFormat="1" applyFont="1" applyFill="1" applyBorder="1" applyAlignment="1">
      <alignment horizontal="center" vertical="top" wrapText="1"/>
    </xf>
    <xf numFmtId="202" fontId="9" fillId="8" borderId="13" xfId="98" applyNumberFormat="1" applyFont="1" applyFill="1" applyBorder="1" applyAlignment="1">
      <alignment horizontal="center" vertical="center"/>
    </xf>
    <xf numFmtId="3" fontId="8" fillId="0" borderId="15" xfId="98" applyNumberFormat="1" applyFont="1" applyBorder="1" applyAlignment="1">
      <alignment horizontal="center" vertical="center"/>
    </xf>
    <xf numFmtId="3" fontId="8" fillId="0" borderId="15" xfId="98" applyNumberFormat="1" applyFont="1" applyBorder="1" applyAlignment="1">
      <alignment horizontal="center" vertical="center" wrapText="1"/>
    </xf>
    <xf numFmtId="3" fontId="8" fillId="0" borderId="13" xfId="98" applyNumberFormat="1" applyFont="1" applyBorder="1" applyAlignment="1">
      <alignment horizontal="center" vertical="center"/>
    </xf>
    <xf numFmtId="3" fontId="8" fillId="0" borderId="13" xfId="98" applyNumberFormat="1" applyFont="1" applyBorder="1" applyAlignment="1">
      <alignment horizontal="center" vertical="center" wrapText="1"/>
    </xf>
    <xf numFmtId="3" fontId="8" fillId="0" borderId="21" xfId="98" applyNumberFormat="1" applyFont="1" applyBorder="1" applyAlignment="1">
      <alignment horizontal="center" vertical="center"/>
    </xf>
    <xf numFmtId="3" fontId="8" fillId="0" borderId="21" xfId="98" applyNumberFormat="1" applyFont="1" applyBorder="1" applyAlignment="1">
      <alignment horizontal="center" vertical="center" wrapText="1"/>
    </xf>
    <xf numFmtId="3" fontId="8" fillId="0" borderId="21" xfId="98" applyNumberFormat="1" applyFont="1" applyFill="1" applyBorder="1" applyAlignment="1">
      <alignment horizontal="center" vertical="center" wrapText="1"/>
    </xf>
    <xf numFmtId="3" fontId="8" fillId="0" borderId="23" xfId="98" applyNumberFormat="1" applyFont="1" applyBorder="1" applyAlignment="1">
      <alignment horizontal="center" vertical="center"/>
    </xf>
    <xf numFmtId="3" fontId="8" fillId="0" borderId="15" xfId="98" applyNumberFormat="1" applyFont="1" applyFill="1" applyBorder="1" applyAlignment="1">
      <alignment horizontal="center" vertical="center" wrapText="1"/>
    </xf>
    <xf numFmtId="3" fontId="13" fillId="0" borderId="15" xfId="98" applyNumberFormat="1" applyFont="1" applyBorder="1" applyAlignment="1">
      <alignment horizontal="center" vertical="center" wrapText="1"/>
    </xf>
    <xf numFmtId="3" fontId="9" fillId="8" borderId="13" xfId="98" applyNumberFormat="1" applyFont="1" applyFill="1" applyBorder="1" applyAlignment="1">
      <alignment horizontal="center" vertical="center"/>
    </xf>
    <xf numFmtId="3" fontId="8" fillId="0" borderId="13" xfId="98" applyNumberFormat="1" applyFont="1" applyFill="1" applyBorder="1" applyAlignment="1">
      <alignment horizontal="center" vertical="center" wrapText="1"/>
    </xf>
    <xf numFmtId="3" fontId="9" fillId="0" borderId="13" xfId="98" applyNumberFormat="1" applyFont="1" applyBorder="1" applyAlignment="1">
      <alignment horizontal="center" vertical="center"/>
    </xf>
    <xf numFmtId="3" fontId="8" fillId="0" borderId="23" xfId="98" applyNumberFormat="1" applyFont="1" applyBorder="1" applyAlignment="1">
      <alignment horizontal="center" vertical="center" wrapText="1"/>
    </xf>
    <xf numFmtId="3" fontId="8" fillId="0" borderId="13" xfId="98" applyNumberFormat="1" applyFont="1" applyFill="1" applyBorder="1" applyAlignment="1">
      <alignment horizontal="center" vertical="center"/>
    </xf>
    <xf numFmtId="3" fontId="9" fillId="0" borderId="13" xfId="98" applyNumberFormat="1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2" fillId="8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3" fillId="8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3" fillId="0" borderId="0" xfId="169" applyNumberFormat="1" applyFont="1" applyFill="1" applyBorder="1" applyAlignment="1">
      <alignment horizontal="center" vertical="center" wrapText="1"/>
      <protection/>
    </xf>
    <xf numFmtId="3" fontId="12" fillId="0" borderId="16" xfId="0" applyNumberFormat="1" applyFont="1" applyBorder="1" applyAlignment="1">
      <alignment horizontal="center" vertical="center"/>
    </xf>
    <xf numFmtId="3" fontId="13" fillId="46" borderId="13" xfId="170" applyNumberFormat="1" applyFont="1" applyFill="1" applyBorder="1" applyAlignment="1">
      <alignment horizontal="center" vertical="top" wrapText="1"/>
      <protection/>
    </xf>
    <xf numFmtId="3" fontId="16" fillId="0" borderId="13" xfId="0" applyNumberFormat="1" applyFont="1" applyBorder="1" applyAlignment="1">
      <alignment horizontal="center" vertical="center" wrapText="1"/>
    </xf>
    <xf numFmtId="3" fontId="0" fillId="8" borderId="52" xfId="0" applyNumberFormat="1" applyFill="1" applyBorder="1" applyAlignment="1">
      <alignment horizontal="center" vertical="center"/>
    </xf>
    <xf numFmtId="3" fontId="12" fillId="8" borderId="54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36" xfId="0" applyNumberFormat="1" applyFont="1" applyFill="1" applyBorder="1" applyAlignment="1">
      <alignment horizontal="left" vertical="center" wrapText="1"/>
    </xf>
    <xf numFmtId="3" fontId="13" fillId="0" borderId="13" xfId="169" applyNumberFormat="1" applyFont="1" applyFill="1" applyBorder="1" applyAlignment="1">
      <alignment horizontal="center" vertical="center" wrapText="1"/>
      <protection/>
    </xf>
    <xf numFmtId="3" fontId="0" fillId="8" borderId="13" xfId="0" applyNumberForma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left" vertical="center"/>
    </xf>
    <xf numFmtId="3" fontId="12" fillId="0" borderId="58" xfId="0" applyNumberFormat="1" applyFont="1" applyFill="1" applyBorder="1" applyAlignment="1">
      <alignment horizontal="center" vertical="center"/>
    </xf>
    <xf numFmtId="49" fontId="8" fillId="0" borderId="43" xfId="154" applyNumberFormat="1" applyFont="1" applyFill="1" applyBorder="1" applyAlignment="1">
      <alignment horizontal="left" vertical="center" wrapText="1"/>
      <protection/>
    </xf>
    <xf numFmtId="3" fontId="13" fillId="0" borderId="58" xfId="0" applyNumberFormat="1" applyFont="1" applyFill="1" applyBorder="1" applyAlignment="1">
      <alignment horizontal="center" vertical="center"/>
    </xf>
    <xf numFmtId="0" fontId="8" fillId="0" borderId="43" xfId="168" applyFont="1" applyFill="1" applyBorder="1" applyAlignment="1">
      <alignment horizontal="left" vertical="center" wrapText="1"/>
      <protection/>
    </xf>
    <xf numFmtId="49" fontId="56" fillId="0" borderId="15" xfId="0" applyNumberFormat="1" applyFont="1" applyFill="1" applyBorder="1" applyAlignment="1">
      <alignment horizontal="left" vertical="center" wrapText="1"/>
    </xf>
    <xf numFmtId="49" fontId="8" fillId="0" borderId="15" xfId="154" applyNumberFormat="1" applyFont="1" applyFill="1" applyBorder="1" applyAlignment="1">
      <alignment horizontal="left" vertical="center" wrapText="1"/>
      <protection/>
    </xf>
    <xf numFmtId="0" fontId="8" fillId="0" borderId="59" xfId="151" applyFont="1" applyFill="1" applyBorder="1" applyAlignment="1">
      <alignment horizontal="center" vertical="center"/>
      <protection/>
    </xf>
    <xf numFmtId="49" fontId="8" fillId="0" borderId="36" xfId="154" applyNumberFormat="1" applyFont="1" applyFill="1" applyBorder="1" applyAlignment="1">
      <alignment horizontal="left" vertical="center" wrapText="1"/>
      <protection/>
    </xf>
    <xf numFmtId="0" fontId="8" fillId="0" borderId="59" xfId="151" applyFont="1" applyFill="1" applyBorder="1" applyAlignment="1">
      <alignment horizontal="center" vertical="top" wrapText="1"/>
      <protection/>
    </xf>
    <xf numFmtId="1" fontId="16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8" fillId="0" borderId="15" xfId="163" applyFont="1" applyFill="1" applyBorder="1" applyAlignment="1">
      <alignment vertical="center"/>
      <protection/>
    </xf>
    <xf numFmtId="3" fontId="13" fillId="0" borderId="15" xfId="170" applyNumberFormat="1" applyFont="1" applyFill="1" applyBorder="1" applyAlignment="1">
      <alignment vertical="center" wrapText="1"/>
      <protection/>
    </xf>
    <xf numFmtId="0" fontId="8" fillId="0" borderId="15" xfId="163" applyFont="1" applyFill="1" applyBorder="1" applyAlignment="1">
      <alignment vertical="center" wrapText="1"/>
      <protection/>
    </xf>
    <xf numFmtId="0" fontId="13" fillId="0" borderId="15" xfId="163" applyFont="1" applyFill="1" applyBorder="1" applyAlignment="1">
      <alignment vertical="center" wrapText="1"/>
      <protection/>
    </xf>
    <xf numFmtId="3" fontId="8" fillId="0" borderId="13" xfId="165" applyNumberFormat="1" applyFont="1" applyFill="1" applyBorder="1" applyAlignment="1">
      <alignment horizontal="center" vertical="center"/>
      <protection/>
    </xf>
    <xf numFmtId="3" fontId="13" fillId="0" borderId="13" xfId="170" applyNumberFormat="1" applyFont="1" applyFill="1" applyBorder="1" applyAlignment="1">
      <alignment vertical="center" wrapText="1"/>
      <protection/>
    </xf>
    <xf numFmtId="0" fontId="8" fillId="0" borderId="36" xfId="168" applyFont="1" applyFill="1" applyBorder="1" applyAlignment="1">
      <alignment vertical="center" wrapText="1"/>
      <protection/>
    </xf>
    <xf numFmtId="0" fontId="8" fillId="0" borderId="36" xfId="168" applyFont="1" applyFill="1" applyBorder="1" applyAlignment="1">
      <alignment horizontal="left" vertical="center" wrapText="1"/>
      <protection/>
    </xf>
    <xf numFmtId="3" fontId="8" fillId="0" borderId="0" xfId="0" applyNumberFormat="1" applyFont="1" applyFill="1" applyBorder="1" applyAlignment="1">
      <alignment vertical="center"/>
    </xf>
    <xf numFmtId="0" fontId="8" fillId="0" borderId="60" xfId="151" applyFont="1" applyFill="1" applyBorder="1" applyAlignment="1">
      <alignment horizontal="center" vertical="top" wrapText="1"/>
      <protection/>
    </xf>
    <xf numFmtId="0" fontId="13" fillId="0" borderId="53" xfId="152" applyFont="1" applyFill="1" applyBorder="1" applyAlignment="1">
      <alignment vertical="center"/>
      <protection/>
    </xf>
    <xf numFmtId="0" fontId="61" fillId="0" borderId="53" xfId="152" applyFont="1" applyFill="1" applyBorder="1" applyAlignment="1">
      <alignment vertical="center"/>
      <protection/>
    </xf>
    <xf numFmtId="0" fontId="16" fillId="0" borderId="36" xfId="152" applyFont="1" applyFill="1" applyBorder="1" applyAlignment="1">
      <alignment vertical="center" wrapText="1"/>
      <protection/>
    </xf>
    <xf numFmtId="3" fontId="8" fillId="0" borderId="13" xfId="98" applyNumberFormat="1" applyFont="1" applyBorder="1" applyAlignment="1">
      <alignment horizontal="center" wrapText="1"/>
    </xf>
    <xf numFmtId="0" fontId="13" fillId="0" borderId="15" xfId="0" applyFont="1" applyFill="1" applyBorder="1" applyAlignment="1">
      <alignment/>
    </xf>
    <xf numFmtId="0" fontId="13" fillId="0" borderId="15" xfId="149" applyFont="1" applyFill="1" applyBorder="1" applyAlignment="1">
      <alignment vertical="center" wrapText="1"/>
      <protection/>
    </xf>
    <xf numFmtId="3" fontId="9" fillId="0" borderId="13" xfId="170" applyNumberFormat="1" applyFont="1" applyBorder="1" applyAlignment="1">
      <alignment horizontal="right" vertical="center" wrapText="1"/>
      <protection/>
    </xf>
    <xf numFmtId="0" fontId="13" fillId="0" borderId="13" xfId="0" applyFont="1" applyFill="1" applyBorder="1" applyAlignment="1">
      <alignment/>
    </xf>
    <xf numFmtId="0" fontId="8" fillId="0" borderId="61" xfId="149" applyFont="1" applyFill="1" applyBorder="1" applyAlignment="1">
      <alignment vertical="top" wrapText="1"/>
      <protection/>
    </xf>
    <xf numFmtId="0" fontId="8" fillId="0" borderId="61" xfId="138" applyFont="1" applyFill="1" applyBorder="1" applyAlignment="1">
      <alignment horizontal="left" vertical="center" wrapText="1"/>
      <protection/>
    </xf>
    <xf numFmtId="0" fontId="8" fillId="0" borderId="26" xfId="158" applyFont="1" applyBorder="1" applyAlignment="1">
      <alignment wrapText="1"/>
      <protection/>
    </xf>
    <xf numFmtId="3" fontId="69" fillId="0" borderId="13" xfId="0" applyNumberFormat="1" applyFont="1" applyFill="1" applyBorder="1" applyAlignment="1">
      <alignment vertical="center"/>
    </xf>
    <xf numFmtId="0" fontId="8" fillId="0" borderId="62" xfId="149" applyFont="1" applyFill="1" applyBorder="1" applyAlignment="1">
      <alignment vertical="top" wrapText="1"/>
      <protection/>
    </xf>
    <xf numFmtId="3" fontId="61" fillId="0" borderId="25" xfId="154" applyNumberFormat="1" applyFont="1" applyBorder="1" applyAlignment="1">
      <alignment vertical="top" wrapText="1"/>
      <protection/>
    </xf>
    <xf numFmtId="49" fontId="8" fillId="0" borderId="49" xfId="154" applyNumberFormat="1" applyFont="1" applyFill="1" applyBorder="1" applyAlignment="1">
      <alignment horizontal="left" vertical="center" wrapText="1"/>
      <protection/>
    </xf>
    <xf numFmtId="0" fontId="12" fillId="0" borderId="26" xfId="151" applyFont="1" applyFill="1" applyBorder="1" applyAlignment="1">
      <alignment vertical="top"/>
      <protection/>
    </xf>
    <xf numFmtId="0" fontId="13" fillId="47" borderId="26" xfId="150" applyFont="1" applyFill="1" applyBorder="1" applyAlignment="1">
      <alignment vertical="top" wrapText="1"/>
      <protection/>
    </xf>
    <xf numFmtId="0" fontId="13" fillId="0" borderId="26" xfId="161" applyFont="1" applyBorder="1" applyAlignment="1">
      <alignment horizontal="left" vertical="top" wrapText="1"/>
      <protection/>
    </xf>
    <xf numFmtId="3" fontId="12" fillId="0" borderId="0" xfId="0" applyNumberFormat="1" applyFont="1" applyAlignment="1">
      <alignment vertical="center"/>
    </xf>
    <xf numFmtId="0" fontId="13" fillId="0" borderId="36" xfId="151" applyFont="1" applyFill="1" applyBorder="1" applyAlignment="1">
      <alignment horizontal="center" vertical="center"/>
      <protection/>
    </xf>
    <xf numFmtId="0" fontId="13" fillId="47" borderId="26" xfId="151" applyFont="1" applyFill="1" applyBorder="1" applyAlignment="1">
      <alignment vertical="top" wrapText="1"/>
      <protection/>
    </xf>
    <xf numFmtId="0" fontId="13" fillId="0" borderId="26" xfId="150" applyFont="1" applyFill="1" applyBorder="1" applyAlignment="1">
      <alignment vertical="center" wrapText="1"/>
      <protection/>
    </xf>
    <xf numFmtId="49" fontId="13" fillId="0" borderId="26" xfId="161" applyNumberFormat="1" applyFont="1" applyFill="1" applyBorder="1" applyAlignment="1">
      <alignment horizontal="left" vertical="top" wrapText="1"/>
      <protection/>
    </xf>
    <xf numFmtId="0" fontId="13" fillId="0" borderId="26" xfId="146" applyFont="1" applyFill="1" applyBorder="1" applyAlignment="1">
      <alignment vertical="top" wrapText="1"/>
      <protection/>
    </xf>
    <xf numFmtId="3" fontId="13" fillId="0" borderId="36" xfId="0" applyNumberFormat="1" applyFont="1" applyFill="1" applyBorder="1" applyAlignment="1">
      <alignment horizontal="left" vertical="center" wrapText="1"/>
    </xf>
    <xf numFmtId="0" fontId="13" fillId="0" borderId="15" xfId="169" applyFont="1" applyFill="1" applyBorder="1" applyAlignment="1">
      <alignment vertical="center" wrapText="1"/>
      <protection/>
    </xf>
    <xf numFmtId="0" fontId="13" fillId="0" borderId="63" xfId="169" applyFont="1" applyFill="1" applyBorder="1" applyAlignment="1">
      <alignment vertical="center" wrapText="1"/>
      <protection/>
    </xf>
    <xf numFmtId="3" fontId="13" fillId="0" borderId="14" xfId="0" applyNumberFormat="1" applyFont="1" applyFill="1" applyBorder="1" applyAlignment="1">
      <alignment horizontal="left" vertical="center"/>
    </xf>
    <xf numFmtId="0" fontId="8" fillId="0" borderId="26" xfId="168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13" fillId="0" borderId="64" xfId="169" applyFont="1" applyFill="1" applyBorder="1" applyAlignment="1">
      <alignment vertical="center" wrapText="1"/>
      <protection/>
    </xf>
    <xf numFmtId="0" fontId="70" fillId="47" borderId="36" xfId="156" applyFont="1" applyFill="1" applyBorder="1" applyAlignment="1" applyProtection="1">
      <alignment horizontal="left" vertical="center" wrapText="1"/>
      <protection/>
    </xf>
    <xf numFmtId="0" fontId="71" fillId="47" borderId="36" xfId="156" applyFont="1" applyFill="1" applyBorder="1" applyAlignment="1" applyProtection="1">
      <alignment horizontal="left" vertical="center" wrapText="1"/>
      <protection/>
    </xf>
    <xf numFmtId="49" fontId="56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65" xfId="169" applyFont="1" applyFill="1" applyBorder="1" applyAlignment="1">
      <alignment vertical="center" wrapText="1"/>
      <protection/>
    </xf>
    <xf numFmtId="0" fontId="13" fillId="0" borderId="54" xfId="169" applyFont="1" applyFill="1" applyBorder="1" applyAlignment="1">
      <alignment vertical="center" wrapText="1"/>
      <protection/>
    </xf>
    <xf numFmtId="49" fontId="56" fillId="0" borderId="13" xfId="0" applyNumberFormat="1" applyFont="1" applyFill="1" applyBorder="1" applyAlignment="1">
      <alignment horizontal="left" vertical="center" wrapText="1"/>
    </xf>
    <xf numFmtId="202" fontId="13" fillId="0" borderId="16" xfId="98" applyNumberFormat="1" applyFont="1" applyBorder="1" applyAlignment="1">
      <alignment horizontal="right" vertical="center" wrapText="1"/>
    </xf>
    <xf numFmtId="3" fontId="12" fillId="0" borderId="65" xfId="170" applyNumberFormat="1" applyFont="1" applyFill="1" applyBorder="1" applyAlignment="1">
      <alignment vertical="center"/>
      <protection/>
    </xf>
    <xf numFmtId="3" fontId="12" fillId="0" borderId="21" xfId="170" applyNumberFormat="1" applyFont="1" applyFill="1" applyBorder="1" applyAlignment="1">
      <alignment horizontal="center" vertical="center" wrapText="1"/>
      <protection/>
    </xf>
    <xf numFmtId="3" fontId="15" fillId="0" borderId="38" xfId="170" applyNumberFormat="1" applyFont="1" applyFill="1" applyBorder="1" applyAlignment="1">
      <alignment vertical="center"/>
      <protection/>
    </xf>
    <xf numFmtId="3" fontId="6" fillId="0" borderId="21" xfId="0" applyNumberFormat="1" applyFont="1" applyBorder="1" applyAlignment="1">
      <alignment vertical="center"/>
    </xf>
    <xf numFmtId="3" fontId="12" fillId="8" borderId="31" xfId="170" applyNumberFormat="1" applyFont="1" applyFill="1" applyBorder="1" applyAlignment="1">
      <alignment horizontal="center" vertical="center" wrapText="1"/>
      <protection/>
    </xf>
    <xf numFmtId="49" fontId="13" fillId="0" borderId="43" xfId="154" applyNumberFormat="1" applyFont="1" applyFill="1" applyBorder="1" applyAlignment="1">
      <alignment horizontal="left" vertical="center" wrapText="1"/>
      <protection/>
    </xf>
    <xf numFmtId="0" fontId="8" fillId="0" borderId="13" xfId="165" applyFont="1" applyBorder="1" applyAlignment="1">
      <alignment horizontal="left" vertical="center"/>
      <protection/>
    </xf>
    <xf numFmtId="0" fontId="8" fillId="0" borderId="0" xfId="158" applyFont="1" applyFill="1" applyBorder="1" applyAlignment="1">
      <alignment wrapText="1"/>
      <protection/>
    </xf>
    <xf numFmtId="0" fontId="8" fillId="0" borderId="38" xfId="163" applyFont="1" applyFill="1" applyBorder="1" applyAlignment="1">
      <alignment vertical="center" wrapText="1"/>
      <protection/>
    </xf>
    <xf numFmtId="0" fontId="8" fillId="0" borderId="15" xfId="166" applyFont="1" applyFill="1" applyBorder="1" applyAlignment="1">
      <alignment vertical="center"/>
      <protection/>
    </xf>
    <xf numFmtId="0" fontId="71" fillId="0" borderId="36" xfId="156" applyFont="1" applyFill="1" applyBorder="1" applyAlignment="1" applyProtection="1">
      <alignment horizontal="left" vertical="center" wrapText="1"/>
      <protection/>
    </xf>
    <xf numFmtId="49" fontId="8" fillId="0" borderId="0" xfId="154" applyNumberFormat="1" applyFont="1" applyFill="1" applyBorder="1" applyAlignment="1">
      <alignment horizontal="left" vertical="center" wrapText="1"/>
      <protection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58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horizontal="left" vertical="center" wrapText="1"/>
    </xf>
    <xf numFmtId="0" fontId="8" fillId="0" borderId="15" xfId="142" applyFont="1" applyFill="1" applyBorder="1" applyAlignment="1">
      <alignment vertical="center" wrapText="1"/>
      <protection/>
    </xf>
    <xf numFmtId="3" fontId="12" fillId="0" borderId="66" xfId="0" applyNumberFormat="1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14" xfId="98" applyNumberFormat="1" applyFont="1" applyFill="1" applyBorder="1" applyAlignment="1">
      <alignment horizontal="center" vertical="center"/>
    </xf>
    <xf numFmtId="3" fontId="8" fillId="0" borderId="13" xfId="138" applyNumberFormat="1" applyFont="1" applyBorder="1" applyAlignment="1">
      <alignment horizontal="center" vertical="center"/>
      <protection/>
    </xf>
    <xf numFmtId="3" fontId="8" fillId="0" borderId="13" xfId="98" applyNumberFormat="1" applyFont="1" applyFill="1" applyBorder="1" applyAlignment="1">
      <alignment horizontal="center" vertical="top" wrapText="1"/>
    </xf>
    <xf numFmtId="0" fontId="50" fillId="0" borderId="0" xfId="160">
      <alignment/>
      <protection/>
    </xf>
    <xf numFmtId="0" fontId="8" fillId="0" borderId="13" xfId="164" applyFont="1" applyFill="1" applyBorder="1" applyAlignment="1">
      <alignment vertical="center" wrapText="1"/>
      <protection/>
    </xf>
    <xf numFmtId="175" fontId="9" fillId="8" borderId="13" xfId="159" applyNumberFormat="1" applyFont="1" applyFill="1" applyBorder="1">
      <alignment/>
      <protection/>
    </xf>
    <xf numFmtId="3" fontId="61" fillId="0" borderId="13" xfId="0" applyNumberFormat="1" applyFont="1" applyFill="1" applyBorder="1" applyAlignment="1">
      <alignment horizontal="center" vertical="center"/>
    </xf>
    <xf numFmtId="0" fontId="13" fillId="0" borderId="53" xfId="151" applyFont="1" applyFill="1" applyBorder="1" applyAlignment="1">
      <alignment horizontal="center" vertical="center"/>
      <protection/>
    </xf>
    <xf numFmtId="0" fontId="13" fillId="0" borderId="25" xfId="169" applyFont="1" applyBorder="1" applyAlignment="1">
      <alignment vertical="center"/>
      <protection/>
    </xf>
    <xf numFmtId="3" fontId="13" fillId="0" borderId="23" xfId="0" applyNumberFormat="1" applyFont="1" applyFill="1" applyBorder="1" applyAlignment="1">
      <alignment horizontal="center" vertical="center"/>
    </xf>
    <xf numFmtId="0" fontId="8" fillId="0" borderId="25" xfId="169" applyFont="1" applyBorder="1" applyAlignment="1">
      <alignment vertical="center"/>
      <protection/>
    </xf>
    <xf numFmtId="3" fontId="12" fillId="8" borderId="38" xfId="0" applyNumberFormat="1" applyFont="1" applyFill="1" applyBorder="1" applyAlignment="1">
      <alignment vertical="center"/>
    </xf>
    <xf numFmtId="202" fontId="8" fillId="0" borderId="67" xfId="98" applyNumberFormat="1" applyFont="1" applyFill="1" applyBorder="1" applyAlignment="1">
      <alignment horizontal="center" vertical="top" wrapText="1"/>
    </xf>
    <xf numFmtId="0" fontId="8" fillId="0" borderId="38" xfId="165" applyFont="1" applyBorder="1" applyAlignment="1">
      <alignment vertical="center" wrapText="1"/>
      <protection/>
    </xf>
    <xf numFmtId="0" fontId="9" fillId="0" borderId="15" xfId="165" applyFont="1" applyBorder="1" applyAlignment="1">
      <alignment vertical="center"/>
      <protection/>
    </xf>
    <xf numFmtId="0" fontId="8" fillId="0" borderId="43" xfId="141" applyFont="1" applyBorder="1" applyAlignment="1">
      <alignment vertical="center" wrapText="1"/>
      <protection/>
    </xf>
    <xf numFmtId="0" fontId="8" fillId="0" borderId="15" xfId="163" applyFont="1" applyBorder="1" applyAlignment="1">
      <alignment vertical="center" wrapText="1"/>
      <protection/>
    </xf>
    <xf numFmtId="0" fontId="9" fillId="0" borderId="15" xfId="165" applyFont="1" applyFill="1" applyBorder="1" applyAlignment="1">
      <alignment vertical="center"/>
      <protection/>
    </xf>
    <xf numFmtId="0" fontId="9" fillId="8" borderId="15" xfId="138" applyFont="1" applyFill="1" applyBorder="1" applyAlignment="1">
      <alignment vertical="center" wrapText="1"/>
      <protection/>
    </xf>
    <xf numFmtId="0" fontId="8" fillId="0" borderId="15" xfId="138" applyFont="1" applyBorder="1" applyAlignment="1">
      <alignment vertical="center"/>
      <protection/>
    </xf>
    <xf numFmtId="0" fontId="8" fillId="0" borderId="13" xfId="163" applyFont="1" applyFill="1" applyBorder="1" applyAlignment="1">
      <alignment horizontal="center" vertical="center" wrapText="1"/>
      <protection/>
    </xf>
    <xf numFmtId="3" fontId="13" fillId="0" borderId="13" xfId="98" applyNumberFormat="1" applyFont="1" applyBorder="1" applyAlignment="1">
      <alignment horizontal="center" vertical="center" wrapText="1"/>
    </xf>
    <xf numFmtId="3" fontId="13" fillId="0" borderId="13" xfId="98" applyNumberFormat="1" applyFont="1" applyFill="1" applyBorder="1" applyAlignment="1">
      <alignment horizontal="center" vertical="center" wrapText="1"/>
    </xf>
    <xf numFmtId="3" fontId="8" fillId="8" borderId="13" xfId="98" applyNumberFormat="1" applyFont="1" applyFill="1" applyBorder="1" applyAlignment="1">
      <alignment horizontal="center" vertical="center"/>
    </xf>
    <xf numFmtId="0" fontId="8" fillId="0" borderId="13" xfId="163" applyFont="1" applyFill="1" applyBorder="1" applyAlignment="1">
      <alignment horizontal="center" vertical="center"/>
      <protection/>
    </xf>
    <xf numFmtId="0" fontId="9" fillId="0" borderId="38" xfId="165" applyFont="1" applyBorder="1" applyAlignment="1">
      <alignment vertical="center"/>
      <protection/>
    </xf>
    <xf numFmtId="0" fontId="8" fillId="0" borderId="15" xfId="167" applyFont="1" applyFill="1" applyBorder="1" applyAlignment="1">
      <alignment vertical="center" wrapText="1"/>
      <protection/>
    </xf>
    <xf numFmtId="0" fontId="70" fillId="47" borderId="26" xfId="156" applyFont="1" applyFill="1" applyBorder="1" applyAlignment="1" applyProtection="1">
      <alignment horizontal="left" vertical="center" wrapText="1"/>
      <protection/>
    </xf>
    <xf numFmtId="0" fontId="8" fillId="0" borderId="15" xfId="165" applyFont="1" applyBorder="1" applyAlignment="1">
      <alignment horizontal="left" vertical="center"/>
      <protection/>
    </xf>
    <xf numFmtId="0" fontId="8" fillId="0" borderId="15" xfId="0" applyFont="1" applyFill="1" applyBorder="1" applyAlignment="1">
      <alignment vertical="top" wrapText="1"/>
    </xf>
    <xf numFmtId="0" fontId="8" fillId="0" borderId="15" xfId="138" applyFont="1" applyFill="1" applyBorder="1" applyAlignment="1">
      <alignment horizontal="left" vertical="center" wrapText="1"/>
      <protection/>
    </xf>
    <xf numFmtId="0" fontId="8" fillId="0" borderId="15" xfId="136" applyFont="1" applyFill="1" applyBorder="1" applyAlignment="1">
      <alignment horizontal="left" vertical="center" wrapText="1"/>
      <protection/>
    </xf>
    <xf numFmtId="0" fontId="8" fillId="0" borderId="15" xfId="147" applyFont="1" applyFill="1" applyBorder="1" applyAlignment="1">
      <alignment vertical="top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8" fillId="0" borderId="15" xfId="158" applyFont="1" applyBorder="1" applyAlignment="1">
      <alignment wrapText="1"/>
      <protection/>
    </xf>
    <xf numFmtId="0" fontId="8" fillId="0" borderId="15" xfId="141" applyFont="1" applyBorder="1" applyAlignment="1">
      <alignment vertical="center"/>
      <protection/>
    </xf>
    <xf numFmtId="0" fontId="8" fillId="0" borderId="38" xfId="165" applyFont="1" applyBorder="1" applyAlignment="1">
      <alignment vertical="center"/>
      <protection/>
    </xf>
    <xf numFmtId="0" fontId="8" fillId="0" borderId="15" xfId="141" applyFont="1" applyBorder="1" applyAlignment="1">
      <alignment vertical="center" wrapText="1"/>
      <protection/>
    </xf>
    <xf numFmtId="0" fontId="8" fillId="0" borderId="38" xfId="165" applyFont="1" applyFill="1" applyBorder="1" applyAlignment="1">
      <alignment vertical="center" wrapText="1"/>
      <protection/>
    </xf>
    <xf numFmtId="0" fontId="8" fillId="0" borderId="43" xfId="141" applyFont="1" applyBorder="1" applyAlignment="1">
      <alignment vertical="center"/>
      <protection/>
    </xf>
    <xf numFmtId="0" fontId="9" fillId="8" borderId="68" xfId="165" applyFont="1" applyFill="1" applyBorder="1" applyAlignment="1">
      <alignment vertical="center"/>
      <protection/>
    </xf>
    <xf numFmtId="0" fontId="13" fillId="0" borderId="13" xfId="165" applyFont="1" applyBorder="1" applyAlignment="1">
      <alignment horizontal="center" vertical="center" wrapText="1"/>
      <protection/>
    </xf>
    <xf numFmtId="3" fontId="8" fillId="0" borderId="13" xfId="165" applyNumberFormat="1" applyFont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/>
      <protection/>
    </xf>
    <xf numFmtId="3" fontId="8" fillId="0" borderId="20" xfId="98" applyNumberFormat="1" applyFont="1" applyFill="1" applyBorder="1" applyAlignment="1">
      <alignment horizontal="center" vertical="top" wrapText="1"/>
    </xf>
    <xf numFmtId="3" fontId="8" fillId="0" borderId="13" xfId="163" applyNumberFormat="1" applyFont="1" applyFill="1" applyBorder="1" applyAlignment="1">
      <alignment horizontal="center" vertical="center" wrapText="1"/>
      <protection/>
    </xf>
    <xf numFmtId="3" fontId="8" fillId="0" borderId="26" xfId="154" applyNumberFormat="1" applyFont="1" applyBorder="1" applyAlignment="1">
      <alignment vertical="top" wrapText="1"/>
      <protection/>
    </xf>
    <xf numFmtId="0" fontId="8" fillId="0" borderId="69" xfId="158" applyFont="1" applyBorder="1" applyAlignment="1">
      <alignment wrapText="1"/>
      <protection/>
    </xf>
    <xf numFmtId="49" fontId="56" fillId="0" borderId="49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vertical="center" wrapText="1"/>
    </xf>
    <xf numFmtId="49" fontId="8" fillId="0" borderId="13" xfId="154" applyNumberFormat="1" applyFont="1" applyFill="1" applyBorder="1" applyAlignment="1">
      <alignment horizontal="left" vertical="center" wrapText="1"/>
      <protection/>
    </xf>
    <xf numFmtId="3" fontId="12" fillId="9" borderId="30" xfId="152" applyNumberFormat="1" applyFont="1" applyFill="1" applyBorder="1" applyAlignment="1">
      <alignment horizontal="center" vertical="center"/>
      <protection/>
    </xf>
    <xf numFmtId="3" fontId="12" fillId="9" borderId="70" xfId="152" applyNumberFormat="1" applyFont="1" applyFill="1" applyBorder="1" applyAlignment="1">
      <alignment horizontal="center" vertical="center"/>
      <protection/>
    </xf>
    <xf numFmtId="3" fontId="12" fillId="9" borderId="71" xfId="152" applyNumberFormat="1" applyFont="1" applyFill="1" applyBorder="1" applyAlignment="1">
      <alignment horizontal="center" vertical="center"/>
      <protection/>
    </xf>
    <xf numFmtId="0" fontId="3" fillId="8" borderId="3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5" xfId="138" applyFont="1" applyFill="1" applyBorder="1" applyAlignment="1">
      <alignment horizontal="center" vertical="center"/>
      <protection/>
    </xf>
    <xf numFmtId="0" fontId="55" fillId="8" borderId="13" xfId="0" applyFont="1" applyFill="1" applyBorder="1" applyAlignment="1">
      <alignment horizontal="center" vertical="center" wrapText="1"/>
    </xf>
    <xf numFmtId="0" fontId="55" fillId="8" borderId="13" xfId="0" applyFont="1" applyFill="1" applyBorder="1" applyAlignment="1">
      <alignment horizontal="center" vertical="center"/>
    </xf>
    <xf numFmtId="0" fontId="9" fillId="8" borderId="70" xfId="138" applyFont="1" applyFill="1" applyBorder="1" applyAlignment="1">
      <alignment horizontal="center" vertical="center"/>
      <protection/>
    </xf>
    <xf numFmtId="0" fontId="9" fillId="8" borderId="71" xfId="138" applyFont="1" applyFill="1" applyBorder="1" applyAlignment="1">
      <alignment horizontal="center" vertical="center"/>
      <protection/>
    </xf>
    <xf numFmtId="0" fontId="9" fillId="8" borderId="30" xfId="141" applyFont="1" applyFill="1" applyBorder="1" applyAlignment="1">
      <alignment horizontal="center"/>
      <protection/>
    </xf>
    <xf numFmtId="0" fontId="9" fillId="8" borderId="70" xfId="141" applyFont="1" applyFill="1" applyBorder="1" applyAlignment="1">
      <alignment horizontal="center"/>
      <protection/>
    </xf>
    <xf numFmtId="0" fontId="3" fillId="8" borderId="3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72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0" applyNumberFormat="1" applyFont="1" applyFill="1" applyBorder="1" applyAlignment="1">
      <alignment horizontal="center" vertical="center" wrapText="1"/>
      <protection/>
    </xf>
    <xf numFmtId="3" fontId="12" fillId="8" borderId="30" xfId="170" applyNumberFormat="1" applyFont="1" applyFill="1" applyBorder="1" applyAlignment="1">
      <alignment horizontal="center" vertical="center" wrapText="1"/>
      <protection/>
    </xf>
    <xf numFmtId="3" fontId="12" fillId="8" borderId="71" xfId="170" applyNumberFormat="1" applyFont="1" applyFill="1" applyBorder="1" applyAlignment="1">
      <alignment horizontal="center" vertical="center" wrapText="1"/>
      <protection/>
    </xf>
    <xf numFmtId="3" fontId="17" fillId="8" borderId="39" xfId="170" applyNumberFormat="1" applyFont="1" applyFill="1" applyBorder="1" applyAlignment="1">
      <alignment horizontal="center" vertical="center" wrapText="1"/>
      <protection/>
    </xf>
    <xf numFmtId="3" fontId="17" fillId="8" borderId="29" xfId="170" applyNumberFormat="1" applyFont="1" applyFill="1" applyBorder="1" applyAlignment="1">
      <alignment horizontal="center" vertical="center" wrapText="1"/>
      <protection/>
    </xf>
    <xf numFmtId="3" fontId="17" fillId="8" borderId="73" xfId="170" applyNumberFormat="1" applyFont="1" applyFill="1" applyBorder="1" applyAlignment="1">
      <alignment horizontal="center" vertical="center"/>
      <protection/>
    </xf>
    <xf numFmtId="3" fontId="17" fillId="8" borderId="28" xfId="170" applyNumberFormat="1" applyFont="1" applyFill="1" applyBorder="1" applyAlignment="1">
      <alignment horizontal="center" vertical="center"/>
      <protection/>
    </xf>
    <xf numFmtId="0" fontId="12" fillId="8" borderId="14" xfId="0" applyFont="1" applyFill="1" applyBorder="1" applyAlignment="1">
      <alignment horizontal="center" vertical="center"/>
    </xf>
    <xf numFmtId="3" fontId="17" fillId="8" borderId="56" xfId="170" applyNumberFormat="1" applyFont="1" applyFill="1" applyBorder="1" applyAlignment="1">
      <alignment horizontal="center" vertical="center" wrapText="1"/>
      <protection/>
    </xf>
    <xf numFmtId="3" fontId="17" fillId="8" borderId="72" xfId="170" applyNumberFormat="1" applyFont="1" applyFill="1" applyBorder="1" applyAlignment="1">
      <alignment horizontal="center" vertical="center" wrapText="1"/>
      <protection/>
    </xf>
    <xf numFmtId="0" fontId="9" fillId="8" borderId="13" xfId="1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3" xfId="157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wrapText="1"/>
    </xf>
    <xf numFmtId="0" fontId="36" fillId="8" borderId="23" xfId="157" applyFont="1" applyFill="1" applyBorder="1" applyAlignment="1">
      <alignment horizontal="center" vertical="center" wrapText="1"/>
      <protection/>
    </xf>
    <xf numFmtId="0" fontId="36" fillId="8" borderId="21" xfId="157" applyFont="1" applyFill="1" applyBorder="1" applyAlignment="1">
      <alignment horizontal="center" vertical="center" wrapText="1"/>
      <protection/>
    </xf>
    <xf numFmtId="0" fontId="3" fillId="8" borderId="74" xfId="0" applyFont="1" applyFill="1" applyBorder="1" applyAlignment="1">
      <alignment horizontal="center" vertical="center" wrapText="1"/>
    </xf>
    <xf numFmtId="3" fontId="68" fillId="8" borderId="31" xfId="0" applyNumberFormat="1" applyFont="1" applyFill="1" applyBorder="1" applyAlignment="1">
      <alignment horizontal="center" vertical="center" wrapText="1"/>
    </xf>
    <xf numFmtId="0" fontId="36" fillId="8" borderId="31" xfId="0" applyFont="1" applyFill="1" applyBorder="1" applyAlignment="1">
      <alignment horizontal="center" vertical="center"/>
    </xf>
    <xf numFmtId="3" fontId="17" fillId="8" borderId="31" xfId="170" applyNumberFormat="1" applyFont="1" applyFill="1" applyBorder="1" applyAlignment="1">
      <alignment horizontal="center" vertical="center"/>
      <protection/>
    </xf>
    <xf numFmtId="3" fontId="12" fillId="8" borderId="31" xfId="170" applyNumberFormat="1" applyFont="1" applyFill="1" applyBorder="1" applyAlignment="1">
      <alignment horizontal="center" vertical="center" wrapText="1"/>
      <protection/>
    </xf>
    <xf numFmtId="0" fontId="12" fillId="8" borderId="31" xfId="0" applyFont="1" applyFill="1" applyBorder="1" applyAlignment="1">
      <alignment horizontal="center" vertical="center"/>
    </xf>
    <xf numFmtId="3" fontId="17" fillId="8" borderId="31" xfId="170" applyNumberFormat="1" applyFont="1" applyFill="1" applyBorder="1" applyAlignment="1">
      <alignment horizontal="center" vertical="center" wrapText="1"/>
      <protection/>
    </xf>
  </cellXfs>
  <cellStyles count="174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Figyelmeztetés" xfId="100"/>
    <cellStyle name="Figyelmeztetés 2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Hivatkozott cella" xfId="108"/>
    <cellStyle name="Hivatkozott cella 2" xfId="109"/>
    <cellStyle name="Input" xfId="110"/>
    <cellStyle name="Jegyzet" xfId="111"/>
    <cellStyle name="Jegyzet 2" xfId="112"/>
    <cellStyle name="Jelölőszín (1)" xfId="113"/>
    <cellStyle name="Jelölőszín (1) 2" xfId="114"/>
    <cellStyle name="Jelölőszín (2)" xfId="115"/>
    <cellStyle name="Jelölőszín (2) 2" xfId="116"/>
    <cellStyle name="Jelölőszín (3)" xfId="117"/>
    <cellStyle name="Jelölőszín (3) 2" xfId="118"/>
    <cellStyle name="Jelölőszín (4)" xfId="119"/>
    <cellStyle name="Jelölőszín (4) 2" xfId="120"/>
    <cellStyle name="Jelölőszín (5)" xfId="121"/>
    <cellStyle name="Jelölőszín (5) 2" xfId="122"/>
    <cellStyle name="Jelölőszín (6)" xfId="123"/>
    <cellStyle name="Jelölőszín (6) 2" xfId="124"/>
    <cellStyle name="Jó" xfId="125"/>
    <cellStyle name="Jó 2" xfId="126"/>
    <cellStyle name="Kimenet" xfId="127"/>
    <cellStyle name="Kimenet 2" xfId="128"/>
    <cellStyle name="Followed Hyperlink" xfId="129"/>
    <cellStyle name="Linked Cell" xfId="130"/>
    <cellStyle name="Magyarázó szöveg" xfId="131"/>
    <cellStyle name="Magyarázó szöveg 2" xfId="132"/>
    <cellStyle name="Neutral" xfId="133"/>
    <cellStyle name="Normál 2" xfId="134"/>
    <cellStyle name="Normál 3" xfId="135"/>
    <cellStyle name="Normál_   5    (2)_7" xfId="136"/>
    <cellStyle name="Normál_   5    (2)_7_6.a" xfId="137"/>
    <cellStyle name="Normál_   5    (2)_KÖLTSÉGVETÉS_2015." xfId="138"/>
    <cellStyle name="Normál_   5    (2)_Másolat eredetije2014. műk-beru-felúj." xfId="139"/>
    <cellStyle name="Normál_   5    (2)_Másolat eredetije2014. műk-beru-felúj._6.a" xfId="140"/>
    <cellStyle name="Normál_   5-a    (2)_KÖLTSÉGVETÉS_2015." xfId="141"/>
    <cellStyle name="Normál_   7   x" xfId="142"/>
    <cellStyle name="Normál_   7   x_2012. III.negyedévi ei. módosítás" xfId="143"/>
    <cellStyle name="Normál_   7   x_2012. III.negyedévi ei. módosítás_6.a" xfId="144"/>
    <cellStyle name="Normál_   7   x_2014_ktsv tervezet_btcs" xfId="145"/>
    <cellStyle name="Normál_   7   x_2014_ktsv tervezet_btcs_6.a" xfId="146"/>
    <cellStyle name="Normál_   7   x_7" xfId="147"/>
    <cellStyle name="Normál_   7   x_7_6.a" xfId="148"/>
    <cellStyle name="Normál_   7   x_KÖLTSÉGVETÉS_2015." xfId="149"/>
    <cellStyle name="Normál_   7   x_Másolat eredetije2014. műk-beru-felúj." xfId="150"/>
    <cellStyle name="Normál_   7   x_Másolat eredetije2014. műk-beru-felúj._6.a" xfId="151"/>
    <cellStyle name="Normál_  3   _2010.évi állami" xfId="152"/>
    <cellStyle name="Normál_2012. évi beszámoló 5.a 6a" xfId="153"/>
    <cellStyle name="Normál_213_évi_költségvetés_MCS" xfId="154"/>
    <cellStyle name="Normál_213_évi_költségvetés_MCS_6.a" xfId="155"/>
    <cellStyle name="Normál_3" xfId="156"/>
    <cellStyle name="Normál_INTKIA96" xfId="157"/>
    <cellStyle name="Normál_KTGVTERV" xfId="158"/>
    <cellStyle name="Normál_Létszám 2014. évi ktgvetés_2014.IV.negyedévi létszám ei. módosítás és 2015" xfId="159"/>
    <cellStyle name="Normál_Létszámmódosítás III. név" xfId="160"/>
    <cellStyle name="Normál_Másolat eredetije2014. műk-beru-felúj." xfId="161"/>
    <cellStyle name="Normál_Munka1" xfId="162"/>
    <cellStyle name="Normál_Munka2 (2)" xfId="163"/>
    <cellStyle name="Normál_Munka2 (2)_2014.IV.negyedévi létszám ei. módosítás és 2015" xfId="164"/>
    <cellStyle name="Normál_Munka2 (2)_KÖLTSÉGVETÉS_2015." xfId="165"/>
    <cellStyle name="Normál_Munka2 (2)_táj.2." xfId="166"/>
    <cellStyle name="Normál_Munka3 (2)" xfId="167"/>
    <cellStyle name="Normál_Munka3 (2)_Másolat eredetije2014. műk-beru-felúj." xfId="168"/>
    <cellStyle name="Normál_Munka3 (2)_Másolat eredetije2014. műk-beru-felúj._6.a" xfId="169"/>
    <cellStyle name="Normál_ÖKIADELÖ" xfId="170"/>
    <cellStyle name="Normal_tanusitv" xfId="171"/>
    <cellStyle name="Note" xfId="172"/>
    <cellStyle name="Output" xfId="173"/>
    <cellStyle name="Összesen" xfId="174"/>
    <cellStyle name="Összesen 2" xfId="175"/>
    <cellStyle name="Currency" xfId="176"/>
    <cellStyle name="Currency [0]" xfId="177"/>
    <cellStyle name="Rossz" xfId="178"/>
    <cellStyle name="Rossz 2" xfId="179"/>
    <cellStyle name="Semleges" xfId="180"/>
    <cellStyle name="Semleges 2" xfId="181"/>
    <cellStyle name="Számítás" xfId="182"/>
    <cellStyle name="Számítás 2" xfId="183"/>
    <cellStyle name="Percent" xfId="184"/>
    <cellStyle name="Title" xfId="185"/>
    <cellStyle name="Total" xfId="186"/>
    <cellStyle name="Warning Text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5.125" style="64" customWidth="1"/>
    <col min="2" max="2" width="13.00390625" style="64" customWidth="1"/>
    <col min="3" max="3" width="13.625" style="64" customWidth="1"/>
    <col min="4" max="4" width="12.625" style="1" customWidth="1"/>
    <col min="5" max="5" width="2.00390625" style="63" customWidth="1"/>
    <col min="6" max="6" width="44.875" style="64" customWidth="1"/>
    <col min="7" max="7" width="14.125" style="64" customWidth="1"/>
    <col min="8" max="8" width="13.875" style="64" customWidth="1"/>
    <col min="9" max="9" width="12.50390625" style="1" customWidth="1"/>
    <col min="10" max="16384" width="9.375" style="31" customWidth="1"/>
  </cols>
  <sheetData>
    <row r="1" spans="1:9" s="52" customFormat="1" ht="39.75" customHeight="1" thickBot="1">
      <c r="A1" s="48"/>
      <c r="B1" s="50" t="s">
        <v>1263</v>
      </c>
      <c r="C1" s="49" t="s">
        <v>739</v>
      </c>
      <c r="D1" s="50" t="s">
        <v>740</v>
      </c>
      <c r="E1" s="51"/>
      <c r="F1" s="48" t="s">
        <v>686</v>
      </c>
      <c r="G1" s="50" t="s">
        <v>1263</v>
      </c>
      <c r="H1" s="49" t="s">
        <v>739</v>
      </c>
      <c r="I1" s="50" t="s">
        <v>740</v>
      </c>
    </row>
    <row r="2" spans="1:9" s="55" customFormat="1" ht="12.75" customHeight="1">
      <c r="A2" s="53" t="s">
        <v>508</v>
      </c>
      <c r="B2" s="27"/>
      <c r="C2" s="79"/>
      <c r="D2" s="27"/>
      <c r="E2" s="54"/>
      <c r="F2" s="53" t="s">
        <v>509</v>
      </c>
      <c r="G2" s="53"/>
      <c r="H2" s="53"/>
      <c r="I2" s="26"/>
    </row>
    <row r="3" spans="1:9" ht="24.75" customHeight="1">
      <c r="A3" s="56" t="s">
        <v>300</v>
      </c>
      <c r="B3" s="25">
        <v>3247199</v>
      </c>
      <c r="C3" s="56">
        <v>334667</v>
      </c>
      <c r="D3" s="25">
        <f>SUM(B3:C3)</f>
        <v>3581866</v>
      </c>
      <c r="E3" s="57"/>
      <c r="F3" s="56" t="s">
        <v>586</v>
      </c>
      <c r="G3" s="25">
        <v>6113765</v>
      </c>
      <c r="H3" s="56">
        <v>371468</v>
      </c>
      <c r="I3" s="25">
        <f>SUM(G3:H3)</f>
        <v>6485233</v>
      </c>
    </row>
    <row r="4" spans="1:9" ht="15" customHeight="1">
      <c r="A4" s="56" t="s">
        <v>301</v>
      </c>
      <c r="B4" s="15">
        <v>3952000</v>
      </c>
      <c r="C4" s="56">
        <v>23300</v>
      </c>
      <c r="D4" s="25">
        <f>SUM(B4:C4)</f>
        <v>3975300</v>
      </c>
      <c r="E4" s="57"/>
      <c r="F4" s="59" t="s">
        <v>601</v>
      </c>
      <c r="G4" s="25">
        <v>2978990</v>
      </c>
      <c r="H4" s="56">
        <v>373856</v>
      </c>
      <c r="I4" s="25">
        <f>SUM(G4:H4)</f>
        <v>3352846</v>
      </c>
    </row>
    <row r="5" spans="1:9" ht="22.5" customHeight="1">
      <c r="A5" s="56" t="s">
        <v>302</v>
      </c>
      <c r="B5" s="15">
        <v>2069746</v>
      </c>
      <c r="C5" s="56">
        <v>131250</v>
      </c>
      <c r="D5" s="25">
        <f>SUM(B5:C5)</f>
        <v>2200996</v>
      </c>
      <c r="E5" s="57"/>
      <c r="F5" s="56" t="s">
        <v>1264</v>
      </c>
      <c r="G5" s="25">
        <v>1299296</v>
      </c>
      <c r="H5" s="56">
        <v>158477</v>
      </c>
      <c r="I5" s="25">
        <f>SUM(G5:H5)</f>
        <v>1457773</v>
      </c>
    </row>
    <row r="6" spans="1:9" ht="19.5" customHeight="1">
      <c r="A6" s="56" t="s">
        <v>303</v>
      </c>
      <c r="B6" s="25">
        <v>67000</v>
      </c>
      <c r="C6" s="56">
        <v>12663</v>
      </c>
      <c r="D6" s="25">
        <f>SUM(B6:C6)</f>
        <v>79663</v>
      </c>
      <c r="E6" s="57"/>
      <c r="F6" s="56" t="s">
        <v>510</v>
      </c>
      <c r="G6" s="15">
        <v>287136</v>
      </c>
      <c r="H6" s="56">
        <v>-151618</v>
      </c>
      <c r="I6" s="25">
        <f>SUM(G6:H6)</f>
        <v>135518</v>
      </c>
    </row>
    <row r="7" spans="1:9" ht="13.5" customHeight="1">
      <c r="A7" s="58" t="s">
        <v>513</v>
      </c>
      <c r="B7" s="58">
        <f>SUM(B3+B4+B5+B6)</f>
        <v>9335945</v>
      </c>
      <c r="C7" s="58">
        <f>SUM(C3+C4+C5+C6)</f>
        <v>501880</v>
      </c>
      <c r="D7" s="58">
        <f>SUM(D3+D4+D5+D6)</f>
        <v>9837825</v>
      </c>
      <c r="E7" s="57"/>
      <c r="F7" s="56" t="s">
        <v>511</v>
      </c>
      <c r="G7" s="25">
        <v>5000</v>
      </c>
      <c r="H7" s="56">
        <v>-1778</v>
      </c>
      <c r="I7" s="25">
        <f>SUM(G7:H7)</f>
        <v>3222</v>
      </c>
    </row>
    <row r="8" spans="1:9" ht="13.5" customHeight="1">
      <c r="A8" s="59" t="s">
        <v>304</v>
      </c>
      <c r="B8" s="58"/>
      <c r="C8" s="58"/>
      <c r="D8" s="58"/>
      <c r="E8" s="57"/>
      <c r="F8" s="58" t="s">
        <v>512</v>
      </c>
      <c r="G8" s="53">
        <f>SUM(G2:G7)</f>
        <v>10684187</v>
      </c>
      <c r="H8" s="53">
        <f>SUM(H2:H7)</f>
        <v>750405</v>
      </c>
      <c r="I8" s="53">
        <f>SUM(I2:I7)</f>
        <v>11434592</v>
      </c>
    </row>
    <row r="9" spans="1:9" ht="24.75" customHeight="1">
      <c r="A9" s="59" t="s">
        <v>306</v>
      </c>
      <c r="B9" s="81">
        <v>1348242</v>
      </c>
      <c r="C9" s="59">
        <v>346102</v>
      </c>
      <c r="D9" s="81">
        <f>SUM(B9:C9)</f>
        <v>1694344</v>
      </c>
      <c r="E9" s="57"/>
      <c r="F9" s="59" t="s">
        <v>792</v>
      </c>
      <c r="G9" s="53"/>
      <c r="H9" s="56">
        <v>63709</v>
      </c>
      <c r="I9" s="56">
        <f>SUM(G9:H9)</f>
        <v>63709</v>
      </c>
    </row>
    <row r="10" spans="1:9" s="55" customFormat="1" ht="24.75" customHeight="1">
      <c r="A10" s="59" t="s">
        <v>307</v>
      </c>
      <c r="B10" s="29"/>
      <c r="C10" s="59"/>
      <c r="D10" s="29"/>
      <c r="E10" s="57"/>
      <c r="F10" s="59"/>
      <c r="G10" s="25"/>
      <c r="H10" s="56"/>
      <c r="I10" s="25"/>
    </row>
    <row r="11" spans="1:9" s="55" customFormat="1" ht="12" customHeight="1">
      <c r="A11" s="61" t="s">
        <v>516</v>
      </c>
      <c r="B11" s="62">
        <f>SUM(B7:B10)</f>
        <v>10684187</v>
      </c>
      <c r="C11" s="62">
        <f>SUM(C7:C10)</f>
        <v>847982</v>
      </c>
      <c r="D11" s="62">
        <f>SUM(D7:D10)</f>
        <v>11532169</v>
      </c>
      <c r="E11" s="57"/>
      <c r="F11" s="60" t="s">
        <v>514</v>
      </c>
      <c r="G11" s="60">
        <f>SUM(G8:G10)</f>
        <v>10684187</v>
      </c>
      <c r="H11" s="60">
        <f>SUM(H8:H10)</f>
        <v>814114</v>
      </c>
      <c r="I11" s="60">
        <f>SUM(I8:I10)</f>
        <v>11498301</v>
      </c>
    </row>
    <row r="12" spans="1:9" ht="13.5" customHeight="1">
      <c r="A12" s="53" t="s">
        <v>517</v>
      </c>
      <c r="B12" s="25"/>
      <c r="C12" s="53"/>
      <c r="D12" s="25"/>
      <c r="E12" s="57"/>
      <c r="F12" s="53" t="s">
        <v>515</v>
      </c>
      <c r="G12" s="58"/>
      <c r="H12" s="53"/>
      <c r="I12" s="58"/>
    </row>
    <row r="13" spans="1:9" ht="24" customHeight="1">
      <c r="A13" s="56" t="s">
        <v>308</v>
      </c>
      <c r="B13" s="25">
        <v>3540847</v>
      </c>
      <c r="C13" s="56">
        <v>298804</v>
      </c>
      <c r="D13" s="25">
        <f>SUM(B13:C13)</f>
        <v>3839651</v>
      </c>
      <c r="E13" s="57"/>
      <c r="F13" s="56" t="s">
        <v>309</v>
      </c>
      <c r="G13" s="56">
        <v>850585</v>
      </c>
      <c r="H13" s="56">
        <v>144560</v>
      </c>
      <c r="I13" s="56">
        <f aca="true" t="shared" si="0" ref="I13:I19">SUM(G13:H13)</f>
        <v>995145</v>
      </c>
    </row>
    <row r="14" spans="1:9" ht="19.5" customHeight="1">
      <c r="A14" s="56" t="s">
        <v>301</v>
      </c>
      <c r="B14" s="25">
        <v>600000</v>
      </c>
      <c r="C14" s="56"/>
      <c r="D14" s="25">
        <f>SUM(B14:C14)</f>
        <v>600000</v>
      </c>
      <c r="E14" s="57"/>
      <c r="F14" s="56" t="s">
        <v>518</v>
      </c>
      <c r="G14" s="25">
        <v>4983224</v>
      </c>
      <c r="H14" s="56">
        <v>296047</v>
      </c>
      <c r="I14" s="56">
        <f t="shared" si="0"/>
        <v>5279271</v>
      </c>
    </row>
    <row r="15" spans="1:9" ht="15" customHeight="1">
      <c r="A15" s="56" t="s">
        <v>310</v>
      </c>
      <c r="B15" s="29">
        <v>149480</v>
      </c>
      <c r="C15" s="56">
        <v>209855</v>
      </c>
      <c r="D15" s="25">
        <f>SUM(B15:C15)</f>
        <v>359335</v>
      </c>
      <c r="E15" s="57"/>
      <c r="F15" s="56" t="s">
        <v>602</v>
      </c>
      <c r="G15" s="29">
        <v>54246</v>
      </c>
      <c r="H15" s="56">
        <v>75700</v>
      </c>
      <c r="I15" s="56">
        <f t="shared" si="0"/>
        <v>129946</v>
      </c>
    </row>
    <row r="16" spans="1:9" ht="24.75" customHeight="1">
      <c r="A16" s="56" t="s">
        <v>311</v>
      </c>
      <c r="B16" s="29">
        <v>320000</v>
      </c>
      <c r="C16" s="56">
        <v>14350</v>
      </c>
      <c r="D16" s="25">
        <f>SUM(B16:C16)</f>
        <v>334350</v>
      </c>
      <c r="E16" s="57"/>
      <c r="F16" s="56" t="s">
        <v>519</v>
      </c>
      <c r="G16" s="25">
        <v>684941</v>
      </c>
      <c r="H16" s="56">
        <v>507600</v>
      </c>
      <c r="I16" s="56">
        <f t="shared" si="0"/>
        <v>1192541</v>
      </c>
    </row>
    <row r="17" spans="1:9" ht="15" customHeight="1">
      <c r="A17" s="56" t="s">
        <v>312</v>
      </c>
      <c r="B17" s="29">
        <v>420346</v>
      </c>
      <c r="C17" s="56">
        <v>270000</v>
      </c>
      <c r="D17" s="25">
        <f>SUM(B17:C17)</f>
        <v>690346</v>
      </c>
      <c r="E17" s="54"/>
      <c r="F17" s="56" t="s">
        <v>602</v>
      </c>
      <c r="G17" s="25">
        <v>33921</v>
      </c>
      <c r="H17" s="56">
        <v>3500</v>
      </c>
      <c r="I17" s="56">
        <f t="shared" si="0"/>
        <v>37421</v>
      </c>
    </row>
    <row r="18" spans="1:9" ht="12.75" customHeight="1">
      <c r="A18" s="58" t="s">
        <v>527</v>
      </c>
      <c r="B18" s="53">
        <f>SUM(B12:B17)</f>
        <v>5030673</v>
      </c>
      <c r="C18" s="53">
        <f>SUM(C12:C17)</f>
        <v>793009</v>
      </c>
      <c r="D18" s="53">
        <f>SUM(D12:D17)</f>
        <v>5823682</v>
      </c>
      <c r="E18" s="54"/>
      <c r="F18" s="56" t="s">
        <v>520</v>
      </c>
      <c r="G18" s="25">
        <v>61490</v>
      </c>
      <c r="H18" s="56">
        <v>-54433</v>
      </c>
      <c r="I18" s="56">
        <f t="shared" si="0"/>
        <v>7057</v>
      </c>
    </row>
    <row r="19" spans="1:9" ht="24" customHeight="1">
      <c r="A19" s="59" t="s">
        <v>304</v>
      </c>
      <c r="B19" s="53"/>
      <c r="C19" s="53"/>
      <c r="D19" s="53"/>
      <c r="E19" s="57"/>
      <c r="F19" s="56" t="s">
        <v>314</v>
      </c>
      <c r="G19" s="25">
        <v>22050</v>
      </c>
      <c r="H19" s="56"/>
      <c r="I19" s="56">
        <f t="shared" si="0"/>
        <v>22050</v>
      </c>
    </row>
    <row r="20" spans="1:9" ht="12.75" customHeight="1">
      <c r="A20" s="59" t="s">
        <v>696</v>
      </c>
      <c r="B20" s="56">
        <v>378018</v>
      </c>
      <c r="C20" s="56"/>
      <c r="D20" s="56">
        <f>SUM(B20:C20)</f>
        <v>378018</v>
      </c>
      <c r="E20" s="57"/>
      <c r="F20" s="58" t="s">
        <v>528</v>
      </c>
      <c r="G20" s="53">
        <f>SUM(G13+G14+G16+G18+G19)</f>
        <v>6602290</v>
      </c>
      <c r="H20" s="53">
        <f>SUM(H13+H14+H16+H18+H19)</f>
        <v>893774</v>
      </c>
      <c r="I20" s="53">
        <f>SUM(I13+I14+I16+I18+I19)</f>
        <v>7496064</v>
      </c>
    </row>
    <row r="21" spans="1:9" ht="24.75" customHeight="1">
      <c r="A21" s="59" t="s">
        <v>313</v>
      </c>
      <c r="B21" s="81">
        <v>1119675</v>
      </c>
      <c r="C21" s="56">
        <v>62515</v>
      </c>
      <c r="D21" s="56">
        <f>SUM(B21:C21)</f>
        <v>1182190</v>
      </c>
      <c r="E21" s="57"/>
      <c r="F21" s="59" t="s">
        <v>315</v>
      </c>
      <c r="G21" s="25"/>
      <c r="H21" s="53"/>
      <c r="I21" s="25"/>
    </row>
    <row r="22" spans="1:9" ht="12.75" customHeight="1">
      <c r="A22" s="75" t="s">
        <v>1265</v>
      </c>
      <c r="B22" s="56">
        <v>73924</v>
      </c>
      <c r="C22" s="56">
        <v>4382</v>
      </c>
      <c r="D22" s="56">
        <f>SUM(B22:C22)</f>
        <v>78306</v>
      </c>
      <c r="E22" s="57"/>
      <c r="F22" s="59" t="s">
        <v>316</v>
      </c>
      <c r="G22" s="25"/>
      <c r="H22" s="59"/>
      <c r="I22" s="25"/>
    </row>
    <row r="23" spans="1:9" ht="24.75" customHeight="1">
      <c r="A23" s="59"/>
      <c r="B23" s="81"/>
      <c r="C23" s="56"/>
      <c r="D23" s="81"/>
      <c r="E23" s="57"/>
      <c r="F23" s="58"/>
      <c r="G23" s="53"/>
      <c r="H23" s="53"/>
      <c r="I23" s="53"/>
    </row>
    <row r="24" spans="1:9" ht="12.75" customHeight="1">
      <c r="A24" s="56"/>
      <c r="B24" s="81"/>
      <c r="C24" s="56"/>
      <c r="D24" s="81"/>
      <c r="E24" s="57"/>
      <c r="F24" s="59"/>
      <c r="G24" s="53"/>
      <c r="H24" s="53"/>
      <c r="I24" s="53"/>
    </row>
    <row r="25" spans="1:9" ht="12.75" customHeight="1">
      <c r="A25" s="59"/>
      <c r="B25" s="56"/>
      <c r="C25" s="56"/>
      <c r="D25" s="56"/>
      <c r="E25" s="57"/>
      <c r="F25" s="59"/>
      <c r="G25" s="15"/>
      <c r="H25" s="59"/>
      <c r="I25" s="15"/>
    </row>
    <row r="26" spans="1:9" s="52" customFormat="1" ht="22.5" customHeight="1" thickBot="1">
      <c r="A26" s="154" t="s">
        <v>530</v>
      </c>
      <c r="B26" s="155">
        <f>SUM(B18:B25)</f>
        <v>6602290</v>
      </c>
      <c r="C26" s="155">
        <f>SUM(C18:C25)</f>
        <v>859906</v>
      </c>
      <c r="D26" s="155">
        <f>SUM(D18:D25)</f>
        <v>7462196</v>
      </c>
      <c r="E26" s="54"/>
      <c r="F26" s="156" t="s">
        <v>531</v>
      </c>
      <c r="G26" s="155">
        <f>SUM(G20:G25)</f>
        <v>6602290</v>
      </c>
      <c r="H26" s="155">
        <f>SUM(H20:H25)</f>
        <v>893774</v>
      </c>
      <c r="I26" s="155">
        <f>SUM(I20:I25)</f>
        <v>7496064</v>
      </c>
    </row>
    <row r="27" spans="1:9" s="52" customFormat="1" ht="19.5" customHeight="1" thickBot="1">
      <c r="A27" s="157" t="s">
        <v>603</v>
      </c>
      <c r="B27" s="158">
        <f>SUM(B11+B26)</f>
        <v>17286477</v>
      </c>
      <c r="C27" s="158">
        <f>SUM(C11+C26)</f>
        <v>1707888</v>
      </c>
      <c r="D27" s="158">
        <f>SUM(D11+D26)</f>
        <v>18994365</v>
      </c>
      <c r="E27" s="57"/>
      <c r="F27" s="157" t="s">
        <v>603</v>
      </c>
      <c r="G27" s="159">
        <f>SUM(G11+G26)</f>
        <v>17286477</v>
      </c>
      <c r="H27" s="159">
        <f>SUM(H11+H26)</f>
        <v>1707888</v>
      </c>
      <c r="I27" s="159">
        <f>SUM(I11+I26)</f>
        <v>18994365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2015.  ÉVEKBEN
&amp;R&amp;"Times New Roman CE,Félkövér dőlt"1. melléklet
Adatok: 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00390625" style="36" customWidth="1"/>
    <col min="2" max="2" width="37.00390625" style="33" customWidth="1"/>
    <col min="3" max="3" width="12.00390625" style="33" customWidth="1"/>
    <col min="4" max="4" width="12.50390625" style="33" customWidth="1"/>
    <col min="5" max="5" width="12.625" style="33" customWidth="1"/>
    <col min="6" max="6" width="13.125" style="33" customWidth="1"/>
    <col min="7" max="7" width="11.875" style="33" customWidth="1"/>
    <col min="8" max="8" width="9.625" style="33" customWidth="1"/>
    <col min="9" max="9" width="11.50390625" style="33" customWidth="1"/>
    <col min="10" max="10" width="13.125" style="33" customWidth="1"/>
    <col min="11" max="12" width="12.50390625" style="33" customWidth="1"/>
    <col min="13" max="13" width="11.125" style="33" customWidth="1"/>
    <col min="14" max="14" width="12.875" style="33" customWidth="1"/>
    <col min="15" max="16384" width="9.375" style="33" customWidth="1"/>
  </cols>
  <sheetData>
    <row r="1" spans="1:14" ht="14.25" customHeight="1">
      <c r="A1" s="836" t="s">
        <v>719</v>
      </c>
      <c r="B1" s="836" t="s">
        <v>488</v>
      </c>
      <c r="C1" s="840" t="s">
        <v>1055</v>
      </c>
      <c r="D1" s="840" t="s">
        <v>337</v>
      </c>
      <c r="E1" s="836" t="s">
        <v>720</v>
      </c>
      <c r="F1" s="842"/>
      <c r="G1" s="842"/>
      <c r="H1" s="842"/>
      <c r="I1" s="842"/>
      <c r="J1" s="842"/>
      <c r="K1" s="842"/>
      <c r="L1" s="842"/>
      <c r="M1" s="843" t="s">
        <v>724</v>
      </c>
      <c r="N1" s="843" t="s">
        <v>610</v>
      </c>
    </row>
    <row r="2" spans="1:14" ht="82.5" customHeight="1">
      <c r="A2" s="837"/>
      <c r="B2" s="837"/>
      <c r="C2" s="841"/>
      <c r="D2" s="841"/>
      <c r="E2" s="123" t="s">
        <v>338</v>
      </c>
      <c r="F2" s="123" t="s">
        <v>721</v>
      </c>
      <c r="G2" s="123" t="s">
        <v>472</v>
      </c>
      <c r="H2" s="123" t="s">
        <v>722</v>
      </c>
      <c r="I2" s="123" t="s">
        <v>341</v>
      </c>
      <c r="J2" s="123" t="s">
        <v>345</v>
      </c>
      <c r="K2" s="123" t="s">
        <v>346</v>
      </c>
      <c r="L2" s="123" t="s">
        <v>723</v>
      </c>
      <c r="M2" s="844"/>
      <c r="N2" s="844"/>
    </row>
    <row r="3" spans="1:14" ht="15" customHeight="1">
      <c r="A3" s="122">
        <v>2</v>
      </c>
      <c r="B3" s="110" t="s">
        <v>688</v>
      </c>
      <c r="C3" s="111">
        <v>1181625</v>
      </c>
      <c r="D3" s="111">
        <f>31977+'táj.4.'!L3</f>
        <v>42267</v>
      </c>
      <c r="E3" s="124">
        <f>766759+'táj.4.'!C3</f>
        <v>769418</v>
      </c>
      <c r="F3" s="124">
        <f>217626+'táj.4.'!D3</f>
        <v>218346</v>
      </c>
      <c r="G3" s="124">
        <f>190935+'táj.4.'!E3</f>
        <v>191530</v>
      </c>
      <c r="H3" s="181">
        <f>0+'táj.4.'!F3</f>
        <v>0</v>
      </c>
      <c r="I3" s="181">
        <f>0+'táj.4.'!G3</f>
        <v>11</v>
      </c>
      <c r="J3" s="181">
        <f>18994+'táj.4.'!H3</f>
        <v>28299</v>
      </c>
      <c r="K3" s="181">
        <f>19288+'táj.4.'!I3</f>
        <v>16288</v>
      </c>
      <c r="L3" s="181">
        <f>0+'táj.4.'!J3</f>
        <v>0</v>
      </c>
      <c r="M3" s="181">
        <f>0+'táj.4.'!K3</f>
        <v>0</v>
      </c>
      <c r="N3" s="181">
        <f aca="true" t="shared" si="0" ref="N3:N20">SUM(E3:M3)</f>
        <v>1223892</v>
      </c>
    </row>
    <row r="4" spans="1:14" s="34" customFormat="1" ht="22.5" customHeight="1">
      <c r="A4" s="122">
        <v>3</v>
      </c>
      <c r="B4" s="110" t="s">
        <v>709</v>
      </c>
      <c r="C4" s="111">
        <v>1337500</v>
      </c>
      <c r="D4" s="111">
        <f>56250+'táj.4.'!L4</f>
        <v>69182</v>
      </c>
      <c r="E4" s="124">
        <f>329052+'táj.4.'!C4</f>
        <v>336941</v>
      </c>
      <c r="F4" s="124">
        <f>95504+'táj.4.'!D4</f>
        <v>97634</v>
      </c>
      <c r="G4" s="124">
        <f>950694+'táj.4.'!E4</f>
        <v>951637</v>
      </c>
      <c r="H4" s="181">
        <f>0+'táj.4.'!F4</f>
        <v>0</v>
      </c>
      <c r="I4" s="181">
        <f>500+'táj.4.'!G4</f>
        <v>970</v>
      </c>
      <c r="J4" s="181">
        <f>6600+'táj.4.'!H4</f>
        <v>12100</v>
      </c>
      <c r="K4" s="181">
        <f>11400+'táj.4.'!I4</f>
        <v>7400</v>
      </c>
      <c r="L4" s="181">
        <f>0+'táj.4.'!J4</f>
        <v>0</v>
      </c>
      <c r="M4" s="181">
        <f>0+'táj.4.'!K4</f>
        <v>0</v>
      </c>
      <c r="N4" s="181">
        <f t="shared" si="0"/>
        <v>1406682</v>
      </c>
    </row>
    <row r="5" spans="1:14" s="34" customFormat="1" ht="19.5" customHeight="1">
      <c r="A5" s="122">
        <v>4</v>
      </c>
      <c r="B5" s="110" t="s">
        <v>710</v>
      </c>
      <c r="C5" s="111">
        <v>377182</v>
      </c>
      <c r="D5" s="111">
        <f>24853+'táj.4.'!L5</f>
        <v>50202</v>
      </c>
      <c r="E5" s="124">
        <f>216591+'táj.4.'!C5</f>
        <v>232297</v>
      </c>
      <c r="F5" s="124">
        <f>61403+'táj.4.'!D5</f>
        <v>65646</v>
      </c>
      <c r="G5" s="124">
        <f>113641+'táj.4.'!E5</f>
        <v>119041</v>
      </c>
      <c r="H5" s="181">
        <f>0+'táj.4.'!F5</f>
        <v>0</v>
      </c>
      <c r="I5" s="181">
        <f>200+'táj.4.'!G5</f>
        <v>200</v>
      </c>
      <c r="J5" s="181">
        <f>200+'táj.4.'!H5</f>
        <v>200</v>
      </c>
      <c r="K5" s="181">
        <f>10000+'táj.4.'!I5</f>
        <v>10000</v>
      </c>
      <c r="L5" s="181">
        <f>0+'táj.4.'!J5</f>
        <v>0</v>
      </c>
      <c r="M5" s="181">
        <f>0+'táj.4.'!K5</f>
        <v>0</v>
      </c>
      <c r="N5" s="181">
        <f t="shared" si="0"/>
        <v>427384</v>
      </c>
    </row>
    <row r="6" spans="1:14" s="34" customFormat="1" ht="15" customHeight="1">
      <c r="A6" s="122">
        <v>5</v>
      </c>
      <c r="B6" s="80" t="s">
        <v>711</v>
      </c>
      <c r="C6" s="89">
        <v>317551</v>
      </c>
      <c r="D6" s="111">
        <f>73587+'táj.4.'!L6</f>
        <v>77175</v>
      </c>
      <c r="E6" s="124">
        <f>165049+'táj.4.'!C6</f>
        <v>166213</v>
      </c>
      <c r="F6" s="124">
        <f>45995+'táj.4.'!D6</f>
        <v>46309</v>
      </c>
      <c r="G6" s="124">
        <f>167886+'táj.4.'!E6</f>
        <v>169156</v>
      </c>
      <c r="H6" s="181">
        <f>0+'táj.4.'!F6</f>
        <v>0</v>
      </c>
      <c r="I6" s="181">
        <f>0+'táj.4.'!G6</f>
        <v>0</v>
      </c>
      <c r="J6" s="181">
        <f>8975+'táj.4.'!H6</f>
        <v>9815</v>
      </c>
      <c r="K6" s="181">
        <f>3233+'táj.4.'!I6</f>
        <v>3233</v>
      </c>
      <c r="L6" s="181">
        <f>0+'táj.4.'!J6</f>
        <v>0</v>
      </c>
      <c r="M6" s="181">
        <f>0+'táj.4.'!K6</f>
        <v>0</v>
      </c>
      <c r="N6" s="181">
        <f t="shared" si="0"/>
        <v>394726</v>
      </c>
    </row>
    <row r="7" spans="1:14" s="34" customFormat="1" ht="15.75" customHeight="1">
      <c r="A7" s="122">
        <v>6</v>
      </c>
      <c r="B7" s="80" t="s">
        <v>712</v>
      </c>
      <c r="C7" s="89">
        <v>317172</v>
      </c>
      <c r="D7" s="111">
        <f>11701+'táj.4.'!L7</f>
        <v>18604</v>
      </c>
      <c r="E7" s="124">
        <f>190507+'táj.4.'!C7</f>
        <v>191829</v>
      </c>
      <c r="F7" s="124">
        <f>54432+'táj.4.'!D7</f>
        <v>54791</v>
      </c>
      <c r="G7" s="124">
        <f>82665+'táj.4.'!E7</f>
        <v>88887</v>
      </c>
      <c r="H7" s="181">
        <f>0+'táj.4.'!F7</f>
        <v>0</v>
      </c>
      <c r="I7" s="181">
        <f>69+'táj.4.'!G7</f>
        <v>69</v>
      </c>
      <c r="J7" s="181">
        <f>200+'táj.4.'!H7</f>
        <v>200</v>
      </c>
      <c r="K7" s="181">
        <f>1000+'táj.4.'!I7</f>
        <v>0</v>
      </c>
      <c r="L7" s="181">
        <f>0+'táj.4.'!J7</f>
        <v>0</v>
      </c>
      <c r="M7" s="181">
        <f>0+'táj.4.'!K7</f>
        <v>0</v>
      </c>
      <c r="N7" s="181">
        <f t="shared" si="0"/>
        <v>335776</v>
      </c>
    </row>
    <row r="8" spans="1:14" s="34" customFormat="1" ht="17.25" customHeight="1">
      <c r="A8" s="122">
        <v>7</v>
      </c>
      <c r="B8" s="80" t="s">
        <v>713</v>
      </c>
      <c r="C8" s="89">
        <v>278344</v>
      </c>
      <c r="D8" s="111">
        <f>10068+'táj.4.'!L8</f>
        <v>17897</v>
      </c>
      <c r="E8" s="124">
        <f>165527+'táj.4.'!C8</f>
        <v>166708</v>
      </c>
      <c r="F8" s="124">
        <f>47147+'táj.4.'!D8</f>
        <v>47478</v>
      </c>
      <c r="G8" s="124">
        <f>75488+'táj.4.'!E8</f>
        <v>81655</v>
      </c>
      <c r="H8" s="181">
        <f>0+'táj.4.'!F8</f>
        <v>0</v>
      </c>
      <c r="I8" s="181">
        <f>50+'táj.4.'!G8</f>
        <v>100</v>
      </c>
      <c r="J8" s="181">
        <f>200+'táj.4.'!H8</f>
        <v>300</v>
      </c>
      <c r="K8" s="181">
        <f>0+'táj.4.'!I8</f>
        <v>0</v>
      </c>
      <c r="L8" s="181">
        <f>0+'táj.4.'!J8</f>
        <v>0</v>
      </c>
      <c r="M8" s="181">
        <f>0+'táj.4.'!K8</f>
        <v>0</v>
      </c>
      <c r="N8" s="181">
        <f t="shared" si="0"/>
        <v>296241</v>
      </c>
    </row>
    <row r="9" spans="1:14" s="34" customFormat="1" ht="15" customHeight="1">
      <c r="A9" s="122">
        <v>8</v>
      </c>
      <c r="B9" s="80" t="s">
        <v>714</v>
      </c>
      <c r="C9" s="89">
        <v>298081</v>
      </c>
      <c r="D9" s="111">
        <f>12716+'táj.4.'!L9</f>
        <v>19379</v>
      </c>
      <c r="E9" s="124">
        <f>184448+'táj.4.'!C9</f>
        <v>186070</v>
      </c>
      <c r="F9" s="124">
        <f>52825+'táj.4.'!D9</f>
        <v>53262</v>
      </c>
      <c r="G9" s="124">
        <f>73274+'táj.4.'!E9</f>
        <v>77878</v>
      </c>
      <c r="H9" s="181">
        <f>0+'táj.4.'!F9</f>
        <v>0</v>
      </c>
      <c r="I9" s="181">
        <f>50+'táj.4.'!G9</f>
        <v>50</v>
      </c>
      <c r="J9" s="181">
        <f>200+'táj.4.'!H9</f>
        <v>200</v>
      </c>
      <c r="K9" s="181">
        <f>0+'táj.4.'!I9</f>
        <v>0</v>
      </c>
      <c r="L9" s="181">
        <f>0+'táj.4.'!J9</f>
        <v>0</v>
      </c>
      <c r="M9" s="181">
        <f>0+'táj.4.'!K9</f>
        <v>0</v>
      </c>
      <c r="N9" s="181">
        <f t="shared" si="0"/>
        <v>317460</v>
      </c>
    </row>
    <row r="10" spans="1:14" s="34" customFormat="1" ht="19.5" customHeight="1">
      <c r="A10" s="122">
        <v>9</v>
      </c>
      <c r="B10" s="80" t="s">
        <v>715</v>
      </c>
      <c r="C10" s="89">
        <v>283023</v>
      </c>
      <c r="D10" s="111">
        <f>9169+'táj.4.'!L10</f>
        <v>14317</v>
      </c>
      <c r="E10" s="124">
        <f>173534+'táj.4.'!C10</f>
        <v>174548</v>
      </c>
      <c r="F10" s="124">
        <f>49502+'táj.4.'!D10</f>
        <v>49774</v>
      </c>
      <c r="G10" s="124">
        <f>68405+'táj.4.'!E10</f>
        <v>72347</v>
      </c>
      <c r="H10" s="181">
        <f>0+'táj.4.'!F10</f>
        <v>0</v>
      </c>
      <c r="I10" s="181">
        <f>371+'táj.4.'!G10</f>
        <v>371</v>
      </c>
      <c r="J10" s="181">
        <f>380+'táj.4.'!H10</f>
        <v>300</v>
      </c>
      <c r="K10" s="181">
        <f>0+'táj.4.'!I10</f>
        <v>0</v>
      </c>
      <c r="L10" s="181">
        <f>0+'táj.4.'!J10</f>
        <v>0</v>
      </c>
      <c r="M10" s="181">
        <f>0+'táj.4.'!K10</f>
        <v>0</v>
      </c>
      <c r="N10" s="181">
        <f t="shared" si="0"/>
        <v>297340</v>
      </c>
    </row>
    <row r="11" spans="1:14" s="34" customFormat="1" ht="27" customHeight="1">
      <c r="A11" s="122">
        <v>10</v>
      </c>
      <c r="B11" s="121" t="s">
        <v>716</v>
      </c>
      <c r="C11" s="88">
        <v>96034</v>
      </c>
      <c r="D11" s="111">
        <f>12163+'táj.4.'!L11</f>
        <v>17496</v>
      </c>
      <c r="E11" s="124">
        <f>58005+'táj.4.'!C11</f>
        <v>58608</v>
      </c>
      <c r="F11" s="124">
        <f>15586+'táj.4.'!D11</f>
        <v>15766</v>
      </c>
      <c r="G11" s="124">
        <f>30706+'táj.4.'!E11</f>
        <v>32026</v>
      </c>
      <c r="H11" s="181">
        <f>0+'táj.4.'!F11</f>
        <v>0</v>
      </c>
      <c r="I11" s="181">
        <f>350+'táj.4.'!G11</f>
        <v>350</v>
      </c>
      <c r="J11" s="181">
        <f>3050+'táj.4.'!H11</f>
        <v>6280</v>
      </c>
      <c r="K11" s="181">
        <f>500+'táj.4.'!I11</f>
        <v>500</v>
      </c>
      <c r="L11" s="181">
        <f>0+'táj.4.'!J11</f>
        <v>0</v>
      </c>
      <c r="M11" s="181">
        <f>0+'táj.4.'!K11</f>
        <v>0</v>
      </c>
      <c r="N11" s="181">
        <f t="shared" si="0"/>
        <v>113530</v>
      </c>
    </row>
    <row r="12" spans="1:14" s="34" customFormat="1" ht="20.25" customHeight="1">
      <c r="A12" s="122">
        <v>11</v>
      </c>
      <c r="B12" s="80" t="s">
        <v>717</v>
      </c>
      <c r="C12" s="89">
        <v>208226</v>
      </c>
      <c r="D12" s="111">
        <f>4077+'táj.4.'!L12</f>
        <v>7930</v>
      </c>
      <c r="E12" s="124">
        <f>85587+'táj.4.'!C12</f>
        <v>88050</v>
      </c>
      <c r="F12" s="124">
        <f>22744+'táj.4.'!D12</f>
        <v>23409</v>
      </c>
      <c r="G12" s="124">
        <f>91748+'táj.4.'!E12</f>
        <v>90113</v>
      </c>
      <c r="H12" s="181">
        <f>0+'táj.4.'!F12</f>
        <v>0</v>
      </c>
      <c r="I12" s="181">
        <f>11224+'táj.4.'!G12</f>
        <v>11224</v>
      </c>
      <c r="J12" s="181">
        <f>1000+'táj.4.'!H12</f>
        <v>3360</v>
      </c>
      <c r="K12" s="181">
        <f>0+'táj.4.'!I12</f>
        <v>0</v>
      </c>
      <c r="L12" s="181">
        <f>0+'táj.4.'!J12</f>
        <v>0</v>
      </c>
      <c r="M12" s="181">
        <f>0+'táj.4.'!K12</f>
        <v>0</v>
      </c>
      <c r="N12" s="181">
        <f t="shared" si="0"/>
        <v>216156</v>
      </c>
    </row>
    <row r="13" spans="1:14" s="34" customFormat="1" ht="30" customHeight="1">
      <c r="A13" s="122">
        <v>12</v>
      </c>
      <c r="B13" s="121" t="s">
        <v>718</v>
      </c>
      <c r="C13" s="88">
        <v>15059</v>
      </c>
      <c r="D13" s="111">
        <f>2275+'táj.4.'!L13</f>
        <v>3095</v>
      </c>
      <c r="E13" s="124">
        <f>10132+'táj.4.'!C13</f>
        <v>10777</v>
      </c>
      <c r="F13" s="124">
        <f>2570+'táj.4.'!D13</f>
        <v>2745</v>
      </c>
      <c r="G13" s="124">
        <f>4632+'táj.4.'!E13</f>
        <v>4472</v>
      </c>
      <c r="H13" s="181">
        <f>0+'táj.4.'!F13</f>
        <v>0</v>
      </c>
      <c r="I13" s="181">
        <f>0+'táj.4.'!G13</f>
        <v>0</v>
      </c>
      <c r="J13" s="181">
        <f>0+'táj.4.'!H13</f>
        <v>160</v>
      </c>
      <c r="K13" s="181">
        <f>0+'táj.4.'!I13</f>
        <v>0</v>
      </c>
      <c r="L13" s="181">
        <f>0+'táj.4.'!J13</f>
        <v>0</v>
      </c>
      <c r="M13" s="181">
        <f>0+'táj.4.'!K13</f>
        <v>0</v>
      </c>
      <c r="N13" s="181">
        <f t="shared" si="0"/>
        <v>18154</v>
      </c>
    </row>
    <row r="14" spans="1:14" s="34" customFormat="1" ht="16.5" customHeight="1">
      <c r="A14" s="122">
        <v>13</v>
      </c>
      <c r="B14" s="80" t="s">
        <v>497</v>
      </c>
      <c r="C14" s="89">
        <v>350342</v>
      </c>
      <c r="D14" s="111">
        <f>8667+'táj.4.'!L14</f>
        <v>13367</v>
      </c>
      <c r="E14" s="124">
        <f>137563+'táj.4.'!C14</f>
        <v>140693</v>
      </c>
      <c r="F14" s="124">
        <f>36417+'táj.4.'!D14</f>
        <v>37262</v>
      </c>
      <c r="G14" s="124">
        <f>158103+'táj.4.'!E14</f>
        <v>132178</v>
      </c>
      <c r="H14" s="181">
        <f>0+'táj.4.'!F14</f>
        <v>0</v>
      </c>
      <c r="I14" s="181">
        <f>16000+'táj.4.'!G14</f>
        <v>16000</v>
      </c>
      <c r="J14" s="181">
        <f>10926+'táj.4.'!H14</f>
        <v>37576</v>
      </c>
      <c r="K14" s="181">
        <f>0+'táj.4.'!I14</f>
        <v>0</v>
      </c>
      <c r="L14" s="181">
        <f>0+'táj.4.'!J14</f>
        <v>0</v>
      </c>
      <c r="M14" s="181">
        <f>0+'táj.4.'!K14</f>
        <v>0</v>
      </c>
      <c r="N14" s="181">
        <f t="shared" si="0"/>
        <v>363709</v>
      </c>
    </row>
    <row r="15" spans="1:14" s="34" customFormat="1" ht="16.5" customHeight="1">
      <c r="A15" s="122">
        <v>14</v>
      </c>
      <c r="B15" s="80" t="s">
        <v>498</v>
      </c>
      <c r="C15" s="89">
        <v>237762</v>
      </c>
      <c r="D15" s="111">
        <f>8204+'táj.4.'!L15</f>
        <v>20046</v>
      </c>
      <c r="E15" s="124">
        <f>115626+'táj.4.'!C15</f>
        <v>118620</v>
      </c>
      <c r="F15" s="124">
        <f>33385+'táj.4.'!D15</f>
        <v>34111</v>
      </c>
      <c r="G15" s="124">
        <f>85885+'táj.4.'!E15</f>
        <v>87139</v>
      </c>
      <c r="H15" s="181">
        <f>0+'táj.4.'!F15</f>
        <v>0</v>
      </c>
      <c r="I15" s="181">
        <f>3718+'táj.4.'!G15</f>
        <v>4626</v>
      </c>
      <c r="J15" s="181">
        <f>7352+'táj.4.'!H15</f>
        <v>13312</v>
      </c>
      <c r="K15" s="181">
        <f>0+'táj.4.'!I15</f>
        <v>0</v>
      </c>
      <c r="L15" s="181">
        <f>0+'táj.4.'!J15</f>
        <v>0</v>
      </c>
      <c r="M15" s="181">
        <f>0+'táj.4.'!K15</f>
        <v>0</v>
      </c>
      <c r="N15" s="181">
        <f t="shared" si="0"/>
        <v>257808</v>
      </c>
    </row>
    <row r="16" spans="1:14" s="34" customFormat="1" ht="18" customHeight="1">
      <c r="A16" s="122">
        <v>15</v>
      </c>
      <c r="B16" s="80" t="s">
        <v>529</v>
      </c>
      <c r="C16" s="89">
        <v>585550</v>
      </c>
      <c r="D16" s="111">
        <f>10543+'táj.4.'!L16</f>
        <v>12950</v>
      </c>
      <c r="E16" s="124">
        <f>293127+'táj.4.'!C16</f>
        <v>294782</v>
      </c>
      <c r="F16" s="124">
        <f>80647+'táj.4.'!D16</f>
        <v>81094</v>
      </c>
      <c r="G16" s="124">
        <f>219119+'táj.4.'!E16</f>
        <v>218614</v>
      </c>
      <c r="H16" s="181">
        <f>0+'táj.4.'!F16</f>
        <v>0</v>
      </c>
      <c r="I16" s="181">
        <f>1700+'táj.4.'!G16</f>
        <v>1810</v>
      </c>
      <c r="J16" s="181">
        <f>1500+'táj.4.'!H16</f>
        <v>2200</v>
      </c>
      <c r="K16" s="181">
        <f>0+'táj.4.'!I16</f>
        <v>0</v>
      </c>
      <c r="L16" s="181">
        <f>0+'táj.4.'!J16</f>
        <v>0</v>
      </c>
      <c r="M16" s="181">
        <f>0+'táj.4.'!K16</f>
        <v>0</v>
      </c>
      <c r="N16" s="181">
        <f t="shared" si="0"/>
        <v>598500</v>
      </c>
    </row>
    <row r="17" spans="1:14" s="34" customFormat="1" ht="18.75" customHeight="1">
      <c r="A17" s="122">
        <v>16</v>
      </c>
      <c r="B17" s="80" t="s">
        <v>505</v>
      </c>
      <c r="C17" s="89">
        <v>115376</v>
      </c>
      <c r="D17" s="111">
        <f>1701+'táj.4.'!L17</f>
        <v>2259</v>
      </c>
      <c r="E17" s="124">
        <f>54530+'táj.4.'!C17</f>
        <v>54968</v>
      </c>
      <c r="F17" s="124">
        <f>15414+'táj.4.'!D17</f>
        <v>15534</v>
      </c>
      <c r="G17" s="124">
        <f>46933+'táj.4.'!E17</f>
        <v>46933</v>
      </c>
      <c r="H17" s="181">
        <f>0+'táj.4.'!F17</f>
        <v>0</v>
      </c>
      <c r="I17" s="181">
        <f>0+'táj.4.'!G17</f>
        <v>0</v>
      </c>
      <c r="J17" s="181">
        <f>200+'táj.4.'!H17</f>
        <v>200</v>
      </c>
      <c r="K17" s="181">
        <f>0+'táj.4.'!I17</f>
        <v>0</v>
      </c>
      <c r="L17" s="181">
        <f>0+'táj.4.'!J17</f>
        <v>0</v>
      </c>
      <c r="M17" s="181">
        <f>0+'táj.4.'!K17</f>
        <v>0</v>
      </c>
      <c r="N17" s="181">
        <f t="shared" si="0"/>
        <v>117635</v>
      </c>
    </row>
    <row r="18" spans="1:14" s="34" customFormat="1" ht="18" customHeight="1">
      <c r="A18" s="122">
        <v>17</v>
      </c>
      <c r="B18" s="80" t="s">
        <v>504</v>
      </c>
      <c r="C18" s="89">
        <v>103145</v>
      </c>
      <c r="D18" s="111">
        <f>7716+'táj.4.'!L18</f>
        <v>14709</v>
      </c>
      <c r="E18" s="124">
        <f>42754+'táj.4.'!C18</f>
        <v>43918</v>
      </c>
      <c r="F18" s="124">
        <f>11611+'táj.4.'!D18</f>
        <v>11926</v>
      </c>
      <c r="G18" s="124">
        <f>49816+'táj.4.'!E18</f>
        <v>49816</v>
      </c>
      <c r="H18" s="181">
        <f>0+'táj.4.'!F18</f>
        <v>0</v>
      </c>
      <c r="I18" s="181">
        <f>0+'táj.4.'!G18</f>
        <v>0</v>
      </c>
      <c r="J18" s="181">
        <f>6680+'táj.4.'!H18</f>
        <v>12194</v>
      </c>
      <c r="K18" s="181">
        <f>0+'táj.4.'!I18</f>
        <v>0</v>
      </c>
      <c r="L18" s="181">
        <f>0+'táj.4.'!J18</f>
        <v>0</v>
      </c>
      <c r="M18" s="181">
        <f>0+'táj.4.'!K18</f>
        <v>0</v>
      </c>
      <c r="N18" s="181">
        <f t="shared" si="0"/>
        <v>117854</v>
      </c>
    </row>
    <row r="19" spans="1:14" s="34" customFormat="1" ht="18.75" customHeight="1">
      <c r="A19" s="122">
        <v>18</v>
      </c>
      <c r="B19" s="47" t="s">
        <v>473</v>
      </c>
      <c r="C19" s="112">
        <v>99960</v>
      </c>
      <c r="D19" s="111">
        <f>21765+'táj.4.'!L19</f>
        <v>21859</v>
      </c>
      <c r="E19" s="124">
        <f>34083+'táj.4.'!C19</f>
        <v>34159</v>
      </c>
      <c r="F19" s="124">
        <f>9303+'táj.4.'!D19</f>
        <v>9321</v>
      </c>
      <c r="G19" s="124">
        <f>74917+'táj.4.'!E19</f>
        <v>74517</v>
      </c>
      <c r="H19" s="181">
        <f>0+'táj.4.'!F19</f>
        <v>0</v>
      </c>
      <c r="I19" s="181">
        <f>622+'táj.4.'!G19</f>
        <v>622</v>
      </c>
      <c r="J19" s="181">
        <f>2800+'táj.4.'!H19</f>
        <v>3200</v>
      </c>
      <c r="K19" s="181">
        <f>0+'táj.4.'!I19</f>
        <v>0</v>
      </c>
      <c r="L19" s="181">
        <f>0+'táj.4.'!J19</f>
        <v>0</v>
      </c>
      <c r="M19" s="181">
        <f>0+'táj.4.'!K19</f>
        <v>0</v>
      </c>
      <c r="N19" s="181">
        <f t="shared" si="0"/>
        <v>121819</v>
      </c>
    </row>
    <row r="20" spans="1:14" s="34" customFormat="1" ht="18.75" customHeight="1">
      <c r="A20" s="122">
        <v>19</v>
      </c>
      <c r="B20" s="47" t="s">
        <v>86</v>
      </c>
      <c r="C20" s="112">
        <v>0</v>
      </c>
      <c r="D20" s="111">
        <f>25673+'táj.4.'!L20</f>
        <v>27934</v>
      </c>
      <c r="E20" s="124">
        <f>18071+'táj.4.'!C20</f>
        <v>20074</v>
      </c>
      <c r="F20" s="124">
        <f>4864+'táj.4.'!D20</f>
        <v>5410</v>
      </c>
      <c r="G20" s="124">
        <f>2738+'táj.4.'!E20</f>
        <v>2400</v>
      </c>
      <c r="H20" s="181">
        <f>0+'táj.4.'!F20</f>
        <v>0</v>
      </c>
      <c r="I20" s="181">
        <f>0+'táj.4.'!G20</f>
        <v>0</v>
      </c>
      <c r="J20" s="181">
        <f>0+'táj.4.'!H20</f>
        <v>50</v>
      </c>
      <c r="K20" s="181">
        <f>0+'táj.4.'!I20</f>
        <v>0</v>
      </c>
      <c r="L20" s="181">
        <f>0+'táj.4.'!J20</f>
        <v>0</v>
      </c>
      <c r="M20" s="181">
        <f>0+'táj.4.'!K20</f>
        <v>0</v>
      </c>
      <c r="N20" s="181">
        <f t="shared" si="0"/>
        <v>27934</v>
      </c>
    </row>
    <row r="21" spans="1:14" s="34" customFormat="1" ht="18" customHeight="1">
      <c r="A21" s="37"/>
      <c r="B21" s="38" t="s">
        <v>489</v>
      </c>
      <c r="C21" s="39">
        <f>SUM(C3:C20)</f>
        <v>6201932</v>
      </c>
      <c r="D21" s="39">
        <f aca="true" t="shared" si="1" ref="D21:N21">SUM(D3:D20)</f>
        <v>450668</v>
      </c>
      <c r="E21" s="39">
        <f t="shared" si="1"/>
        <v>3088673</v>
      </c>
      <c r="F21" s="39">
        <f t="shared" si="1"/>
        <v>869818</v>
      </c>
      <c r="G21" s="39">
        <f t="shared" si="1"/>
        <v>2490339</v>
      </c>
      <c r="H21" s="39">
        <f t="shared" si="1"/>
        <v>0</v>
      </c>
      <c r="I21" s="39">
        <f t="shared" si="1"/>
        <v>36403</v>
      </c>
      <c r="J21" s="39">
        <f t="shared" si="1"/>
        <v>129946</v>
      </c>
      <c r="K21" s="39">
        <f t="shared" si="1"/>
        <v>37421</v>
      </c>
      <c r="L21" s="39">
        <f t="shared" si="1"/>
        <v>0</v>
      </c>
      <c r="M21" s="39">
        <f t="shared" si="1"/>
        <v>0</v>
      </c>
      <c r="N21" s="39">
        <f t="shared" si="1"/>
        <v>6652600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ELŐIRÁNYZATAI&amp;R&amp;"Times New Roman,Dőlt"&amp;9
 8. melléklet
Adatok E 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C16">
      <selection activeCell="C24" sqref="C24:L60"/>
    </sheetView>
  </sheetViews>
  <sheetFormatPr defaultColWidth="10.625" defaultRowHeight="12.75"/>
  <cols>
    <col min="1" max="1" width="8.125" style="760" customWidth="1"/>
    <col min="2" max="2" width="37.00390625" style="760" customWidth="1"/>
    <col min="3" max="3" width="11.375" style="760" customWidth="1"/>
    <col min="4" max="4" width="10.00390625" style="760" customWidth="1"/>
    <col min="5" max="5" width="9.375" style="760" customWidth="1"/>
    <col min="6" max="7" width="10.625" style="760" customWidth="1"/>
    <col min="8" max="8" width="8.00390625" style="760" customWidth="1"/>
    <col min="9" max="11" width="10.625" style="760" customWidth="1"/>
    <col min="12" max="12" width="9.50390625" style="760" customWidth="1"/>
    <col min="13" max="16384" width="10.625" style="760" customWidth="1"/>
  </cols>
  <sheetData>
    <row r="1" spans="1:12" ht="54">
      <c r="A1" s="579" t="s">
        <v>386</v>
      </c>
      <c r="B1" s="580" t="s">
        <v>686</v>
      </c>
      <c r="C1" s="581" t="s">
        <v>82</v>
      </c>
      <c r="D1" s="580" t="s">
        <v>387</v>
      </c>
      <c r="E1" s="580" t="s">
        <v>388</v>
      </c>
      <c r="F1" s="580" t="s">
        <v>389</v>
      </c>
      <c r="G1" s="581" t="s">
        <v>390</v>
      </c>
      <c r="H1" s="582" t="s">
        <v>391</v>
      </c>
      <c r="I1" s="582" t="s">
        <v>83</v>
      </c>
      <c r="J1" s="582" t="s">
        <v>392</v>
      </c>
      <c r="K1" s="581" t="s">
        <v>84</v>
      </c>
      <c r="L1" s="582" t="s">
        <v>393</v>
      </c>
    </row>
    <row r="2" spans="1:12" ht="12.75">
      <c r="A2" s="583" t="s">
        <v>562</v>
      </c>
      <c r="B2" s="80" t="s">
        <v>484</v>
      </c>
      <c r="C2" s="584">
        <v>4</v>
      </c>
      <c r="D2" s="585">
        <v>3</v>
      </c>
      <c r="E2" s="585"/>
      <c r="F2" s="585"/>
      <c r="G2" s="585"/>
      <c r="H2" s="585"/>
      <c r="I2" s="585"/>
      <c r="J2" s="586">
        <v>1</v>
      </c>
      <c r="K2" s="587">
        <v>4</v>
      </c>
      <c r="L2" s="587">
        <v>0</v>
      </c>
    </row>
    <row r="3" spans="1:12" ht="20.25" customHeight="1">
      <c r="A3" s="583" t="s">
        <v>626</v>
      </c>
      <c r="B3" s="192" t="s">
        <v>688</v>
      </c>
      <c r="C3" s="588">
        <v>178</v>
      </c>
      <c r="D3" s="588">
        <v>149</v>
      </c>
      <c r="E3" s="589"/>
      <c r="F3" s="589"/>
      <c r="G3" s="590"/>
      <c r="H3" s="591"/>
      <c r="I3" s="591">
        <v>20</v>
      </c>
      <c r="J3" s="591">
        <v>9</v>
      </c>
      <c r="K3" s="588">
        <v>178</v>
      </c>
      <c r="L3" s="587">
        <f>K3-C3</f>
        <v>0</v>
      </c>
    </row>
    <row r="4" spans="1:12" ht="18.75" customHeight="1">
      <c r="A4" s="583" t="s">
        <v>628</v>
      </c>
      <c r="B4" s="192" t="s">
        <v>394</v>
      </c>
      <c r="C4" s="588">
        <v>178</v>
      </c>
      <c r="D4" s="588"/>
      <c r="E4" s="589"/>
      <c r="F4" s="589"/>
      <c r="G4" s="588"/>
      <c r="H4" s="592"/>
      <c r="I4" s="588">
        <v>47.5</v>
      </c>
      <c r="J4" s="588">
        <v>130.5</v>
      </c>
      <c r="K4" s="588">
        <v>178</v>
      </c>
      <c r="L4" s="587">
        <v>0</v>
      </c>
    </row>
    <row r="5" spans="1:12" ht="12.75">
      <c r="A5" s="583" t="s">
        <v>629</v>
      </c>
      <c r="B5" s="80" t="s">
        <v>710</v>
      </c>
      <c r="C5" s="588">
        <v>122.5</v>
      </c>
      <c r="D5" s="588"/>
      <c r="E5" s="589">
        <v>0.5</v>
      </c>
      <c r="F5" s="592"/>
      <c r="G5" s="588"/>
      <c r="H5" s="592">
        <v>77</v>
      </c>
      <c r="I5" s="588">
        <v>4</v>
      </c>
      <c r="J5" s="588">
        <v>41</v>
      </c>
      <c r="K5" s="588">
        <v>122.5</v>
      </c>
      <c r="L5" s="587">
        <v>0</v>
      </c>
    </row>
    <row r="6" spans="1:12" ht="12.75">
      <c r="A6" s="583" t="s">
        <v>630</v>
      </c>
      <c r="B6" s="80" t="s">
        <v>395</v>
      </c>
      <c r="C6" s="588">
        <v>56.5</v>
      </c>
      <c r="D6" s="588"/>
      <c r="E6" s="589">
        <v>4</v>
      </c>
      <c r="F6" s="589"/>
      <c r="G6" s="588"/>
      <c r="H6" s="592">
        <v>45.5</v>
      </c>
      <c r="I6" s="588"/>
      <c r="J6" s="588">
        <v>7</v>
      </c>
      <c r="K6" s="588">
        <v>56.5</v>
      </c>
      <c r="L6" s="587">
        <v>0</v>
      </c>
    </row>
    <row r="7" spans="1:12" ht="12.75">
      <c r="A7" s="583" t="s">
        <v>631</v>
      </c>
      <c r="B7" s="80" t="s">
        <v>396</v>
      </c>
      <c r="C7" s="588">
        <v>72.5</v>
      </c>
      <c r="D7" s="588"/>
      <c r="E7" s="589"/>
      <c r="F7" s="589">
        <v>40.5</v>
      </c>
      <c r="G7" s="588"/>
      <c r="H7" s="592">
        <v>24</v>
      </c>
      <c r="I7" s="588"/>
      <c r="J7" s="588">
        <v>8</v>
      </c>
      <c r="K7" s="588">
        <v>72.5</v>
      </c>
      <c r="L7" s="587">
        <v>0</v>
      </c>
    </row>
    <row r="8" spans="1:12" ht="12.75">
      <c r="A8" s="583" t="s">
        <v>677</v>
      </c>
      <c r="B8" s="80" t="s">
        <v>397</v>
      </c>
      <c r="C8" s="588">
        <v>67</v>
      </c>
      <c r="D8" s="588"/>
      <c r="E8" s="589"/>
      <c r="F8" s="589">
        <v>37</v>
      </c>
      <c r="G8" s="588"/>
      <c r="H8" s="592">
        <v>22</v>
      </c>
      <c r="I8" s="588"/>
      <c r="J8" s="588">
        <v>8</v>
      </c>
      <c r="K8" s="588">
        <v>67</v>
      </c>
      <c r="L8" s="587">
        <v>0</v>
      </c>
    </row>
    <row r="9" spans="1:12" ht="12.75">
      <c r="A9" s="583" t="s">
        <v>678</v>
      </c>
      <c r="B9" s="80" t="s">
        <v>714</v>
      </c>
      <c r="C9" s="588">
        <v>69</v>
      </c>
      <c r="D9" s="588"/>
      <c r="E9" s="589"/>
      <c r="F9" s="589">
        <v>39</v>
      </c>
      <c r="G9" s="588"/>
      <c r="H9" s="592">
        <v>23</v>
      </c>
      <c r="I9" s="588"/>
      <c r="J9" s="588">
        <v>7</v>
      </c>
      <c r="K9" s="588">
        <v>69</v>
      </c>
      <c r="L9" s="587">
        <v>0</v>
      </c>
    </row>
    <row r="10" spans="1:12" ht="12.75">
      <c r="A10" s="583" t="s">
        <v>680</v>
      </c>
      <c r="B10" s="80" t="s">
        <v>715</v>
      </c>
      <c r="C10" s="588">
        <v>67.5</v>
      </c>
      <c r="D10" s="588"/>
      <c r="E10" s="589"/>
      <c r="F10" s="589">
        <v>37</v>
      </c>
      <c r="G10" s="588"/>
      <c r="H10" s="592">
        <v>21</v>
      </c>
      <c r="I10" s="588">
        <v>0.5</v>
      </c>
      <c r="J10" s="588">
        <v>9</v>
      </c>
      <c r="K10" s="588">
        <v>67.5</v>
      </c>
      <c r="L10" s="587">
        <v>0</v>
      </c>
    </row>
    <row r="11" spans="1:12" ht="27.75" customHeight="1">
      <c r="A11" s="583" t="s">
        <v>398</v>
      </c>
      <c r="B11" s="121" t="s">
        <v>399</v>
      </c>
      <c r="C11" s="588">
        <v>26</v>
      </c>
      <c r="D11" s="593"/>
      <c r="E11" s="594"/>
      <c r="F11" s="594"/>
      <c r="G11" s="593">
        <v>11</v>
      </c>
      <c r="H11" s="595">
        <v>2</v>
      </c>
      <c r="I11" s="593">
        <v>1</v>
      </c>
      <c r="J11" s="593">
        <v>11</v>
      </c>
      <c r="K11" s="588">
        <v>25</v>
      </c>
      <c r="L11" s="587">
        <f>K11-C11</f>
        <v>-1</v>
      </c>
    </row>
    <row r="12" spans="1:12" ht="22.5" customHeight="1">
      <c r="A12" s="583" t="s">
        <v>400</v>
      </c>
      <c r="B12" s="761" t="s">
        <v>401</v>
      </c>
      <c r="C12" s="588">
        <v>42</v>
      </c>
      <c r="D12" s="593"/>
      <c r="E12" s="594"/>
      <c r="F12" s="594"/>
      <c r="G12" s="593">
        <v>10.5</v>
      </c>
      <c r="H12" s="595">
        <v>4</v>
      </c>
      <c r="I12" s="593">
        <v>3.5</v>
      </c>
      <c r="J12" s="593">
        <v>25</v>
      </c>
      <c r="K12" s="588">
        <f>SUM(G12:J12)</f>
        <v>43</v>
      </c>
      <c r="L12" s="587">
        <f>K12-C12</f>
        <v>1</v>
      </c>
    </row>
    <row r="13" spans="1:12" ht="29.25" customHeight="1">
      <c r="A13" s="583" t="s">
        <v>402</v>
      </c>
      <c r="B13" s="121" t="s">
        <v>718</v>
      </c>
      <c r="C13" s="588">
        <v>3</v>
      </c>
      <c r="D13" s="593"/>
      <c r="E13" s="594"/>
      <c r="F13" s="594"/>
      <c r="G13" s="593"/>
      <c r="H13" s="595">
        <v>4</v>
      </c>
      <c r="I13" s="593"/>
      <c r="J13" s="593"/>
      <c r="K13" s="588">
        <f>SUM(D13:J13)</f>
        <v>4</v>
      </c>
      <c r="L13" s="587">
        <f>K13-C13</f>
        <v>1</v>
      </c>
    </row>
    <row r="14" spans="1:12" ht="12.75">
      <c r="A14" s="583" t="s">
        <v>403</v>
      </c>
      <c r="B14" s="193" t="s">
        <v>497</v>
      </c>
      <c r="C14" s="588">
        <v>50</v>
      </c>
      <c r="D14" s="593"/>
      <c r="E14" s="594"/>
      <c r="F14" s="594"/>
      <c r="G14" s="593">
        <v>38</v>
      </c>
      <c r="H14" s="595">
        <v>5.5</v>
      </c>
      <c r="I14" s="593">
        <v>1</v>
      </c>
      <c r="J14" s="593">
        <v>5.5</v>
      </c>
      <c r="K14" s="588">
        <v>50</v>
      </c>
      <c r="L14" s="587">
        <v>0</v>
      </c>
    </row>
    <row r="15" spans="1:12" ht="12.75">
      <c r="A15" s="583" t="s">
        <v>404</v>
      </c>
      <c r="B15" s="193" t="s">
        <v>498</v>
      </c>
      <c r="C15" s="588">
        <v>58</v>
      </c>
      <c r="D15" s="593"/>
      <c r="E15" s="594"/>
      <c r="F15" s="594"/>
      <c r="G15" s="596"/>
      <c r="H15" s="595">
        <v>45</v>
      </c>
      <c r="I15" s="593">
        <v>3</v>
      </c>
      <c r="J15" s="593">
        <v>10</v>
      </c>
      <c r="K15" s="588">
        <v>58</v>
      </c>
      <c r="L15" s="587">
        <v>0</v>
      </c>
    </row>
    <row r="16" spans="1:12" ht="12.75">
      <c r="A16" s="583" t="s">
        <v>405</v>
      </c>
      <c r="B16" s="193" t="s">
        <v>406</v>
      </c>
      <c r="C16" s="588">
        <v>127</v>
      </c>
      <c r="D16" s="593"/>
      <c r="E16" s="594"/>
      <c r="F16" s="594"/>
      <c r="G16" s="596"/>
      <c r="H16" s="595">
        <v>39</v>
      </c>
      <c r="I16" s="593">
        <v>16</v>
      </c>
      <c r="J16" s="593">
        <v>72</v>
      </c>
      <c r="K16" s="588">
        <v>127</v>
      </c>
      <c r="L16" s="587">
        <v>0</v>
      </c>
    </row>
    <row r="17" spans="1:12" ht="12.75">
      <c r="A17" s="583" t="s">
        <v>407</v>
      </c>
      <c r="B17" s="193" t="s">
        <v>505</v>
      </c>
      <c r="C17" s="588">
        <v>18</v>
      </c>
      <c r="D17" s="593"/>
      <c r="E17" s="594"/>
      <c r="F17" s="594"/>
      <c r="G17" s="596"/>
      <c r="H17" s="595">
        <v>11</v>
      </c>
      <c r="I17" s="593">
        <v>1</v>
      </c>
      <c r="J17" s="593">
        <v>6</v>
      </c>
      <c r="K17" s="588">
        <v>18</v>
      </c>
      <c r="L17" s="587">
        <v>0</v>
      </c>
    </row>
    <row r="18" spans="1:12" ht="12.75">
      <c r="A18" s="583" t="s">
        <v>408</v>
      </c>
      <c r="B18" s="193" t="s">
        <v>504</v>
      </c>
      <c r="C18" s="588">
        <v>21</v>
      </c>
      <c r="D18" s="593"/>
      <c r="E18" s="594"/>
      <c r="F18" s="594"/>
      <c r="G18" s="596"/>
      <c r="H18" s="595"/>
      <c r="I18" s="593">
        <v>5</v>
      </c>
      <c r="J18" s="593">
        <v>17</v>
      </c>
      <c r="K18" s="588">
        <f>SUM(D18:J18)</f>
        <v>22</v>
      </c>
      <c r="L18" s="587">
        <f>K18-C18</f>
        <v>1</v>
      </c>
    </row>
    <row r="19" spans="1:12" ht="12.75">
      <c r="A19" s="583" t="s">
        <v>409</v>
      </c>
      <c r="B19" s="193" t="s">
        <v>473</v>
      </c>
      <c r="C19" s="588">
        <v>11</v>
      </c>
      <c r="D19" s="593"/>
      <c r="E19" s="594"/>
      <c r="F19" s="594"/>
      <c r="G19" s="596"/>
      <c r="H19" s="595"/>
      <c r="I19" s="593">
        <v>3</v>
      </c>
      <c r="J19" s="593">
        <v>8</v>
      </c>
      <c r="K19" s="588">
        <v>11</v>
      </c>
      <c r="L19" s="587">
        <v>0</v>
      </c>
    </row>
    <row r="20" spans="1:12" ht="12.75">
      <c r="A20" s="583" t="s">
        <v>85</v>
      </c>
      <c r="B20" s="193" t="s">
        <v>86</v>
      </c>
      <c r="C20" s="588">
        <v>13</v>
      </c>
      <c r="D20" s="593"/>
      <c r="E20" s="594"/>
      <c r="F20" s="594"/>
      <c r="G20" s="596"/>
      <c r="H20" s="595"/>
      <c r="I20" s="593">
        <v>13</v>
      </c>
      <c r="J20" s="593"/>
      <c r="K20" s="588">
        <v>13</v>
      </c>
      <c r="L20" s="587">
        <v>0</v>
      </c>
    </row>
    <row r="21" spans="1:12" ht="15">
      <c r="A21" s="194"/>
      <c r="B21" s="195" t="s">
        <v>410</v>
      </c>
      <c r="C21" s="597">
        <f aca="true" t="shared" si="0" ref="C21:K21">SUM(C3:C20)</f>
        <v>1180</v>
      </c>
      <c r="D21" s="597">
        <f t="shared" si="0"/>
        <v>149</v>
      </c>
      <c r="E21" s="597">
        <f t="shared" si="0"/>
        <v>4.5</v>
      </c>
      <c r="F21" s="597">
        <f t="shared" si="0"/>
        <v>153.5</v>
      </c>
      <c r="G21" s="597">
        <f t="shared" si="0"/>
        <v>59.5</v>
      </c>
      <c r="H21" s="597">
        <f t="shared" si="0"/>
        <v>323</v>
      </c>
      <c r="I21" s="597">
        <f t="shared" si="0"/>
        <v>118.5</v>
      </c>
      <c r="J21" s="597">
        <f t="shared" si="0"/>
        <v>374</v>
      </c>
      <c r="K21" s="597">
        <f t="shared" si="0"/>
        <v>1182</v>
      </c>
      <c r="L21" s="762">
        <f>K21-C21</f>
        <v>2</v>
      </c>
    </row>
    <row r="22" spans="1:12" ht="15">
      <c r="A22" s="598"/>
      <c r="B22" s="196" t="s">
        <v>411</v>
      </c>
      <c r="C22" s="599">
        <f aca="true" t="shared" si="1" ref="C22:K22">C21+C2</f>
        <v>1184</v>
      </c>
      <c r="D22" s="599">
        <f t="shared" si="1"/>
        <v>152</v>
      </c>
      <c r="E22" s="599">
        <f t="shared" si="1"/>
        <v>4.5</v>
      </c>
      <c r="F22" s="599">
        <f t="shared" si="1"/>
        <v>153.5</v>
      </c>
      <c r="G22" s="599">
        <f t="shared" si="1"/>
        <v>59.5</v>
      </c>
      <c r="H22" s="599">
        <f t="shared" si="1"/>
        <v>323</v>
      </c>
      <c r="I22" s="599">
        <f t="shared" si="1"/>
        <v>118.5</v>
      </c>
      <c r="J22" s="599">
        <f t="shared" si="1"/>
        <v>375</v>
      </c>
      <c r="K22" s="599">
        <f t="shared" si="1"/>
        <v>1186</v>
      </c>
      <c r="L22" s="762">
        <f>K22-C22</f>
        <v>2</v>
      </c>
    </row>
  </sheetData>
  <sheetProtection/>
  <printOptions/>
  <pageMargins left="0.5905511811023623" right="0.5905511811023623" top="1.5748031496062993" bottom="0.984251968503937" header="1.1023622047244095" footer="0.5118110236220472"/>
  <pageSetup horizontalDpi="300" verticalDpi="300" orientation="landscape" paperSize="9" r:id="rId1"/>
  <headerFooter alignWithMargins="0">
    <oddHeader>&amp;C&amp;"Times New Roman CE,Félkövér dőlt"&amp;12ZMJV Önkormányzata és az általa irányított költségvetési szervek
2015. évi létszám- előirányzata&amp;R&amp;"Times New Roman CE,Félkövér dőlt"9. melléklet
Adatok: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7"/>
  <sheetViews>
    <sheetView zoomScalePageLayoutView="0" workbookViewId="0" topLeftCell="B1">
      <pane ySplit="2" topLeftCell="A137" activePane="bottomLeft" state="frozen"/>
      <selection pane="topLeft" activeCell="A1" sqref="A1"/>
      <selection pane="bottomLeft" activeCell="C150" sqref="C150:D151"/>
    </sheetView>
  </sheetViews>
  <sheetFormatPr defaultColWidth="9.00390625" defaultRowHeight="12.75"/>
  <cols>
    <col min="1" max="1" width="3.875" style="244" customWidth="1"/>
    <col min="2" max="2" width="3.50390625" style="244" customWidth="1"/>
    <col min="3" max="3" width="37.375" style="244" customWidth="1"/>
    <col min="4" max="4" width="12.875" style="244" customWidth="1"/>
    <col min="5" max="5" width="13.625" style="244" customWidth="1"/>
    <col min="6" max="6" width="13.125" style="244" customWidth="1"/>
    <col min="7" max="7" width="12.375" style="244" customWidth="1"/>
    <col min="8" max="8" width="11.375" style="244" customWidth="1"/>
    <col min="9" max="9" width="13.00390625" style="244" customWidth="1"/>
    <col min="10" max="10" width="12.00390625" style="244" customWidth="1"/>
    <col min="11" max="11" width="13.125" style="244" customWidth="1"/>
    <col min="12" max="12" width="13.875" style="244" customWidth="1"/>
    <col min="13" max="13" width="11.50390625" style="244" customWidth="1"/>
    <col min="14" max="14" width="10.625" style="244" customWidth="1"/>
    <col min="15" max="15" width="13.125" style="244" customWidth="1"/>
    <col min="16" max="16" width="10.875" style="244" bestFit="1" customWidth="1"/>
    <col min="17" max="17" width="12.125" style="244" bestFit="1" customWidth="1"/>
    <col min="18" max="16384" width="9.375" style="244" customWidth="1"/>
  </cols>
  <sheetData>
    <row r="1" spans="1:15" ht="14.25" thickBot="1">
      <c r="A1" s="821" t="s">
        <v>693</v>
      </c>
      <c r="B1" s="821" t="s">
        <v>694</v>
      </c>
      <c r="C1" s="811" t="s">
        <v>686</v>
      </c>
      <c r="D1" s="823" t="s">
        <v>1196</v>
      </c>
      <c r="E1" s="817" t="s">
        <v>725</v>
      </c>
      <c r="F1" s="817"/>
      <c r="G1" s="817"/>
      <c r="H1" s="817"/>
      <c r="I1" s="817"/>
      <c r="J1" s="817"/>
      <c r="K1" s="818"/>
      <c r="L1" s="819" t="s">
        <v>726</v>
      </c>
      <c r="M1" s="820"/>
      <c r="N1" s="820"/>
      <c r="O1" s="811" t="s">
        <v>1298</v>
      </c>
    </row>
    <row r="2" spans="1:15" s="250" customFormat="1" ht="54.75" customHeight="1" thickBot="1">
      <c r="A2" s="822"/>
      <c r="B2" s="822"/>
      <c r="C2" s="812"/>
      <c r="D2" s="845"/>
      <c r="E2" s="245" t="s">
        <v>728</v>
      </c>
      <c r="F2" s="246" t="s">
        <v>729</v>
      </c>
      <c r="G2" s="247" t="s">
        <v>351</v>
      </c>
      <c r="H2" s="248" t="s">
        <v>730</v>
      </c>
      <c r="I2" s="247" t="s">
        <v>486</v>
      </c>
      <c r="J2" s="247" t="s">
        <v>731</v>
      </c>
      <c r="K2" s="247" t="s">
        <v>732</v>
      </c>
      <c r="L2" s="247" t="s">
        <v>565</v>
      </c>
      <c r="M2" s="247" t="s">
        <v>733</v>
      </c>
      <c r="N2" s="249" t="s">
        <v>735</v>
      </c>
      <c r="O2" s="812"/>
    </row>
    <row r="3" spans="1:15" s="250" customFormat="1" ht="12.75" customHeight="1">
      <c r="A3" s="251">
        <v>1</v>
      </c>
      <c r="B3" s="251"/>
      <c r="C3" s="782" t="s">
        <v>484</v>
      </c>
      <c r="D3" s="605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</row>
    <row r="4" spans="1:15" s="250" customFormat="1" ht="12.75" customHeight="1">
      <c r="A4" s="251">
        <v>1</v>
      </c>
      <c r="B4" s="251">
        <v>1</v>
      </c>
      <c r="C4" s="771" t="s">
        <v>354</v>
      </c>
      <c r="D4" s="605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s="259" customFormat="1" ht="13.5" customHeight="1">
      <c r="A5" s="256">
        <v>1</v>
      </c>
      <c r="B5" s="256">
        <v>12</v>
      </c>
      <c r="C5" s="776" t="s">
        <v>352</v>
      </c>
      <c r="D5" s="236"/>
      <c r="E5" s="258"/>
      <c r="F5" s="258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259" customFormat="1" ht="24.75" customHeight="1" hidden="1">
      <c r="A6" s="256"/>
      <c r="B6" s="256"/>
      <c r="C6" s="260" t="s">
        <v>414</v>
      </c>
      <c r="D6" s="798"/>
      <c r="E6" s="261"/>
      <c r="F6" s="258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259" customFormat="1" ht="16.5" customHeight="1" hidden="1">
      <c r="A7" s="262"/>
      <c r="B7" s="262"/>
      <c r="C7" s="427" t="s">
        <v>1299</v>
      </c>
      <c r="D7" s="693">
        <v>221902</v>
      </c>
      <c r="E7" s="263"/>
      <c r="F7" s="263"/>
      <c r="G7" s="206"/>
      <c r="H7" s="206"/>
      <c r="I7" s="206"/>
      <c r="J7" s="206"/>
      <c r="K7" s="206"/>
      <c r="L7" s="206"/>
      <c r="M7" s="206"/>
      <c r="N7" s="206"/>
      <c r="O7" s="206">
        <f>SUM(H7:N7)</f>
        <v>0</v>
      </c>
    </row>
    <row r="8" spans="1:15" s="259" customFormat="1" ht="21" customHeight="1">
      <c r="A8" s="262"/>
      <c r="B8" s="262"/>
      <c r="C8" s="690" t="s">
        <v>704</v>
      </c>
      <c r="D8" s="693"/>
      <c r="E8" s="263"/>
      <c r="F8" s="263"/>
      <c r="G8" s="206"/>
      <c r="H8" s="206"/>
      <c r="I8" s="206"/>
      <c r="J8" s="206"/>
      <c r="K8" s="206"/>
      <c r="L8" s="206"/>
      <c r="M8" s="206"/>
      <c r="N8" s="206"/>
      <c r="O8" s="206"/>
    </row>
    <row r="9" spans="1:15" s="259" customFormat="1" ht="16.5" customHeight="1" hidden="1">
      <c r="A9" s="262"/>
      <c r="B9" s="262"/>
      <c r="C9" s="689" t="s">
        <v>935</v>
      </c>
      <c r="D9" s="693">
        <v>121203</v>
      </c>
      <c r="E9" s="263"/>
      <c r="F9" s="263"/>
      <c r="G9" s="206"/>
      <c r="H9" s="206"/>
      <c r="I9" s="206"/>
      <c r="J9" s="206"/>
      <c r="K9" s="206"/>
      <c r="L9" s="206"/>
      <c r="M9" s="206"/>
      <c r="N9" s="206"/>
      <c r="O9" s="206">
        <f>SUM(H9:N9)</f>
        <v>0</v>
      </c>
    </row>
    <row r="10" spans="1:15" s="259" customFormat="1" ht="24.75" customHeight="1" hidden="1">
      <c r="A10" s="262"/>
      <c r="B10" s="262"/>
      <c r="C10" s="691" t="s">
        <v>936</v>
      </c>
      <c r="D10" s="693">
        <v>121126</v>
      </c>
      <c r="E10" s="263"/>
      <c r="F10" s="263"/>
      <c r="G10" s="206"/>
      <c r="H10" s="206"/>
      <c r="I10" s="206"/>
      <c r="J10" s="206"/>
      <c r="K10" s="206"/>
      <c r="L10" s="206"/>
      <c r="M10" s="206"/>
      <c r="N10" s="206"/>
      <c r="O10" s="206">
        <f>SUM(H10:N10)</f>
        <v>0</v>
      </c>
    </row>
    <row r="11" spans="1:15" s="259" customFormat="1" ht="24.75" customHeight="1">
      <c r="A11" s="262"/>
      <c r="B11" s="262"/>
      <c r="C11" s="691" t="s">
        <v>1333</v>
      </c>
      <c r="D11" s="693">
        <v>121124</v>
      </c>
      <c r="E11" s="263">
        <v>5446</v>
      </c>
      <c r="F11" s="263"/>
      <c r="G11" s="206"/>
      <c r="H11" s="206"/>
      <c r="I11" s="206"/>
      <c r="J11" s="206"/>
      <c r="K11" s="206"/>
      <c r="L11" s="206"/>
      <c r="M11" s="206"/>
      <c r="N11" s="206"/>
      <c r="O11" s="206">
        <f>SUM(E11:N11)</f>
        <v>5446</v>
      </c>
    </row>
    <row r="12" spans="1:15" s="259" customFormat="1" ht="13.5" customHeight="1">
      <c r="A12" s="264"/>
      <c r="B12" s="264"/>
      <c r="C12" s="318" t="s">
        <v>355</v>
      </c>
      <c r="D12" s="608"/>
      <c r="E12" s="266">
        <f>SUM(E5:E11)</f>
        <v>5446</v>
      </c>
      <c r="F12" s="266">
        <f aca="true" t="shared" si="0" ref="F12:O12">SUM(F5:F11)</f>
        <v>0</v>
      </c>
      <c r="G12" s="266">
        <f t="shared" si="0"/>
        <v>0</v>
      </c>
      <c r="H12" s="266">
        <f t="shared" si="0"/>
        <v>0</v>
      </c>
      <c r="I12" s="266">
        <f t="shared" si="0"/>
        <v>0</v>
      </c>
      <c r="J12" s="266">
        <f t="shared" si="0"/>
        <v>0</v>
      </c>
      <c r="K12" s="266">
        <f t="shared" si="0"/>
        <v>0</v>
      </c>
      <c r="L12" s="266">
        <f t="shared" si="0"/>
        <v>0</v>
      </c>
      <c r="M12" s="266">
        <f t="shared" si="0"/>
        <v>0</v>
      </c>
      <c r="N12" s="266">
        <f t="shared" si="0"/>
        <v>0</v>
      </c>
      <c r="O12" s="266">
        <f t="shared" si="0"/>
        <v>5446</v>
      </c>
    </row>
    <row r="13" spans="1:15" s="259" customFormat="1" ht="13.5" customHeight="1">
      <c r="A13" s="267">
        <v>1</v>
      </c>
      <c r="B13" s="267">
        <v>13</v>
      </c>
      <c r="C13" s="776" t="s">
        <v>353</v>
      </c>
      <c r="D13" s="758"/>
      <c r="E13" s="268"/>
      <c r="F13" s="26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15" s="259" customFormat="1" ht="13.5" customHeight="1" hidden="1">
      <c r="A14" s="267"/>
      <c r="B14" s="267"/>
      <c r="C14" s="314" t="s">
        <v>1301</v>
      </c>
      <c r="D14" s="799"/>
      <c r="E14" s="263"/>
      <c r="F14" s="263"/>
      <c r="G14" s="206"/>
      <c r="H14" s="206"/>
      <c r="I14" s="206"/>
      <c r="J14" s="206"/>
      <c r="K14" s="206"/>
      <c r="L14" s="206"/>
      <c r="M14" s="206"/>
      <c r="N14" s="206"/>
      <c r="O14" s="206"/>
    </row>
    <row r="15" spans="1:15" s="259" customFormat="1" ht="24.75" customHeight="1" hidden="1">
      <c r="A15" s="267"/>
      <c r="B15" s="267"/>
      <c r="C15" s="286" t="s">
        <v>1302</v>
      </c>
      <c r="D15" s="643">
        <v>131705</v>
      </c>
      <c r="E15" s="263"/>
      <c r="F15" s="263"/>
      <c r="G15" s="206"/>
      <c r="H15" s="206"/>
      <c r="I15" s="206"/>
      <c r="J15" s="206"/>
      <c r="K15" s="206"/>
      <c r="L15" s="206"/>
      <c r="M15" s="206"/>
      <c r="N15" s="206"/>
      <c r="O15" s="206">
        <f>SUM(E15:N15)</f>
        <v>0</v>
      </c>
    </row>
    <row r="16" spans="1:15" s="259" customFormat="1" ht="24.75" customHeight="1" hidden="1">
      <c r="A16" s="267"/>
      <c r="B16" s="267"/>
      <c r="C16" s="783" t="s">
        <v>1303</v>
      </c>
      <c r="D16" s="643"/>
      <c r="E16" s="263"/>
      <c r="F16" s="263"/>
      <c r="G16" s="206"/>
      <c r="H16" s="206"/>
      <c r="I16" s="206"/>
      <c r="J16" s="206"/>
      <c r="K16" s="206"/>
      <c r="L16" s="206"/>
      <c r="M16" s="206"/>
      <c r="N16" s="206"/>
      <c r="O16" s="272"/>
    </row>
    <row r="17" spans="1:15" s="259" customFormat="1" ht="24.75" customHeight="1" hidden="1">
      <c r="A17" s="267"/>
      <c r="B17" s="267"/>
      <c r="C17" s="783" t="s">
        <v>1304</v>
      </c>
      <c r="D17" s="643">
        <v>131703</v>
      </c>
      <c r="E17" s="263"/>
      <c r="F17" s="263"/>
      <c r="G17" s="206"/>
      <c r="H17" s="206"/>
      <c r="I17" s="206"/>
      <c r="J17" s="206"/>
      <c r="K17" s="206"/>
      <c r="L17" s="206"/>
      <c r="M17" s="206"/>
      <c r="N17" s="206"/>
      <c r="O17" s="206">
        <f>SUM(E17:N17)</f>
        <v>0</v>
      </c>
    </row>
    <row r="18" spans="1:15" s="259" customFormat="1" ht="24.75" customHeight="1" hidden="1">
      <c r="A18" s="267"/>
      <c r="B18" s="267"/>
      <c r="C18" s="770" t="s">
        <v>1078</v>
      </c>
      <c r="D18" s="637"/>
      <c r="E18" s="276"/>
      <c r="F18" s="263"/>
      <c r="G18" s="263"/>
      <c r="H18" s="263"/>
      <c r="I18" s="263"/>
      <c r="J18" s="263"/>
      <c r="K18" s="263"/>
      <c r="L18" s="263"/>
      <c r="M18" s="263"/>
      <c r="N18" s="263"/>
      <c r="O18" s="206"/>
    </row>
    <row r="19" spans="1:15" s="259" customFormat="1" ht="17.25" customHeight="1" hidden="1">
      <c r="A19" s="267"/>
      <c r="B19" s="267"/>
      <c r="C19" s="273" t="s">
        <v>1305</v>
      </c>
      <c r="D19" s="643">
        <v>131845</v>
      </c>
      <c r="E19" s="276"/>
      <c r="F19" s="263"/>
      <c r="G19" s="263"/>
      <c r="H19" s="263"/>
      <c r="I19" s="263"/>
      <c r="J19" s="263"/>
      <c r="K19" s="263"/>
      <c r="L19" s="263"/>
      <c r="M19" s="263"/>
      <c r="N19" s="263"/>
      <c r="O19" s="206">
        <f>SUM(E19:N19)</f>
        <v>0</v>
      </c>
    </row>
    <row r="20" spans="1:15" s="259" customFormat="1" ht="24.75" customHeight="1" hidden="1">
      <c r="A20" s="267"/>
      <c r="B20" s="267"/>
      <c r="C20" s="783" t="s">
        <v>1306</v>
      </c>
      <c r="D20" s="64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06"/>
    </row>
    <row r="21" spans="1:15" s="259" customFormat="1" ht="49.5" customHeight="1" hidden="1">
      <c r="A21" s="267"/>
      <c r="B21" s="267"/>
      <c r="C21" s="283" t="s">
        <v>1307</v>
      </c>
      <c r="D21" s="635">
        <v>132923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>
        <f>SUM(E21:N21)</f>
        <v>0</v>
      </c>
    </row>
    <row r="22" spans="1:15" s="259" customFormat="1" ht="27" customHeight="1">
      <c r="A22" s="267"/>
      <c r="B22" s="267"/>
      <c r="C22" s="260" t="s">
        <v>414</v>
      </c>
      <c r="D22" s="635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</row>
    <row r="23" spans="1:15" s="259" customFormat="1" ht="27.75" customHeight="1" hidden="1">
      <c r="A23" s="267"/>
      <c r="B23" s="267"/>
      <c r="C23" s="202" t="s">
        <v>829</v>
      </c>
      <c r="D23" s="635">
        <v>131119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>
        <f>SUM(E23:N23)</f>
        <v>0</v>
      </c>
    </row>
    <row r="24" spans="1:15" s="259" customFormat="1" ht="37.5" customHeight="1">
      <c r="A24" s="267"/>
      <c r="B24" s="267"/>
      <c r="C24" s="743" t="s">
        <v>1334</v>
      </c>
      <c r="D24" s="643">
        <v>134968</v>
      </c>
      <c r="E24" s="263"/>
      <c r="F24" s="263">
        <v>150000</v>
      </c>
      <c r="G24" s="263"/>
      <c r="H24" s="263"/>
      <c r="I24" s="263"/>
      <c r="J24" s="263"/>
      <c r="K24" s="263"/>
      <c r="L24" s="263"/>
      <c r="M24" s="263"/>
      <c r="N24" s="263"/>
      <c r="O24" s="263">
        <f>SUM(E24:N24)</f>
        <v>150000</v>
      </c>
    </row>
    <row r="25" spans="1:15" s="259" customFormat="1" ht="38.25" customHeight="1">
      <c r="A25" s="267"/>
      <c r="B25" s="267"/>
      <c r="C25" s="743" t="s">
        <v>1335</v>
      </c>
      <c r="D25" s="643">
        <v>134969</v>
      </c>
      <c r="E25" s="263"/>
      <c r="F25" s="263">
        <v>150000</v>
      </c>
      <c r="G25" s="263"/>
      <c r="H25" s="263"/>
      <c r="I25" s="263"/>
      <c r="J25" s="263"/>
      <c r="K25" s="263"/>
      <c r="L25" s="263"/>
      <c r="M25" s="263"/>
      <c r="N25" s="263"/>
      <c r="O25" s="263">
        <f>SUM(E25:N25)</f>
        <v>150000</v>
      </c>
    </row>
    <row r="26" spans="1:15" s="259" customFormat="1" ht="36.75" customHeight="1">
      <c r="A26" s="267"/>
      <c r="B26" s="267"/>
      <c r="C26" s="784" t="s">
        <v>1062</v>
      </c>
      <c r="D26" s="64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</row>
    <row r="27" spans="1:15" s="259" customFormat="1" ht="24.75" customHeight="1" hidden="1">
      <c r="A27" s="267"/>
      <c r="B27" s="267"/>
      <c r="C27" s="202" t="s">
        <v>1061</v>
      </c>
      <c r="D27" s="643">
        <v>131709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>
        <f>SUM(E27:N27)</f>
        <v>0</v>
      </c>
    </row>
    <row r="28" spans="1:15" s="259" customFormat="1" ht="25.5" customHeight="1">
      <c r="A28" s="267"/>
      <c r="B28" s="267"/>
      <c r="C28" s="178" t="s">
        <v>1336</v>
      </c>
      <c r="D28" s="643">
        <v>131504</v>
      </c>
      <c r="E28" s="263">
        <v>1553</v>
      </c>
      <c r="F28" s="263"/>
      <c r="G28" s="263"/>
      <c r="H28" s="263">
        <v>6</v>
      </c>
      <c r="I28" s="263"/>
      <c r="J28" s="263"/>
      <c r="K28" s="263"/>
      <c r="L28" s="263"/>
      <c r="M28" s="263"/>
      <c r="N28" s="263"/>
      <c r="O28" s="263">
        <f>SUM(E28:N28)</f>
        <v>1559</v>
      </c>
    </row>
    <row r="29" spans="1:15" s="259" customFormat="1" ht="27.75" customHeight="1">
      <c r="A29" s="267"/>
      <c r="B29" s="267"/>
      <c r="C29" s="178" t="s">
        <v>1337</v>
      </c>
      <c r="D29" s="643">
        <v>132964</v>
      </c>
      <c r="E29" s="263"/>
      <c r="F29" s="263">
        <v>6860</v>
      </c>
      <c r="G29" s="263"/>
      <c r="H29" s="263"/>
      <c r="I29" s="263"/>
      <c r="J29" s="263"/>
      <c r="K29" s="263"/>
      <c r="L29" s="263"/>
      <c r="M29" s="263"/>
      <c r="N29" s="263"/>
      <c r="O29" s="263">
        <f>SUM(E29:N29)</f>
        <v>6860</v>
      </c>
    </row>
    <row r="30" spans="1:15" s="259" customFormat="1" ht="24" customHeight="1">
      <c r="A30" s="267"/>
      <c r="B30" s="267"/>
      <c r="C30" s="178" t="s">
        <v>372</v>
      </c>
      <c r="D30" s="635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</row>
    <row r="31" spans="1:15" s="259" customFormat="1" ht="21.75" customHeight="1">
      <c r="A31" s="267"/>
      <c r="B31" s="267"/>
      <c r="C31" s="178" t="s">
        <v>1338</v>
      </c>
      <c r="D31" s="643">
        <v>132945</v>
      </c>
      <c r="E31" s="263"/>
      <c r="F31" s="263"/>
      <c r="G31" s="263"/>
      <c r="H31" s="263">
        <v>945</v>
      </c>
      <c r="I31" s="263">
        <v>3500</v>
      </c>
      <c r="J31" s="263"/>
      <c r="K31" s="263"/>
      <c r="L31" s="263"/>
      <c r="M31" s="263"/>
      <c r="N31" s="263"/>
      <c r="O31" s="263">
        <f>SUM(E31:N31)</f>
        <v>4445</v>
      </c>
    </row>
    <row r="32" spans="1:15" s="259" customFormat="1" ht="13.5" customHeight="1">
      <c r="A32" s="264"/>
      <c r="B32" s="264"/>
      <c r="C32" s="318" t="s">
        <v>356</v>
      </c>
      <c r="D32" s="642"/>
      <c r="E32" s="279">
        <f>SUM(E15:E31)</f>
        <v>1553</v>
      </c>
      <c r="F32" s="279">
        <f aca="true" t="shared" si="1" ref="F32:O32">SUM(F15:F31)</f>
        <v>306860</v>
      </c>
      <c r="G32" s="279">
        <f t="shared" si="1"/>
        <v>0</v>
      </c>
      <c r="H32" s="279">
        <f t="shared" si="1"/>
        <v>951</v>
      </c>
      <c r="I32" s="279">
        <f t="shared" si="1"/>
        <v>3500</v>
      </c>
      <c r="J32" s="279">
        <f t="shared" si="1"/>
        <v>0</v>
      </c>
      <c r="K32" s="279">
        <f t="shared" si="1"/>
        <v>0</v>
      </c>
      <c r="L32" s="279">
        <f t="shared" si="1"/>
        <v>0</v>
      </c>
      <c r="M32" s="279">
        <f t="shared" si="1"/>
        <v>0</v>
      </c>
      <c r="N32" s="279">
        <f t="shared" si="1"/>
        <v>0</v>
      </c>
      <c r="O32" s="279">
        <f t="shared" si="1"/>
        <v>312864</v>
      </c>
    </row>
    <row r="33" spans="1:15" s="250" customFormat="1" ht="13.5" customHeight="1">
      <c r="A33" s="251">
        <v>1</v>
      </c>
      <c r="B33" s="251">
        <v>15</v>
      </c>
      <c r="C33" s="771" t="s">
        <v>689</v>
      </c>
      <c r="D33" s="644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</row>
    <row r="34" spans="1:15" s="250" customFormat="1" ht="24.75" customHeight="1">
      <c r="A34" s="251"/>
      <c r="B34" s="251"/>
      <c r="C34" s="200" t="s">
        <v>1308</v>
      </c>
      <c r="D34" s="635"/>
      <c r="E34" s="281"/>
      <c r="F34" s="280"/>
      <c r="G34" s="280"/>
      <c r="H34" s="280"/>
      <c r="I34" s="280"/>
      <c r="J34" s="280"/>
      <c r="K34" s="280"/>
      <c r="L34" s="280"/>
      <c r="M34" s="280"/>
      <c r="N34" s="280"/>
      <c r="O34" s="280"/>
    </row>
    <row r="35" spans="1:15" s="250" customFormat="1" ht="24.75" customHeight="1" hidden="1">
      <c r="A35" s="251"/>
      <c r="B35" s="251"/>
      <c r="C35" s="180" t="s">
        <v>1309</v>
      </c>
      <c r="D35" s="635">
        <v>151906</v>
      </c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>
        <f>SUM(E35:N35)</f>
        <v>0</v>
      </c>
    </row>
    <row r="36" spans="1:15" s="250" customFormat="1" ht="12.75" customHeight="1">
      <c r="A36" s="251"/>
      <c r="B36" s="251"/>
      <c r="C36" s="282" t="s">
        <v>1310</v>
      </c>
      <c r="D36" s="634">
        <v>151907</v>
      </c>
      <c r="E36" s="280"/>
      <c r="F36" s="280"/>
      <c r="G36" s="280"/>
      <c r="H36" s="280">
        <v>-10947</v>
      </c>
      <c r="I36" s="280"/>
      <c r="J36" s="280"/>
      <c r="K36" s="280"/>
      <c r="L36" s="280"/>
      <c r="M36" s="280"/>
      <c r="N36" s="280"/>
      <c r="O36" s="280">
        <f>SUM(E36:N36)</f>
        <v>-10947</v>
      </c>
    </row>
    <row r="37" spans="1:15" s="250" customFormat="1" ht="12.75" customHeight="1" hidden="1">
      <c r="A37" s="251"/>
      <c r="B37" s="251"/>
      <c r="C37" s="282" t="s">
        <v>1311</v>
      </c>
      <c r="D37" s="634">
        <v>151915</v>
      </c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>
        <f>SUM(E37:N37)</f>
        <v>0</v>
      </c>
    </row>
    <row r="38" spans="1:15" s="250" customFormat="1" ht="12.75" customHeight="1">
      <c r="A38" s="251"/>
      <c r="B38" s="251"/>
      <c r="C38" s="689" t="s">
        <v>1339</v>
      </c>
      <c r="D38" s="634">
        <v>151909</v>
      </c>
      <c r="E38" s="280"/>
      <c r="F38" s="280"/>
      <c r="G38" s="280"/>
      <c r="H38" s="280">
        <v>3721</v>
      </c>
      <c r="I38" s="280"/>
      <c r="J38" s="280"/>
      <c r="K38" s="280"/>
      <c r="L38" s="280"/>
      <c r="M38" s="280"/>
      <c r="N38" s="280"/>
      <c r="O38" s="280">
        <f>SUM(E38:N38)</f>
        <v>3721</v>
      </c>
    </row>
    <row r="39" spans="1:15" s="250" customFormat="1" ht="12.75" customHeight="1">
      <c r="A39" s="251"/>
      <c r="B39" s="251"/>
      <c r="C39" s="283" t="s">
        <v>1312</v>
      </c>
      <c r="D39" s="635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0" spans="1:15" s="250" customFormat="1" ht="12.75" customHeight="1">
      <c r="A40" s="251"/>
      <c r="B40" s="251"/>
      <c r="C40" s="282" t="s">
        <v>759</v>
      </c>
      <c r="D40" s="634">
        <v>152908</v>
      </c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>
        <f>SUM(E40:N40)</f>
        <v>0</v>
      </c>
    </row>
    <row r="41" spans="1:15" s="250" customFormat="1" ht="12.75" customHeight="1">
      <c r="A41" s="251"/>
      <c r="B41" s="251"/>
      <c r="C41" s="785" t="s">
        <v>1340</v>
      </c>
      <c r="D41" s="634">
        <v>151507</v>
      </c>
      <c r="E41" s="280"/>
      <c r="F41" s="280"/>
      <c r="G41" s="280"/>
      <c r="H41" s="280"/>
      <c r="I41" s="280"/>
      <c r="J41" s="280">
        <v>92</v>
      </c>
      <c r="K41" s="280"/>
      <c r="L41" s="280"/>
      <c r="M41" s="280"/>
      <c r="N41" s="280"/>
      <c r="O41" s="280">
        <f>SUM(E41:N41)</f>
        <v>92</v>
      </c>
    </row>
    <row r="42" spans="1:15" s="250" customFormat="1" ht="22.5" customHeight="1" hidden="1">
      <c r="A42" s="251"/>
      <c r="B42" s="251"/>
      <c r="C42" s="397" t="s">
        <v>937</v>
      </c>
      <c r="D42" s="800">
        <v>154511</v>
      </c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>
        <f>SUM(E42:N42)</f>
        <v>0</v>
      </c>
    </row>
    <row r="43" spans="1:15" s="250" customFormat="1" ht="24.75" customHeight="1">
      <c r="A43" s="251"/>
      <c r="B43" s="251"/>
      <c r="C43" s="180" t="s">
        <v>372</v>
      </c>
      <c r="D43" s="635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</row>
    <row r="44" spans="1:16" s="250" customFormat="1" ht="33.75" customHeight="1" hidden="1">
      <c r="A44" s="251"/>
      <c r="B44" s="251"/>
      <c r="C44" s="284" t="s">
        <v>385</v>
      </c>
      <c r="D44" s="779">
        <v>152117</v>
      </c>
      <c r="E44" s="280"/>
      <c r="F44" s="206"/>
      <c r="G44" s="280"/>
      <c r="H44" s="280"/>
      <c r="I44" s="280"/>
      <c r="J44" s="280"/>
      <c r="K44" s="280"/>
      <c r="L44" s="280"/>
      <c r="M44" s="280"/>
      <c r="N44" s="280"/>
      <c r="O44" s="280">
        <f>SUM(E44:N44)</f>
        <v>0</v>
      </c>
      <c r="P44" s="285"/>
    </row>
    <row r="45" spans="1:16" s="250" customFormat="1" ht="28.5" customHeight="1" hidden="1">
      <c r="A45" s="251"/>
      <c r="B45" s="251"/>
      <c r="C45" s="284" t="s">
        <v>1313</v>
      </c>
      <c r="D45" s="779">
        <v>152117</v>
      </c>
      <c r="E45" s="280"/>
      <c r="F45" s="206"/>
      <c r="G45" s="280"/>
      <c r="H45" s="280"/>
      <c r="I45" s="280"/>
      <c r="J45" s="280"/>
      <c r="K45" s="280"/>
      <c r="L45" s="280"/>
      <c r="M45" s="280"/>
      <c r="N45" s="280"/>
      <c r="O45" s="280">
        <f>SUM(E45:N45)</f>
        <v>0</v>
      </c>
      <c r="P45" s="285"/>
    </row>
    <row r="46" spans="1:16" s="250" customFormat="1" ht="19.5" customHeight="1">
      <c r="A46" s="251"/>
      <c r="B46" s="251"/>
      <c r="C46" s="692" t="s">
        <v>938</v>
      </c>
      <c r="D46" s="779">
        <v>151611</v>
      </c>
      <c r="E46" s="280"/>
      <c r="F46" s="206"/>
      <c r="G46" s="280"/>
      <c r="H46" s="280">
        <v>2364</v>
      </c>
      <c r="I46" s="280"/>
      <c r="J46" s="280"/>
      <c r="K46" s="280"/>
      <c r="L46" s="280"/>
      <c r="M46" s="280"/>
      <c r="N46" s="280"/>
      <c r="O46" s="280">
        <f>SUM(E46:N46)</f>
        <v>2364</v>
      </c>
      <c r="P46" s="285"/>
    </row>
    <row r="47" spans="1:16" s="250" customFormat="1" ht="19.5" customHeight="1">
      <c r="A47" s="251"/>
      <c r="B47" s="251"/>
      <c r="C47" s="692" t="s">
        <v>1341</v>
      </c>
      <c r="D47" s="779">
        <v>152450</v>
      </c>
      <c r="E47" s="206"/>
      <c r="F47" s="206"/>
      <c r="G47" s="280"/>
      <c r="H47" s="280"/>
      <c r="I47" s="280"/>
      <c r="J47" s="280"/>
      <c r="K47" s="280">
        <v>2090</v>
      </c>
      <c r="L47" s="280"/>
      <c r="M47" s="280"/>
      <c r="N47" s="280"/>
      <c r="O47" s="280">
        <f>SUM(E47:N47)</f>
        <v>2090</v>
      </c>
      <c r="P47" s="285"/>
    </row>
    <row r="48" spans="1:16" s="250" customFormat="1" ht="24.75" customHeight="1">
      <c r="A48" s="251"/>
      <c r="B48" s="251"/>
      <c r="C48" s="286" t="s">
        <v>791</v>
      </c>
      <c r="D48" s="643"/>
      <c r="E48" s="280"/>
      <c r="F48" s="206"/>
      <c r="G48" s="280"/>
      <c r="H48" s="280"/>
      <c r="I48" s="280"/>
      <c r="J48" s="280"/>
      <c r="K48" s="280"/>
      <c r="L48" s="280"/>
      <c r="M48" s="280"/>
      <c r="N48" s="280"/>
      <c r="O48" s="280"/>
      <c r="P48" s="285"/>
    </row>
    <row r="49" spans="1:16" s="250" customFormat="1" ht="36" customHeight="1">
      <c r="A49" s="251"/>
      <c r="B49" s="251"/>
      <c r="C49" s="786" t="s">
        <v>234</v>
      </c>
      <c r="D49" s="759">
        <v>152204</v>
      </c>
      <c r="E49" s="280"/>
      <c r="F49" s="206">
        <v>-80028</v>
      </c>
      <c r="G49" s="280"/>
      <c r="H49" s="280"/>
      <c r="I49" s="280"/>
      <c r="J49" s="280"/>
      <c r="K49" s="280"/>
      <c r="L49" s="280"/>
      <c r="M49" s="280"/>
      <c r="N49" s="280"/>
      <c r="O49" s="280">
        <f>SUM(E49:N49)</f>
        <v>-80028</v>
      </c>
      <c r="P49" s="285"/>
    </row>
    <row r="50" spans="1:16" s="250" customFormat="1" ht="42" customHeight="1">
      <c r="A50" s="251"/>
      <c r="B50" s="251"/>
      <c r="C50" s="786" t="s">
        <v>235</v>
      </c>
      <c r="D50" s="759">
        <v>152204</v>
      </c>
      <c r="E50" s="280"/>
      <c r="F50" s="206">
        <v>80028</v>
      </c>
      <c r="G50" s="280"/>
      <c r="H50" s="280"/>
      <c r="I50" s="280"/>
      <c r="J50" s="280"/>
      <c r="K50" s="280"/>
      <c r="L50" s="280"/>
      <c r="M50" s="280"/>
      <c r="N50" s="280"/>
      <c r="O50" s="280">
        <f>SUM(E50:N50)</f>
        <v>80028</v>
      </c>
      <c r="P50" s="285"/>
    </row>
    <row r="51" spans="1:16" s="250" customFormat="1" ht="15" customHeight="1" hidden="1">
      <c r="A51" s="251"/>
      <c r="B51" s="251"/>
      <c r="C51" s="287" t="s">
        <v>1314</v>
      </c>
      <c r="D51" s="801">
        <v>152920</v>
      </c>
      <c r="E51" s="280"/>
      <c r="F51" s="206"/>
      <c r="G51" s="280"/>
      <c r="H51" s="280"/>
      <c r="I51" s="280"/>
      <c r="J51" s="280"/>
      <c r="K51" s="280"/>
      <c r="L51" s="280"/>
      <c r="M51" s="280"/>
      <c r="N51" s="280"/>
      <c r="O51" s="280">
        <f>SUM(E51:N51)</f>
        <v>0</v>
      </c>
      <c r="P51" s="285"/>
    </row>
    <row r="52" spans="1:15" s="250" customFormat="1" ht="27.75" customHeight="1">
      <c r="A52" s="251"/>
      <c r="B52" s="251"/>
      <c r="C52" s="180" t="s">
        <v>1315</v>
      </c>
      <c r="D52" s="635"/>
      <c r="E52" s="288"/>
      <c r="F52" s="288"/>
      <c r="G52" s="280"/>
      <c r="H52" s="206"/>
      <c r="I52" s="206"/>
      <c r="J52" s="206"/>
      <c r="K52" s="206"/>
      <c r="L52" s="206"/>
      <c r="M52" s="206"/>
      <c r="N52" s="206"/>
      <c r="O52" s="280"/>
    </row>
    <row r="53" spans="1:15" s="250" customFormat="1" ht="26.25" customHeight="1">
      <c r="A53" s="251"/>
      <c r="B53" s="251"/>
      <c r="C53" s="286" t="s">
        <v>1318</v>
      </c>
      <c r="D53" s="643">
        <v>151910</v>
      </c>
      <c r="E53" s="289"/>
      <c r="F53" s="288"/>
      <c r="G53" s="280"/>
      <c r="H53" s="206">
        <v>12700</v>
      </c>
      <c r="I53" s="206"/>
      <c r="J53" s="206"/>
      <c r="K53" s="206"/>
      <c r="L53" s="206"/>
      <c r="M53" s="206"/>
      <c r="N53" s="206"/>
      <c r="O53" s="280">
        <f>SUM(E53:N53)</f>
        <v>12700</v>
      </c>
    </row>
    <row r="54" spans="1:15" s="250" customFormat="1" ht="24.75" customHeight="1">
      <c r="A54" s="251"/>
      <c r="B54" s="251"/>
      <c r="C54" s="204" t="s">
        <v>359</v>
      </c>
      <c r="D54" s="643"/>
      <c r="E54" s="289"/>
      <c r="F54" s="288"/>
      <c r="G54" s="280"/>
      <c r="H54" s="206"/>
      <c r="I54" s="206"/>
      <c r="J54" s="206"/>
      <c r="K54" s="206"/>
      <c r="L54" s="206"/>
      <c r="M54" s="206"/>
      <c r="N54" s="206"/>
      <c r="O54" s="280"/>
    </row>
    <row r="55" spans="1:15" s="250" customFormat="1" ht="18.75" customHeight="1" hidden="1">
      <c r="A55" s="251"/>
      <c r="B55" s="251"/>
      <c r="C55" s="16" t="s">
        <v>939</v>
      </c>
      <c r="D55" s="643">
        <v>151601</v>
      </c>
      <c r="E55" s="289"/>
      <c r="F55" s="288"/>
      <c r="G55" s="280"/>
      <c r="H55" s="206"/>
      <c r="I55" s="206"/>
      <c r="J55" s="206"/>
      <c r="K55" s="206"/>
      <c r="L55" s="206"/>
      <c r="M55" s="206"/>
      <c r="N55" s="206"/>
      <c r="O55" s="280">
        <f>SUM(E55:N55)</f>
        <v>0</v>
      </c>
    </row>
    <row r="56" spans="1:15" s="250" customFormat="1" ht="23.25" customHeight="1">
      <c r="A56" s="251"/>
      <c r="B56" s="251"/>
      <c r="C56" s="178" t="s">
        <v>1231</v>
      </c>
      <c r="D56" s="802">
        <v>151514</v>
      </c>
      <c r="E56" s="289"/>
      <c r="F56" s="288"/>
      <c r="G56" s="280"/>
      <c r="H56" s="206">
        <v>434</v>
      </c>
      <c r="I56" s="206"/>
      <c r="J56" s="206"/>
      <c r="K56" s="206"/>
      <c r="L56" s="206"/>
      <c r="M56" s="206"/>
      <c r="N56" s="206"/>
      <c r="O56" s="280">
        <f>SUM(E56:N56)</f>
        <v>434</v>
      </c>
    </row>
    <row r="57" spans="1:15" s="250" customFormat="1" ht="18.75" customHeight="1">
      <c r="A57" s="251"/>
      <c r="B57" s="251"/>
      <c r="C57" s="16" t="s">
        <v>1342</v>
      </c>
      <c r="D57" s="643">
        <v>151607</v>
      </c>
      <c r="E57" s="289"/>
      <c r="F57" s="288"/>
      <c r="G57" s="280">
        <v>3300</v>
      </c>
      <c r="H57" s="206"/>
      <c r="I57" s="206"/>
      <c r="J57" s="206"/>
      <c r="K57" s="206"/>
      <c r="L57" s="206"/>
      <c r="M57" s="206"/>
      <c r="N57" s="206"/>
      <c r="O57" s="280">
        <f>SUM(E57:N57)</f>
        <v>3300</v>
      </c>
    </row>
    <row r="58" spans="1:15" s="250" customFormat="1" ht="12.75" customHeight="1">
      <c r="A58" s="264"/>
      <c r="B58" s="264"/>
      <c r="C58" s="290" t="s">
        <v>609</v>
      </c>
      <c r="D58" s="642"/>
      <c r="E58" s="266">
        <f>SUM(E34:E57)</f>
        <v>0</v>
      </c>
      <c r="F58" s="266">
        <f aca="true" t="shared" si="2" ref="F58:O58">SUM(F34:F57)</f>
        <v>0</v>
      </c>
      <c r="G58" s="266">
        <f t="shared" si="2"/>
        <v>3300</v>
      </c>
      <c r="H58" s="266">
        <f t="shared" si="2"/>
        <v>8272</v>
      </c>
      <c r="I58" s="266">
        <f t="shared" si="2"/>
        <v>0</v>
      </c>
      <c r="J58" s="266">
        <f t="shared" si="2"/>
        <v>92</v>
      </c>
      <c r="K58" s="266">
        <f t="shared" si="2"/>
        <v>2090</v>
      </c>
      <c r="L58" s="266">
        <f t="shared" si="2"/>
        <v>0</v>
      </c>
      <c r="M58" s="266">
        <f t="shared" si="2"/>
        <v>0</v>
      </c>
      <c r="N58" s="266">
        <f t="shared" si="2"/>
        <v>0</v>
      </c>
      <c r="O58" s="266">
        <f t="shared" si="2"/>
        <v>13754</v>
      </c>
    </row>
    <row r="59" spans="1:15" s="250" customFormat="1" ht="12.75" customHeight="1">
      <c r="A59" s="251">
        <v>1</v>
      </c>
      <c r="B59" s="251" t="s">
        <v>407</v>
      </c>
      <c r="C59" s="771" t="s">
        <v>471</v>
      </c>
      <c r="D59" s="644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</row>
    <row r="60" spans="1:15" s="250" customFormat="1" ht="27" customHeight="1" hidden="1">
      <c r="A60" s="251"/>
      <c r="B60" s="251"/>
      <c r="C60" s="180" t="s">
        <v>1320</v>
      </c>
      <c r="D60" s="635"/>
      <c r="E60" s="291"/>
      <c r="F60" s="280"/>
      <c r="G60" s="280"/>
      <c r="H60" s="280"/>
      <c r="I60" s="280"/>
      <c r="J60" s="280"/>
      <c r="K60" s="280"/>
      <c r="L60" s="280"/>
      <c r="M60" s="280"/>
      <c r="N60" s="280"/>
      <c r="O60" s="280"/>
    </row>
    <row r="61" spans="1:15" s="250" customFormat="1" ht="15" customHeight="1" hidden="1">
      <c r="A61" s="251"/>
      <c r="B61" s="251"/>
      <c r="C61" s="314" t="s">
        <v>1321</v>
      </c>
      <c r="D61" s="635">
        <v>162104</v>
      </c>
      <c r="E61" s="288"/>
      <c r="F61" s="288"/>
      <c r="G61" s="280"/>
      <c r="H61" s="280"/>
      <c r="I61" s="280"/>
      <c r="J61" s="280"/>
      <c r="K61" s="280"/>
      <c r="L61" s="280"/>
      <c r="M61" s="280"/>
      <c r="N61" s="280"/>
      <c r="O61" s="280">
        <f>SUM(E61:N61)</f>
        <v>0</v>
      </c>
    </row>
    <row r="62" spans="1:15" s="250" customFormat="1" ht="15" customHeight="1" hidden="1">
      <c r="A62" s="251"/>
      <c r="B62" s="251"/>
      <c r="C62" s="282" t="s">
        <v>1322</v>
      </c>
      <c r="D62" s="634"/>
      <c r="E62" s="280"/>
      <c r="F62" s="280"/>
      <c r="G62" s="280"/>
      <c r="H62" s="206"/>
      <c r="I62" s="206"/>
      <c r="J62" s="206"/>
      <c r="K62" s="206"/>
      <c r="L62" s="206"/>
      <c r="M62" s="206"/>
      <c r="N62" s="206"/>
      <c r="O62" s="280">
        <f>SUM(E62:N62)</f>
        <v>0</v>
      </c>
    </row>
    <row r="63" spans="1:15" s="250" customFormat="1" ht="36" customHeight="1" hidden="1">
      <c r="A63" s="251"/>
      <c r="B63" s="251"/>
      <c r="C63" s="296" t="s">
        <v>701</v>
      </c>
      <c r="D63" s="759">
        <v>162664</v>
      </c>
      <c r="E63" s="280"/>
      <c r="F63" s="280"/>
      <c r="G63" s="280"/>
      <c r="H63" s="206"/>
      <c r="I63" s="206"/>
      <c r="J63" s="206"/>
      <c r="K63" s="206"/>
      <c r="L63" s="206"/>
      <c r="M63" s="206"/>
      <c r="N63" s="206"/>
      <c r="O63" s="280">
        <f>SUM(E63:N63)</f>
        <v>0</v>
      </c>
    </row>
    <row r="64" spans="1:15" s="250" customFormat="1" ht="36" customHeight="1" hidden="1">
      <c r="A64" s="251"/>
      <c r="B64" s="251"/>
      <c r="C64" s="296" t="s">
        <v>702</v>
      </c>
      <c r="D64" s="759">
        <v>162665</v>
      </c>
      <c r="E64" s="280"/>
      <c r="F64" s="280"/>
      <c r="G64" s="280"/>
      <c r="H64" s="206"/>
      <c r="I64" s="206"/>
      <c r="J64" s="206"/>
      <c r="K64" s="206"/>
      <c r="L64" s="206"/>
      <c r="M64" s="206"/>
      <c r="N64" s="206"/>
      <c r="O64" s="280">
        <f>SUM(E64:N64)</f>
        <v>0</v>
      </c>
    </row>
    <row r="65" spans="1:15" s="250" customFormat="1" ht="36" customHeight="1" hidden="1">
      <c r="A65" s="251"/>
      <c r="B65" s="251"/>
      <c r="C65" s="787" t="s">
        <v>476</v>
      </c>
      <c r="D65" s="643">
        <v>162662</v>
      </c>
      <c r="E65" s="280"/>
      <c r="F65" s="280"/>
      <c r="G65" s="280"/>
      <c r="H65" s="206"/>
      <c r="I65" s="206"/>
      <c r="J65" s="206"/>
      <c r="K65" s="206"/>
      <c r="L65" s="206"/>
      <c r="M65" s="206"/>
      <c r="N65" s="206"/>
      <c r="O65" s="280">
        <f>SUM(E65:N65)</f>
        <v>0</v>
      </c>
    </row>
    <row r="66" spans="1:15" s="250" customFormat="1" ht="31.5" customHeight="1" hidden="1">
      <c r="A66" s="251"/>
      <c r="B66" s="251"/>
      <c r="C66" s="180" t="s">
        <v>1237</v>
      </c>
      <c r="D66" s="635"/>
      <c r="E66" s="280"/>
      <c r="F66" s="280"/>
      <c r="G66" s="280"/>
      <c r="H66" s="206"/>
      <c r="I66" s="206"/>
      <c r="J66" s="206"/>
      <c r="K66" s="206"/>
      <c r="L66" s="206"/>
      <c r="M66" s="206"/>
      <c r="N66" s="206"/>
      <c r="O66" s="280"/>
    </row>
    <row r="67" spans="1:15" s="250" customFormat="1" ht="49.5" customHeight="1" hidden="1">
      <c r="A67" s="251"/>
      <c r="B67" s="251"/>
      <c r="C67" s="787" t="s">
        <v>1323</v>
      </c>
      <c r="D67" s="643">
        <v>162711</v>
      </c>
      <c r="E67" s="280"/>
      <c r="F67" s="280"/>
      <c r="G67" s="280"/>
      <c r="H67" s="206"/>
      <c r="I67" s="206"/>
      <c r="J67" s="206"/>
      <c r="K67" s="206"/>
      <c r="L67" s="206"/>
      <c r="M67" s="206"/>
      <c r="N67" s="206"/>
      <c r="O67" s="280">
        <f aca="true" t="shared" si="3" ref="O67:O75">SUM(E67:N67)</f>
        <v>0</v>
      </c>
    </row>
    <row r="68" spans="1:15" s="250" customFormat="1" ht="63" customHeight="1" hidden="1">
      <c r="A68" s="251"/>
      <c r="B68" s="251"/>
      <c r="C68" s="788" t="s">
        <v>1324</v>
      </c>
      <c r="D68" s="643">
        <v>162712</v>
      </c>
      <c r="E68" s="280"/>
      <c r="F68" s="280"/>
      <c r="G68" s="280"/>
      <c r="H68" s="206"/>
      <c r="I68" s="206"/>
      <c r="J68" s="206"/>
      <c r="K68" s="206"/>
      <c r="L68" s="206"/>
      <c r="M68" s="206"/>
      <c r="N68" s="206"/>
      <c r="O68" s="280">
        <f t="shared" si="3"/>
        <v>0</v>
      </c>
    </row>
    <row r="69" spans="1:15" s="250" customFormat="1" ht="24.75" customHeight="1" hidden="1">
      <c r="A69" s="251"/>
      <c r="B69" s="251"/>
      <c r="C69" s="200" t="s">
        <v>1325</v>
      </c>
      <c r="D69" s="635"/>
      <c r="E69" s="293"/>
      <c r="F69" s="280"/>
      <c r="G69" s="280"/>
      <c r="H69" s="206"/>
      <c r="I69" s="206"/>
      <c r="J69" s="206"/>
      <c r="K69" s="206"/>
      <c r="L69" s="206"/>
      <c r="M69" s="206"/>
      <c r="N69" s="206"/>
      <c r="O69" s="280"/>
    </row>
    <row r="70" spans="1:15" s="250" customFormat="1" ht="24.75" customHeight="1" hidden="1">
      <c r="A70" s="251"/>
      <c r="B70" s="251"/>
      <c r="C70" s="787" t="s">
        <v>430</v>
      </c>
      <c r="D70" s="643">
        <v>162674</v>
      </c>
      <c r="E70" s="280"/>
      <c r="F70" s="280"/>
      <c r="G70" s="280"/>
      <c r="H70" s="206"/>
      <c r="I70" s="206"/>
      <c r="J70" s="206"/>
      <c r="K70" s="206"/>
      <c r="L70" s="206"/>
      <c r="M70" s="206"/>
      <c r="N70" s="206"/>
      <c r="O70" s="280">
        <f t="shared" si="3"/>
        <v>0</v>
      </c>
    </row>
    <row r="71" spans="1:15" s="250" customFormat="1" ht="24.75" customHeight="1">
      <c r="A71" s="251"/>
      <c r="B71" s="251"/>
      <c r="C71" s="770" t="s">
        <v>1078</v>
      </c>
      <c r="D71" s="637"/>
      <c r="E71" s="280"/>
      <c r="F71" s="280"/>
      <c r="G71" s="280"/>
      <c r="H71" s="206"/>
      <c r="I71" s="206"/>
      <c r="J71" s="206"/>
      <c r="K71" s="206"/>
      <c r="L71" s="206"/>
      <c r="M71" s="206"/>
      <c r="N71" s="206"/>
      <c r="O71" s="280">
        <f t="shared" si="3"/>
        <v>0</v>
      </c>
    </row>
    <row r="72" spans="1:15" s="250" customFormat="1" ht="49.5" customHeight="1" hidden="1">
      <c r="A72" s="251"/>
      <c r="B72" s="251"/>
      <c r="C72" s="789" t="s">
        <v>1326</v>
      </c>
      <c r="D72" s="759">
        <v>162671</v>
      </c>
      <c r="E72" s="280"/>
      <c r="F72" s="280"/>
      <c r="G72" s="280"/>
      <c r="H72" s="206"/>
      <c r="I72" s="206"/>
      <c r="J72" s="206"/>
      <c r="K72" s="206"/>
      <c r="L72" s="206"/>
      <c r="M72" s="206"/>
      <c r="N72" s="206"/>
      <c r="O72" s="280">
        <f t="shared" si="3"/>
        <v>0</v>
      </c>
    </row>
    <row r="73" spans="1:15" s="250" customFormat="1" ht="37.5" customHeight="1">
      <c r="A73" s="251"/>
      <c r="B73" s="251"/>
      <c r="C73" s="711" t="s">
        <v>557</v>
      </c>
      <c r="D73" s="643">
        <v>162673</v>
      </c>
      <c r="E73" s="280">
        <v>3323</v>
      </c>
      <c r="F73" s="280">
        <v>-3323</v>
      </c>
      <c r="G73" s="280"/>
      <c r="H73" s="206"/>
      <c r="I73" s="206"/>
      <c r="J73" s="206"/>
      <c r="K73" s="206"/>
      <c r="L73" s="206"/>
      <c r="M73" s="206"/>
      <c r="N73" s="206"/>
      <c r="O73" s="280">
        <f t="shared" si="3"/>
        <v>0</v>
      </c>
    </row>
    <row r="74" spans="1:15" s="250" customFormat="1" ht="37.5" customHeight="1" hidden="1">
      <c r="A74" s="251"/>
      <c r="B74" s="251"/>
      <c r="C74" s="296" t="s">
        <v>1236</v>
      </c>
      <c r="D74" s="759">
        <v>162606</v>
      </c>
      <c r="E74" s="288"/>
      <c r="F74" s="288"/>
      <c r="G74" s="280"/>
      <c r="H74" s="206"/>
      <c r="I74" s="206"/>
      <c r="J74" s="206"/>
      <c r="K74" s="206"/>
      <c r="L74" s="206"/>
      <c r="M74" s="206"/>
      <c r="N74" s="206"/>
      <c r="O74" s="280">
        <f t="shared" si="3"/>
        <v>0</v>
      </c>
    </row>
    <row r="75" spans="1:15" s="250" customFormat="1" ht="29.25" customHeight="1" hidden="1">
      <c r="A75" s="251"/>
      <c r="B75" s="251"/>
      <c r="C75" s="134" t="s">
        <v>1327</v>
      </c>
      <c r="D75" s="801">
        <v>162678</v>
      </c>
      <c r="E75" s="288"/>
      <c r="F75" s="288"/>
      <c r="G75" s="280"/>
      <c r="H75" s="206"/>
      <c r="I75" s="206"/>
      <c r="J75" s="206"/>
      <c r="K75" s="206"/>
      <c r="L75" s="206"/>
      <c r="M75" s="206"/>
      <c r="N75" s="206"/>
      <c r="O75" s="280">
        <f t="shared" si="3"/>
        <v>0</v>
      </c>
    </row>
    <row r="76" spans="1:15" s="250" customFormat="1" ht="15" customHeight="1" hidden="1">
      <c r="A76" s="251"/>
      <c r="B76" s="251"/>
      <c r="C76" s="297" t="s">
        <v>1074</v>
      </c>
      <c r="D76" s="634"/>
      <c r="E76" s="298"/>
      <c r="F76" s="288"/>
      <c r="G76" s="280"/>
      <c r="H76" s="206"/>
      <c r="I76" s="206"/>
      <c r="J76" s="206"/>
      <c r="K76" s="206"/>
      <c r="L76" s="206"/>
      <c r="M76" s="206"/>
      <c r="N76" s="206"/>
      <c r="O76" s="280"/>
    </row>
    <row r="77" spans="1:15" s="250" customFormat="1" ht="39.75" customHeight="1" hidden="1">
      <c r="A77" s="251"/>
      <c r="B77" s="251"/>
      <c r="C77" s="299" t="s">
        <v>1328</v>
      </c>
      <c r="D77" s="759">
        <v>162973</v>
      </c>
      <c r="E77" s="288"/>
      <c r="F77" s="288"/>
      <c r="G77" s="280"/>
      <c r="H77" s="206"/>
      <c r="I77" s="206"/>
      <c r="J77" s="206"/>
      <c r="K77" s="206"/>
      <c r="L77" s="206"/>
      <c r="M77" s="206"/>
      <c r="N77" s="206"/>
      <c r="O77" s="280">
        <f>SUM(E77:N77)</f>
        <v>0</v>
      </c>
    </row>
    <row r="78" spans="1:15" s="250" customFormat="1" ht="39.75" customHeight="1" hidden="1">
      <c r="A78" s="251"/>
      <c r="B78" s="251"/>
      <c r="C78" s="299" t="s">
        <v>1329</v>
      </c>
      <c r="D78" s="759">
        <v>162974</v>
      </c>
      <c r="E78" s="288"/>
      <c r="F78" s="288"/>
      <c r="G78" s="280"/>
      <c r="H78" s="206"/>
      <c r="I78" s="206"/>
      <c r="J78" s="206"/>
      <c r="K78" s="206"/>
      <c r="L78" s="206"/>
      <c r="M78" s="206"/>
      <c r="N78" s="206"/>
      <c r="O78" s="280">
        <f>SUM(E78:N78)</f>
        <v>0</v>
      </c>
    </row>
    <row r="79" spans="1:15" s="250" customFormat="1" ht="29.25" customHeight="1">
      <c r="A79" s="251"/>
      <c r="B79" s="251"/>
      <c r="C79" s="180" t="s">
        <v>372</v>
      </c>
      <c r="D79" s="759"/>
      <c r="E79" s="288"/>
      <c r="F79" s="288"/>
      <c r="G79" s="280"/>
      <c r="H79" s="206"/>
      <c r="I79" s="206"/>
      <c r="J79" s="206"/>
      <c r="K79" s="206"/>
      <c r="L79" s="206"/>
      <c r="M79" s="206"/>
      <c r="N79" s="206"/>
      <c r="O79" s="280"/>
    </row>
    <row r="80" spans="1:15" s="250" customFormat="1" ht="32.25" customHeight="1" hidden="1">
      <c r="A80" s="251"/>
      <c r="B80" s="251"/>
      <c r="C80" s="790" t="s">
        <v>587</v>
      </c>
      <c r="D80" s="759">
        <v>161905</v>
      </c>
      <c r="E80" s="288"/>
      <c r="F80" s="288"/>
      <c r="G80" s="280"/>
      <c r="H80" s="206"/>
      <c r="I80" s="206"/>
      <c r="J80" s="206"/>
      <c r="K80" s="206"/>
      <c r="L80" s="206"/>
      <c r="M80" s="206"/>
      <c r="N80" s="206"/>
      <c r="O80" s="280">
        <f>SUM(E80:N80)</f>
        <v>0</v>
      </c>
    </row>
    <row r="81" spans="1:15" s="250" customFormat="1" ht="32.25" customHeight="1">
      <c r="A81" s="251"/>
      <c r="B81" s="251"/>
      <c r="C81" s="790" t="s">
        <v>158</v>
      </c>
      <c r="D81" s="759">
        <v>161906</v>
      </c>
      <c r="E81" s="288"/>
      <c r="F81" s="288"/>
      <c r="G81" s="280"/>
      <c r="H81" s="206">
        <v>17145</v>
      </c>
      <c r="I81" s="206"/>
      <c r="J81" s="206"/>
      <c r="K81" s="206"/>
      <c r="L81" s="206"/>
      <c r="M81" s="206"/>
      <c r="N81" s="206"/>
      <c r="O81" s="280">
        <f>SUM(E81:N81)</f>
        <v>17145</v>
      </c>
    </row>
    <row r="82" spans="1:15" s="250" customFormat="1" ht="27.75" customHeight="1" hidden="1">
      <c r="A82" s="251"/>
      <c r="B82" s="251"/>
      <c r="C82" s="386" t="s">
        <v>830</v>
      </c>
      <c r="D82" s="759">
        <v>162641</v>
      </c>
      <c r="E82" s="288"/>
      <c r="F82" s="288"/>
      <c r="G82" s="280"/>
      <c r="H82" s="206"/>
      <c r="I82" s="206"/>
      <c r="J82" s="206"/>
      <c r="K82" s="206"/>
      <c r="L82" s="206"/>
      <c r="M82" s="206"/>
      <c r="N82" s="206"/>
      <c r="O82" s="280">
        <f>SUM(E82:N82)</f>
        <v>0</v>
      </c>
    </row>
    <row r="83" spans="1:15" s="250" customFormat="1" ht="28.5" customHeight="1" hidden="1">
      <c r="A83" s="251"/>
      <c r="B83" s="251"/>
      <c r="C83" s="471" t="s">
        <v>831</v>
      </c>
      <c r="D83" s="759">
        <v>164906</v>
      </c>
      <c r="E83" s="288"/>
      <c r="F83" s="288"/>
      <c r="G83" s="280"/>
      <c r="H83" s="206"/>
      <c r="I83" s="206"/>
      <c r="J83" s="206"/>
      <c r="K83" s="206"/>
      <c r="L83" s="206"/>
      <c r="M83" s="206"/>
      <c r="N83" s="206"/>
      <c r="O83" s="280">
        <f>SUM(E83:N83)</f>
        <v>0</v>
      </c>
    </row>
    <row r="84" spans="1:15" s="250" customFormat="1" ht="12.75" customHeight="1">
      <c r="A84" s="264"/>
      <c r="B84" s="264"/>
      <c r="C84" s="290" t="s">
        <v>463</v>
      </c>
      <c r="D84" s="642"/>
      <c r="E84" s="266">
        <f>SUM(E60:E83)</f>
        <v>3323</v>
      </c>
      <c r="F84" s="266">
        <f aca="true" t="shared" si="4" ref="F84:O84">SUM(F60:F83)</f>
        <v>-3323</v>
      </c>
      <c r="G84" s="266">
        <f t="shared" si="4"/>
        <v>0</v>
      </c>
      <c r="H84" s="266">
        <f t="shared" si="4"/>
        <v>17145</v>
      </c>
      <c r="I84" s="266">
        <f t="shared" si="4"/>
        <v>0</v>
      </c>
      <c r="J84" s="266">
        <f t="shared" si="4"/>
        <v>0</v>
      </c>
      <c r="K84" s="266">
        <f t="shared" si="4"/>
        <v>0</v>
      </c>
      <c r="L84" s="266">
        <f t="shared" si="4"/>
        <v>0</v>
      </c>
      <c r="M84" s="266">
        <f t="shared" si="4"/>
        <v>0</v>
      </c>
      <c r="N84" s="266">
        <f t="shared" si="4"/>
        <v>0</v>
      </c>
      <c r="O84" s="266">
        <f t="shared" si="4"/>
        <v>17145</v>
      </c>
    </row>
    <row r="85" spans="1:15" s="250" customFormat="1" ht="12.75" customHeight="1">
      <c r="A85" s="251">
        <v>1</v>
      </c>
      <c r="B85" s="251">
        <v>17</v>
      </c>
      <c r="C85" s="771" t="s">
        <v>690</v>
      </c>
      <c r="D85" s="644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</row>
    <row r="86" spans="1:15" s="250" customFormat="1" ht="24" customHeight="1">
      <c r="A86" s="251"/>
      <c r="B86" s="251"/>
      <c r="C86" s="180" t="s">
        <v>372</v>
      </c>
      <c r="D86" s="635"/>
      <c r="E86" s="281"/>
      <c r="F86" s="280"/>
      <c r="G86" s="280"/>
      <c r="H86" s="280"/>
      <c r="I86" s="280"/>
      <c r="J86" s="280"/>
      <c r="K86" s="280"/>
      <c r="L86" s="280"/>
      <c r="M86" s="280"/>
      <c r="N86" s="280"/>
      <c r="O86" s="280"/>
    </row>
    <row r="87" spans="1:16" s="250" customFormat="1" ht="13.5" customHeight="1" hidden="1">
      <c r="A87" s="251"/>
      <c r="B87" s="251"/>
      <c r="C87" s="282" t="s">
        <v>1330</v>
      </c>
      <c r="D87" s="634">
        <v>171907</v>
      </c>
      <c r="E87" s="280"/>
      <c r="F87" s="280"/>
      <c r="G87" s="280"/>
      <c r="H87" s="280"/>
      <c r="I87" s="206"/>
      <c r="J87" s="280"/>
      <c r="K87" s="280"/>
      <c r="L87" s="280"/>
      <c r="M87" s="280"/>
      <c r="N87" s="280"/>
      <c r="O87" s="280">
        <f>SUM(E87:N87)</f>
        <v>0</v>
      </c>
      <c r="P87" s="285"/>
    </row>
    <row r="88" spans="1:16" s="250" customFormat="1" ht="13.5" customHeight="1" hidden="1">
      <c r="A88" s="251"/>
      <c r="B88" s="251"/>
      <c r="C88" s="282" t="s">
        <v>1331</v>
      </c>
      <c r="D88" s="634">
        <v>171916</v>
      </c>
      <c r="E88" s="280"/>
      <c r="F88" s="280"/>
      <c r="G88" s="280"/>
      <c r="H88" s="280"/>
      <c r="I88" s="206"/>
      <c r="J88" s="280"/>
      <c r="K88" s="280"/>
      <c r="L88" s="280"/>
      <c r="M88" s="280"/>
      <c r="N88" s="280"/>
      <c r="O88" s="280">
        <f>SUM(E88:N88)</f>
        <v>0</v>
      </c>
      <c r="P88" s="285"/>
    </row>
    <row r="89" spans="1:15" s="250" customFormat="1" ht="16.5" customHeight="1" hidden="1">
      <c r="A89" s="251"/>
      <c r="B89" s="251"/>
      <c r="C89" s="791" t="s">
        <v>1332</v>
      </c>
      <c r="D89" s="702">
        <v>171912</v>
      </c>
      <c r="E89" s="280"/>
      <c r="F89" s="280"/>
      <c r="G89" s="280"/>
      <c r="H89" s="280"/>
      <c r="I89" s="206"/>
      <c r="J89" s="280"/>
      <c r="K89" s="280"/>
      <c r="L89" s="280"/>
      <c r="M89" s="280"/>
      <c r="N89" s="280"/>
      <c r="O89" s="280">
        <f>SUM(E89:N89)</f>
        <v>0</v>
      </c>
    </row>
    <row r="90" spans="1:15" s="250" customFormat="1" ht="25.5" customHeight="1" hidden="1">
      <c r="A90" s="251"/>
      <c r="B90" s="251"/>
      <c r="C90" s="791" t="s">
        <v>231</v>
      </c>
      <c r="D90" s="635">
        <v>172912</v>
      </c>
      <c r="E90" s="280"/>
      <c r="F90" s="280"/>
      <c r="G90" s="280"/>
      <c r="H90" s="280"/>
      <c r="I90" s="206"/>
      <c r="J90" s="280"/>
      <c r="K90" s="280"/>
      <c r="L90" s="280"/>
      <c r="M90" s="280"/>
      <c r="N90" s="280"/>
      <c r="O90" s="280">
        <f>SUM(E90:N90)</f>
        <v>0</v>
      </c>
    </row>
    <row r="91" spans="1:15" s="250" customFormat="1" ht="16.5" customHeight="1">
      <c r="A91" s="251"/>
      <c r="B91" s="251"/>
      <c r="C91" s="745" t="s">
        <v>1343</v>
      </c>
      <c r="D91" s="643">
        <v>172917</v>
      </c>
      <c r="E91" s="280"/>
      <c r="F91" s="280"/>
      <c r="G91" s="280"/>
      <c r="H91" s="280"/>
      <c r="I91" s="206">
        <v>2100</v>
      </c>
      <c r="J91" s="280"/>
      <c r="K91" s="280"/>
      <c r="L91" s="280"/>
      <c r="M91" s="280"/>
      <c r="N91" s="280"/>
      <c r="O91" s="280">
        <f>SUM(E91:N91)</f>
        <v>2100</v>
      </c>
    </row>
    <row r="92" spans="1:15" s="250" customFormat="1" ht="25.5" customHeight="1" hidden="1">
      <c r="A92" s="251"/>
      <c r="B92" s="251"/>
      <c r="C92" s="314" t="s">
        <v>1353</v>
      </c>
      <c r="D92" s="635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</row>
    <row r="93" spans="1:15" s="250" customFormat="1" ht="13.5" customHeight="1" hidden="1">
      <c r="A93" s="251"/>
      <c r="B93" s="251"/>
      <c r="C93" s="792" t="s">
        <v>1354</v>
      </c>
      <c r="D93" s="634">
        <v>171980</v>
      </c>
      <c r="E93" s="280"/>
      <c r="F93" s="280"/>
      <c r="G93" s="280"/>
      <c r="H93" s="206"/>
      <c r="I93" s="280"/>
      <c r="J93" s="280"/>
      <c r="K93" s="280"/>
      <c r="L93" s="280"/>
      <c r="M93" s="280"/>
      <c r="N93" s="280"/>
      <c r="O93" s="280">
        <f>SUM(E93:N93)</f>
        <v>0</v>
      </c>
    </row>
    <row r="94" spans="1:15" s="250" customFormat="1" ht="26.25" customHeight="1" hidden="1">
      <c r="A94" s="303"/>
      <c r="B94" s="303"/>
      <c r="C94" s="180" t="s">
        <v>372</v>
      </c>
      <c r="D94" s="635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280"/>
    </row>
    <row r="95" spans="1:15" s="250" customFormat="1" ht="26.25" customHeight="1" hidden="1">
      <c r="A95" s="303"/>
      <c r="B95" s="303"/>
      <c r="C95" s="314" t="s">
        <v>794</v>
      </c>
      <c r="D95" s="635">
        <v>171905</v>
      </c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>
        <f>SUM(E95:N95)</f>
        <v>0</v>
      </c>
    </row>
    <row r="96" spans="1:15" s="250" customFormat="1" ht="13.5" customHeight="1" hidden="1">
      <c r="A96" s="305"/>
      <c r="B96" s="305"/>
      <c r="C96" s="282" t="s">
        <v>1355</v>
      </c>
      <c r="D96" s="636">
        <v>171909</v>
      </c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>
        <f>SUM(E96:N96)</f>
        <v>0</v>
      </c>
    </row>
    <row r="97" spans="1:15" s="250" customFormat="1" ht="13.5" customHeight="1" hidden="1">
      <c r="A97" s="305"/>
      <c r="B97" s="305"/>
      <c r="C97" s="793" t="s">
        <v>1356</v>
      </c>
      <c r="D97" s="636">
        <v>171904</v>
      </c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280">
        <f>SUM(E97:N97)</f>
        <v>0</v>
      </c>
    </row>
    <row r="98" spans="1:15" s="250" customFormat="1" ht="20.25" customHeight="1" hidden="1">
      <c r="A98" s="305"/>
      <c r="B98" s="305"/>
      <c r="C98" s="770" t="s">
        <v>1069</v>
      </c>
      <c r="D98" s="636">
        <v>171967</v>
      </c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280">
        <f>SUM(E98:N98)</f>
        <v>0</v>
      </c>
    </row>
    <row r="99" spans="1:15" s="250" customFormat="1" ht="24.75" customHeight="1" hidden="1">
      <c r="A99" s="305"/>
      <c r="B99" s="305"/>
      <c r="C99" s="770" t="s">
        <v>1078</v>
      </c>
      <c r="D99" s="637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280"/>
    </row>
    <row r="100" spans="1:15" s="250" customFormat="1" ht="15" customHeight="1" hidden="1">
      <c r="A100" s="305"/>
      <c r="B100" s="305"/>
      <c r="C100" s="282" t="s">
        <v>1357</v>
      </c>
      <c r="D100" s="634">
        <v>171901</v>
      </c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280">
        <f>SUM(E100:N100)</f>
        <v>0</v>
      </c>
    </row>
    <row r="101" spans="1:15" s="250" customFormat="1" ht="24.75" customHeight="1" hidden="1">
      <c r="A101" s="251"/>
      <c r="B101" s="251"/>
      <c r="C101" s="794" t="s">
        <v>1358</v>
      </c>
      <c r="D101" s="635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</row>
    <row r="102" spans="1:15" s="250" customFormat="1" ht="18" customHeight="1" hidden="1">
      <c r="A102" s="251"/>
      <c r="B102" s="251"/>
      <c r="C102" s="795" t="s">
        <v>1359</v>
      </c>
      <c r="D102" s="638">
        <v>171908</v>
      </c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>
        <f>SUM(E102:N102)</f>
        <v>0</v>
      </c>
    </row>
    <row r="103" spans="1:15" s="250" customFormat="1" ht="24.75" customHeight="1" hidden="1">
      <c r="A103" s="251"/>
      <c r="B103" s="251"/>
      <c r="C103" s="180" t="s">
        <v>372</v>
      </c>
      <c r="D103" s="635"/>
      <c r="E103" s="306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</row>
    <row r="104" spans="1:15" s="250" customFormat="1" ht="13.5" customHeight="1">
      <c r="A104" s="251"/>
      <c r="B104" s="251"/>
      <c r="C104" s="796" t="s">
        <v>1360</v>
      </c>
      <c r="D104" s="639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</row>
    <row r="105" spans="1:15" s="250" customFormat="1" ht="24.75" customHeight="1" hidden="1">
      <c r="A105" s="251"/>
      <c r="B105" s="251"/>
      <c r="C105" s="197" t="s">
        <v>1361</v>
      </c>
      <c r="D105" s="643"/>
      <c r="E105" s="31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</row>
    <row r="106" spans="1:15" s="250" customFormat="1" ht="24.75" customHeight="1" hidden="1">
      <c r="A106" s="251"/>
      <c r="B106" s="251"/>
      <c r="C106" s="314" t="s">
        <v>1362</v>
      </c>
      <c r="D106" s="635">
        <v>121401</v>
      </c>
      <c r="E106" s="288"/>
      <c r="F106" s="289"/>
      <c r="G106" s="288"/>
      <c r="H106" s="280"/>
      <c r="I106" s="280"/>
      <c r="J106" s="280"/>
      <c r="K106" s="280"/>
      <c r="L106" s="280"/>
      <c r="M106" s="280"/>
      <c r="N106" s="280"/>
      <c r="O106" s="280">
        <f>SUM(E106:N106)</f>
        <v>0</v>
      </c>
    </row>
    <row r="107" spans="1:15" s="250" customFormat="1" ht="24.75" customHeight="1">
      <c r="A107" s="251"/>
      <c r="B107" s="251"/>
      <c r="C107" s="260" t="s">
        <v>373</v>
      </c>
      <c r="D107" s="778"/>
      <c r="E107" s="288"/>
      <c r="F107" s="289"/>
      <c r="G107" s="288"/>
      <c r="H107" s="280"/>
      <c r="I107" s="280"/>
      <c r="J107" s="280"/>
      <c r="K107" s="280"/>
      <c r="L107" s="280"/>
      <c r="M107" s="280"/>
      <c r="N107" s="280"/>
      <c r="O107" s="280"/>
    </row>
    <row r="108" spans="1:16" s="250" customFormat="1" ht="24.75" customHeight="1" hidden="1">
      <c r="A108" s="251"/>
      <c r="B108" s="251"/>
      <c r="C108" s="770" t="s">
        <v>1363</v>
      </c>
      <c r="D108" s="637">
        <v>176902</v>
      </c>
      <c r="E108" s="288"/>
      <c r="F108" s="288"/>
      <c r="G108" s="288"/>
      <c r="H108" s="280"/>
      <c r="I108" s="280"/>
      <c r="J108" s="280"/>
      <c r="K108" s="280"/>
      <c r="L108" s="280"/>
      <c r="M108" s="206"/>
      <c r="N108" s="280"/>
      <c r="O108" s="280">
        <f>SUM(E108:N108)</f>
        <v>0</v>
      </c>
      <c r="P108" s="285"/>
    </row>
    <row r="109" spans="1:16" s="250" customFormat="1" ht="24.75" customHeight="1">
      <c r="A109" s="251"/>
      <c r="B109" s="251"/>
      <c r="C109" s="746" t="s">
        <v>1344</v>
      </c>
      <c r="D109" s="802">
        <v>171954</v>
      </c>
      <c r="E109" s="288"/>
      <c r="F109" s="288"/>
      <c r="G109" s="288"/>
      <c r="H109" s="280">
        <v>2300</v>
      </c>
      <c r="I109" s="280"/>
      <c r="J109" s="280"/>
      <c r="K109" s="280"/>
      <c r="L109" s="280"/>
      <c r="M109" s="206"/>
      <c r="N109" s="280"/>
      <c r="O109" s="280">
        <f>SUM(E109:N109)</f>
        <v>2300</v>
      </c>
      <c r="P109" s="285"/>
    </row>
    <row r="110" spans="1:15" s="250" customFormat="1" ht="12" customHeight="1">
      <c r="A110" s="264"/>
      <c r="B110" s="264"/>
      <c r="C110" s="290" t="s">
        <v>1364</v>
      </c>
      <c r="D110" s="642"/>
      <c r="E110" s="266">
        <f>SUM(E85:E109)</f>
        <v>0</v>
      </c>
      <c r="F110" s="266">
        <f aca="true" t="shared" si="5" ref="F110:O110">SUM(F85:F109)</f>
        <v>0</v>
      </c>
      <c r="G110" s="266">
        <f t="shared" si="5"/>
        <v>0</v>
      </c>
      <c r="H110" s="266">
        <f t="shared" si="5"/>
        <v>2300</v>
      </c>
      <c r="I110" s="266">
        <f t="shared" si="5"/>
        <v>2100</v>
      </c>
      <c r="J110" s="266">
        <f t="shared" si="5"/>
        <v>0</v>
      </c>
      <c r="K110" s="266">
        <f t="shared" si="5"/>
        <v>0</v>
      </c>
      <c r="L110" s="266">
        <f t="shared" si="5"/>
        <v>0</v>
      </c>
      <c r="M110" s="266">
        <f t="shared" si="5"/>
        <v>0</v>
      </c>
      <c r="N110" s="266">
        <f t="shared" si="5"/>
        <v>0</v>
      </c>
      <c r="O110" s="266">
        <f t="shared" si="5"/>
        <v>4400</v>
      </c>
    </row>
    <row r="111" spans="1:15" s="250" customFormat="1" ht="12" customHeight="1">
      <c r="A111" s="267">
        <v>1</v>
      </c>
      <c r="B111" s="267">
        <v>18</v>
      </c>
      <c r="C111" s="314" t="s">
        <v>357</v>
      </c>
      <c r="D111" s="635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</row>
    <row r="112" spans="1:15" s="250" customFormat="1" ht="24.75" customHeight="1">
      <c r="A112" s="251"/>
      <c r="B112" s="251"/>
      <c r="C112" s="180" t="s">
        <v>372</v>
      </c>
      <c r="D112" s="635"/>
      <c r="E112" s="288"/>
      <c r="F112" s="288"/>
      <c r="G112" s="288"/>
      <c r="H112" s="280"/>
      <c r="I112" s="280"/>
      <c r="J112" s="280"/>
      <c r="K112" s="280"/>
      <c r="L112" s="280"/>
      <c r="M112" s="280"/>
      <c r="N112" s="280"/>
      <c r="O112" s="280"/>
    </row>
    <row r="113" spans="1:15" s="250" customFormat="1" ht="24.75" customHeight="1" hidden="1">
      <c r="A113" s="251"/>
      <c r="B113" s="251"/>
      <c r="C113" s="197" t="s">
        <v>1193</v>
      </c>
      <c r="D113" s="643">
        <v>181901</v>
      </c>
      <c r="E113" s="288"/>
      <c r="F113" s="288"/>
      <c r="G113" s="288"/>
      <c r="H113" s="280"/>
      <c r="I113" s="280"/>
      <c r="J113" s="280"/>
      <c r="K113" s="280"/>
      <c r="L113" s="280"/>
      <c r="M113" s="280"/>
      <c r="N113" s="280"/>
      <c r="O113" s="280">
        <f aca="true" t="shared" si="6" ref="O113:O118">SUM(E113:N113)</f>
        <v>0</v>
      </c>
    </row>
    <row r="114" spans="1:15" s="250" customFormat="1" ht="12" customHeight="1" hidden="1">
      <c r="A114" s="251"/>
      <c r="B114" s="251"/>
      <c r="C114" s="314" t="s">
        <v>754</v>
      </c>
      <c r="D114" s="635">
        <v>181905</v>
      </c>
      <c r="E114" s="288"/>
      <c r="F114" s="288"/>
      <c r="G114" s="288"/>
      <c r="H114" s="280"/>
      <c r="I114" s="280"/>
      <c r="J114" s="280"/>
      <c r="K114" s="280"/>
      <c r="L114" s="280"/>
      <c r="M114" s="280"/>
      <c r="N114" s="280"/>
      <c r="O114" s="280">
        <f t="shared" si="6"/>
        <v>0</v>
      </c>
    </row>
    <row r="115" spans="1:15" s="250" customFormat="1" ht="15" customHeight="1" hidden="1">
      <c r="A115" s="251"/>
      <c r="B115" s="251"/>
      <c r="C115" s="180" t="s">
        <v>755</v>
      </c>
      <c r="D115" s="635">
        <v>181903</v>
      </c>
      <c r="E115" s="311"/>
      <c r="F115" s="288"/>
      <c r="G115" s="289"/>
      <c r="H115" s="280"/>
      <c r="I115" s="280"/>
      <c r="J115" s="280"/>
      <c r="K115" s="280"/>
      <c r="L115" s="280"/>
      <c r="M115" s="280"/>
      <c r="N115" s="280"/>
      <c r="O115" s="280">
        <f t="shared" si="6"/>
        <v>0</v>
      </c>
    </row>
    <row r="116" spans="1:15" s="250" customFormat="1" ht="27.75" customHeight="1" hidden="1">
      <c r="A116" s="251"/>
      <c r="B116" s="251"/>
      <c r="C116" s="180" t="s">
        <v>1365</v>
      </c>
      <c r="D116" s="635">
        <v>181904</v>
      </c>
      <c r="E116" s="311"/>
      <c r="F116" s="288"/>
      <c r="G116" s="289"/>
      <c r="H116" s="280"/>
      <c r="I116" s="280"/>
      <c r="J116" s="280"/>
      <c r="K116" s="280"/>
      <c r="L116" s="280"/>
      <c r="M116" s="280"/>
      <c r="N116" s="280"/>
      <c r="O116" s="280">
        <f t="shared" si="6"/>
        <v>0</v>
      </c>
    </row>
    <row r="117" spans="1:15" s="250" customFormat="1" ht="15" customHeight="1" hidden="1">
      <c r="A117" s="251" t="s">
        <v>1366</v>
      </c>
      <c r="B117" s="251"/>
      <c r="C117" s="314" t="s">
        <v>756</v>
      </c>
      <c r="D117" s="635">
        <v>181902</v>
      </c>
      <c r="E117" s="288"/>
      <c r="F117" s="288"/>
      <c r="G117" s="288"/>
      <c r="H117" s="280"/>
      <c r="I117" s="280"/>
      <c r="J117" s="280"/>
      <c r="K117" s="280"/>
      <c r="L117" s="280"/>
      <c r="M117" s="280"/>
      <c r="N117" s="280"/>
      <c r="O117" s="280">
        <f t="shared" si="6"/>
        <v>0</v>
      </c>
    </row>
    <row r="118" spans="1:15" s="250" customFormat="1" ht="23.25" customHeight="1">
      <c r="A118" s="251"/>
      <c r="B118" s="251"/>
      <c r="C118" s="691" t="s">
        <v>1345</v>
      </c>
      <c r="D118" s="802">
        <v>181907</v>
      </c>
      <c r="E118" s="288"/>
      <c r="F118" s="288"/>
      <c r="G118" s="288"/>
      <c r="H118" s="280">
        <v>275</v>
      </c>
      <c r="I118" s="280"/>
      <c r="J118" s="280"/>
      <c r="K118" s="280"/>
      <c r="L118" s="280"/>
      <c r="M118" s="280"/>
      <c r="N118" s="280"/>
      <c r="O118" s="280">
        <f t="shared" si="6"/>
        <v>275</v>
      </c>
    </row>
    <row r="119" spans="1:15" s="250" customFormat="1" ht="14.25" customHeight="1">
      <c r="A119" s="264"/>
      <c r="B119" s="264"/>
      <c r="C119" s="290" t="s">
        <v>1367</v>
      </c>
      <c r="D119" s="642"/>
      <c r="E119" s="312">
        <f>SUM(E113:E118)</f>
        <v>0</v>
      </c>
      <c r="F119" s="312">
        <f aca="true" t="shared" si="7" ref="F119:O119">SUM(F113:F118)</f>
        <v>0</v>
      </c>
      <c r="G119" s="312">
        <f t="shared" si="7"/>
        <v>0</v>
      </c>
      <c r="H119" s="312">
        <f t="shared" si="7"/>
        <v>275</v>
      </c>
      <c r="I119" s="312">
        <f t="shared" si="7"/>
        <v>0</v>
      </c>
      <c r="J119" s="312">
        <f t="shared" si="7"/>
        <v>0</v>
      </c>
      <c r="K119" s="312">
        <f t="shared" si="7"/>
        <v>0</v>
      </c>
      <c r="L119" s="312">
        <f t="shared" si="7"/>
        <v>0</v>
      </c>
      <c r="M119" s="312">
        <f t="shared" si="7"/>
        <v>0</v>
      </c>
      <c r="N119" s="312">
        <f t="shared" si="7"/>
        <v>0</v>
      </c>
      <c r="O119" s="312">
        <f t="shared" si="7"/>
        <v>275</v>
      </c>
    </row>
    <row r="120" spans="1:15" s="250" customFormat="1" ht="12" customHeight="1">
      <c r="A120" s="251">
        <v>1</v>
      </c>
      <c r="B120" s="251">
        <v>19</v>
      </c>
      <c r="C120" s="771" t="s">
        <v>691</v>
      </c>
      <c r="D120" s="644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</row>
    <row r="121" spans="1:15" s="250" customFormat="1" ht="26.25" customHeight="1" hidden="1">
      <c r="A121" s="251"/>
      <c r="B121" s="251"/>
      <c r="C121" s="772" t="s">
        <v>1197</v>
      </c>
      <c r="D121" s="645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</row>
    <row r="122" spans="1:16" s="250" customFormat="1" ht="24.75" customHeight="1" hidden="1">
      <c r="A122" s="251"/>
      <c r="B122" s="251"/>
      <c r="C122" s="286" t="s">
        <v>1198</v>
      </c>
      <c r="D122" s="643">
        <v>196906</v>
      </c>
      <c r="E122" s="288"/>
      <c r="F122" s="288"/>
      <c r="G122" s="288"/>
      <c r="H122" s="280"/>
      <c r="I122" s="280"/>
      <c r="J122" s="280"/>
      <c r="K122" s="280"/>
      <c r="L122" s="280"/>
      <c r="M122" s="280"/>
      <c r="N122" s="280"/>
      <c r="O122" s="280">
        <f>SUM(E122:N122)</f>
        <v>0</v>
      </c>
      <c r="P122" s="285"/>
    </row>
    <row r="123" spans="1:15" s="250" customFormat="1" ht="24.75" customHeight="1">
      <c r="A123" s="251"/>
      <c r="B123" s="251"/>
      <c r="C123" s="260" t="s">
        <v>414</v>
      </c>
      <c r="D123" s="778"/>
      <c r="E123" s="281"/>
      <c r="F123" s="288"/>
      <c r="G123" s="288"/>
      <c r="H123" s="280"/>
      <c r="I123" s="280"/>
      <c r="J123" s="280"/>
      <c r="K123" s="280"/>
      <c r="L123" s="280"/>
      <c r="M123" s="280"/>
      <c r="N123" s="280"/>
      <c r="O123" s="280"/>
    </row>
    <row r="124" spans="1:15" s="250" customFormat="1" ht="12.75" hidden="1">
      <c r="A124" s="251" t="s">
        <v>1366</v>
      </c>
      <c r="B124" s="251"/>
      <c r="C124" s="282" t="s">
        <v>1368</v>
      </c>
      <c r="D124" s="634">
        <v>191102</v>
      </c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>
        <f aca="true" t="shared" si="8" ref="O124:O129">SUM(E124:N124)</f>
        <v>0</v>
      </c>
    </row>
    <row r="125" spans="1:16" s="250" customFormat="1" ht="12.75">
      <c r="A125" s="251"/>
      <c r="B125" s="251"/>
      <c r="C125" s="427" t="s">
        <v>1369</v>
      </c>
      <c r="D125" s="646">
        <v>191103</v>
      </c>
      <c r="E125" s="280"/>
      <c r="F125" s="280"/>
      <c r="G125" s="280"/>
      <c r="H125" s="280">
        <v>1620</v>
      </c>
      <c r="I125" s="280"/>
      <c r="J125" s="280"/>
      <c r="K125" s="280"/>
      <c r="L125" s="280"/>
      <c r="M125" s="280"/>
      <c r="N125" s="280"/>
      <c r="O125" s="280">
        <f t="shared" si="8"/>
        <v>1620</v>
      </c>
      <c r="P125" s="285"/>
    </row>
    <row r="126" spans="1:16" s="250" customFormat="1" ht="25.5" hidden="1">
      <c r="A126" s="251"/>
      <c r="B126" s="251"/>
      <c r="C126" s="314" t="s">
        <v>1370</v>
      </c>
      <c r="D126" s="635">
        <v>191196</v>
      </c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>
        <f t="shared" si="8"/>
        <v>0</v>
      </c>
      <c r="P126" s="285"/>
    </row>
    <row r="127" spans="1:16" s="250" customFormat="1" ht="25.5" hidden="1">
      <c r="A127" s="251"/>
      <c r="B127" s="251"/>
      <c r="C127" s="314" t="s">
        <v>1371</v>
      </c>
      <c r="D127" s="635">
        <v>191198</v>
      </c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>
        <f t="shared" si="8"/>
        <v>0</v>
      </c>
      <c r="P127" s="285"/>
    </row>
    <row r="128" spans="1:16" s="250" customFormat="1" ht="31.5" customHeight="1" hidden="1">
      <c r="A128" s="251"/>
      <c r="B128" s="251"/>
      <c r="C128" s="314" t="s">
        <v>1372</v>
      </c>
      <c r="D128" s="635">
        <v>191901</v>
      </c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>
        <f t="shared" si="8"/>
        <v>0</v>
      </c>
      <c r="P128" s="285"/>
    </row>
    <row r="129" spans="1:16" s="250" customFormat="1" ht="17.25" customHeight="1">
      <c r="A129" s="251"/>
      <c r="B129" s="251"/>
      <c r="C129" s="691" t="s">
        <v>1346</v>
      </c>
      <c r="D129" s="802">
        <v>191193</v>
      </c>
      <c r="E129" s="280"/>
      <c r="F129" s="280"/>
      <c r="G129" s="280"/>
      <c r="H129" s="280"/>
      <c r="I129" s="280"/>
      <c r="J129" s="280">
        <v>2400</v>
      </c>
      <c r="K129" s="280"/>
      <c r="L129" s="280"/>
      <c r="M129" s="280"/>
      <c r="N129" s="280"/>
      <c r="O129" s="280">
        <f t="shared" si="8"/>
        <v>2400</v>
      </c>
      <c r="P129" s="285"/>
    </row>
    <row r="130" spans="1:15" s="250" customFormat="1" ht="24.75" customHeight="1">
      <c r="A130" s="251"/>
      <c r="B130" s="251"/>
      <c r="C130" s="314" t="s">
        <v>378</v>
      </c>
      <c r="D130" s="635"/>
      <c r="E130" s="280"/>
      <c r="F130" s="280"/>
      <c r="G130" s="280"/>
      <c r="H130" s="280"/>
      <c r="I130" s="280"/>
      <c r="J130" s="302"/>
      <c r="K130" s="280"/>
      <c r="L130" s="280"/>
      <c r="M130" s="280"/>
      <c r="N130" s="280"/>
      <c r="O130" s="280"/>
    </row>
    <row r="131" spans="1:15" s="250" customFormat="1" ht="25.5" hidden="1">
      <c r="A131" s="251"/>
      <c r="B131" s="251"/>
      <c r="C131" s="197" t="s">
        <v>1373</v>
      </c>
      <c r="D131" s="643">
        <v>191901</v>
      </c>
      <c r="E131" s="206"/>
      <c r="F131" s="280"/>
      <c r="G131" s="280"/>
      <c r="H131" s="280"/>
      <c r="I131" s="280"/>
      <c r="J131" s="313"/>
      <c r="K131" s="280"/>
      <c r="L131" s="280"/>
      <c r="M131" s="280"/>
      <c r="N131" s="280"/>
      <c r="O131" s="280">
        <f aca="true" t="shared" si="9" ref="O131:O136">SUM(E131:N131)</f>
        <v>0</v>
      </c>
    </row>
    <row r="132" spans="1:15" s="250" customFormat="1" ht="25.5" hidden="1">
      <c r="A132" s="251"/>
      <c r="B132" s="251"/>
      <c r="C132" s="197" t="s">
        <v>1374</v>
      </c>
      <c r="D132" s="643">
        <v>191901</v>
      </c>
      <c r="E132" s="206"/>
      <c r="F132" s="280"/>
      <c r="G132" s="280"/>
      <c r="H132" s="280"/>
      <c r="I132" s="280"/>
      <c r="J132" s="313"/>
      <c r="K132" s="280"/>
      <c r="L132" s="280"/>
      <c r="M132" s="280"/>
      <c r="N132" s="280"/>
      <c r="O132" s="280">
        <f t="shared" si="9"/>
        <v>0</v>
      </c>
    </row>
    <row r="133" spans="1:17" s="250" customFormat="1" ht="24" customHeight="1">
      <c r="A133" s="251"/>
      <c r="B133" s="251"/>
      <c r="C133" s="197" t="s">
        <v>1375</v>
      </c>
      <c r="D133" s="643">
        <v>191901</v>
      </c>
      <c r="E133" s="206">
        <v>36313</v>
      </c>
      <c r="F133" s="280"/>
      <c r="G133" s="280"/>
      <c r="H133" s="280"/>
      <c r="I133" s="280"/>
      <c r="J133" s="280"/>
      <c r="K133" s="280"/>
      <c r="L133" s="280"/>
      <c r="M133" s="280"/>
      <c r="N133" s="280"/>
      <c r="O133" s="280">
        <f t="shared" si="9"/>
        <v>36313</v>
      </c>
      <c r="Q133" s="285"/>
    </row>
    <row r="134" spans="1:16" s="250" customFormat="1" ht="24" customHeight="1" hidden="1">
      <c r="A134" s="251"/>
      <c r="B134" s="251"/>
      <c r="C134" s="197" t="s">
        <v>1376</v>
      </c>
      <c r="D134" s="643">
        <v>191901</v>
      </c>
      <c r="E134" s="206"/>
      <c r="F134" s="280"/>
      <c r="G134" s="280"/>
      <c r="H134" s="280"/>
      <c r="I134" s="280"/>
      <c r="J134" s="206"/>
      <c r="K134" s="280"/>
      <c r="L134" s="280"/>
      <c r="M134" s="280"/>
      <c r="N134" s="280"/>
      <c r="O134" s="280">
        <f t="shared" si="9"/>
        <v>0</v>
      </c>
      <c r="P134" s="285"/>
    </row>
    <row r="135" spans="1:16" s="250" customFormat="1" ht="24" customHeight="1">
      <c r="A135" s="251"/>
      <c r="B135" s="251"/>
      <c r="C135" s="197" t="s">
        <v>940</v>
      </c>
      <c r="D135" s="643">
        <v>191901</v>
      </c>
      <c r="E135" s="206">
        <v>46471</v>
      </c>
      <c r="F135" s="280">
        <v>500</v>
      </c>
      <c r="G135" s="280"/>
      <c r="H135" s="280"/>
      <c r="I135" s="280"/>
      <c r="J135" s="206"/>
      <c r="K135" s="280"/>
      <c r="L135" s="280"/>
      <c r="M135" s="280"/>
      <c r="N135" s="280"/>
      <c r="O135" s="280">
        <f t="shared" si="9"/>
        <v>46971</v>
      </c>
      <c r="P135" s="285"/>
    </row>
    <row r="136" spans="1:16" s="250" customFormat="1" ht="24" customHeight="1">
      <c r="A136" s="251"/>
      <c r="B136" s="251"/>
      <c r="C136" s="197" t="s">
        <v>1347</v>
      </c>
      <c r="D136" s="643">
        <v>191901</v>
      </c>
      <c r="E136" s="206">
        <v>12958</v>
      </c>
      <c r="F136" s="280"/>
      <c r="G136" s="280"/>
      <c r="H136" s="280"/>
      <c r="I136" s="280"/>
      <c r="J136" s="206"/>
      <c r="K136" s="280"/>
      <c r="L136" s="280"/>
      <c r="M136" s="280"/>
      <c r="N136" s="280"/>
      <c r="O136" s="280">
        <f t="shared" si="9"/>
        <v>12958</v>
      </c>
      <c r="P136" s="285"/>
    </row>
    <row r="137" spans="1:16" s="250" customFormat="1" ht="28.5" customHeight="1">
      <c r="A137" s="251"/>
      <c r="B137" s="251"/>
      <c r="C137" s="314" t="s">
        <v>1377</v>
      </c>
      <c r="D137" s="635"/>
      <c r="E137" s="280"/>
      <c r="F137" s="280"/>
      <c r="G137" s="280"/>
      <c r="H137" s="280"/>
      <c r="I137" s="280"/>
      <c r="J137" s="206"/>
      <c r="K137" s="280"/>
      <c r="L137" s="280"/>
      <c r="M137" s="280"/>
      <c r="N137" s="280"/>
      <c r="O137" s="280"/>
      <c r="P137" s="285"/>
    </row>
    <row r="138" spans="1:15" s="250" customFormat="1" ht="13.5" customHeight="1" hidden="1">
      <c r="A138" s="251"/>
      <c r="B138" s="251"/>
      <c r="C138" s="282" t="s">
        <v>554</v>
      </c>
      <c r="D138" s="634">
        <v>191901</v>
      </c>
      <c r="E138" s="280"/>
      <c r="F138" s="280"/>
      <c r="G138" s="206"/>
      <c r="H138" s="280"/>
      <c r="I138" s="280"/>
      <c r="J138" s="280"/>
      <c r="K138" s="280"/>
      <c r="L138" s="280"/>
      <c r="M138" s="280"/>
      <c r="N138" s="280"/>
      <c r="O138" s="280">
        <f aca="true" t="shared" si="10" ref="O138:O147">SUM(E138:N138)</f>
        <v>0</v>
      </c>
    </row>
    <row r="139" spans="1:15" s="250" customFormat="1" ht="13.5" customHeight="1" hidden="1">
      <c r="A139" s="251"/>
      <c r="B139" s="251"/>
      <c r="C139" s="282" t="s">
        <v>1378</v>
      </c>
      <c r="D139" s="634">
        <v>191901</v>
      </c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>
        <f t="shared" si="10"/>
        <v>0</v>
      </c>
    </row>
    <row r="140" spans="1:15" s="250" customFormat="1" ht="13.5" customHeight="1" hidden="1">
      <c r="A140" s="251"/>
      <c r="B140" s="251"/>
      <c r="C140" s="282" t="s">
        <v>1379</v>
      </c>
      <c r="D140" s="634">
        <v>191901</v>
      </c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>
        <f t="shared" si="10"/>
        <v>0</v>
      </c>
    </row>
    <row r="141" spans="1:15" s="250" customFormat="1" ht="13.5" customHeight="1" hidden="1">
      <c r="A141" s="251"/>
      <c r="B141" s="251"/>
      <c r="C141" s="282" t="s">
        <v>1380</v>
      </c>
      <c r="D141" s="634">
        <v>191901</v>
      </c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>
        <f t="shared" si="10"/>
        <v>0</v>
      </c>
    </row>
    <row r="142" spans="1:15" s="250" customFormat="1" ht="13.5" customHeight="1" hidden="1">
      <c r="A142" s="251"/>
      <c r="B142" s="251"/>
      <c r="C142" s="427" t="s">
        <v>1254</v>
      </c>
      <c r="D142" s="634">
        <v>191901</v>
      </c>
      <c r="E142" s="280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>
        <f t="shared" si="10"/>
        <v>0</v>
      </c>
    </row>
    <row r="143" spans="1:15" s="250" customFormat="1" ht="13.5" customHeight="1">
      <c r="A143" s="251"/>
      <c r="B143" s="251"/>
      <c r="C143" s="282" t="s">
        <v>1348</v>
      </c>
      <c r="D143" s="634">
        <v>191901</v>
      </c>
      <c r="E143" s="280"/>
      <c r="F143" s="280"/>
      <c r="G143" s="280">
        <v>20000</v>
      </c>
      <c r="H143" s="280"/>
      <c r="I143" s="280"/>
      <c r="J143" s="280"/>
      <c r="K143" s="280"/>
      <c r="L143" s="280"/>
      <c r="M143" s="280"/>
      <c r="N143" s="280"/>
      <c r="O143" s="280">
        <f t="shared" si="10"/>
        <v>20000</v>
      </c>
    </row>
    <row r="144" spans="1:15" s="250" customFormat="1" ht="23.25" customHeight="1" hidden="1">
      <c r="A144" s="251"/>
      <c r="B144" s="251"/>
      <c r="C144" s="773" t="s">
        <v>1095</v>
      </c>
      <c r="D144" s="634">
        <v>191901</v>
      </c>
      <c r="E144" s="280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>
        <f t="shared" si="10"/>
        <v>0</v>
      </c>
    </row>
    <row r="145" spans="1:15" s="250" customFormat="1" ht="23.25" customHeight="1">
      <c r="A145" s="251"/>
      <c r="B145" s="251"/>
      <c r="C145" s="691" t="s">
        <v>1349</v>
      </c>
      <c r="D145" s="634">
        <v>191901</v>
      </c>
      <c r="E145" s="280">
        <v>340</v>
      </c>
      <c r="F145" s="280"/>
      <c r="G145" s="280"/>
      <c r="H145" s="280"/>
      <c r="I145" s="280"/>
      <c r="J145" s="280"/>
      <c r="K145" s="280"/>
      <c r="L145" s="280"/>
      <c r="M145" s="280"/>
      <c r="N145" s="280"/>
      <c r="O145" s="280">
        <f t="shared" si="10"/>
        <v>340</v>
      </c>
    </row>
    <row r="146" spans="1:15" s="250" customFormat="1" ht="24.75" customHeight="1" hidden="1">
      <c r="A146" s="251" t="s">
        <v>526</v>
      </c>
      <c r="B146" s="251"/>
      <c r="C146" s="178" t="s">
        <v>1381</v>
      </c>
      <c r="D146" s="779"/>
      <c r="E146" s="15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>
        <f t="shared" si="10"/>
        <v>0</v>
      </c>
    </row>
    <row r="147" spans="1:15" s="250" customFormat="1" ht="33.75" customHeight="1" hidden="1">
      <c r="A147" s="251"/>
      <c r="B147" s="251"/>
      <c r="C147" s="204" t="s">
        <v>1382</v>
      </c>
      <c r="D147" s="779">
        <v>191158</v>
      </c>
      <c r="E147" s="315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>
        <f t="shared" si="10"/>
        <v>0</v>
      </c>
    </row>
    <row r="148" spans="1:15" s="250" customFormat="1" ht="24.75" customHeight="1" hidden="1">
      <c r="A148" s="251"/>
      <c r="B148" s="251"/>
      <c r="C148" s="204" t="s">
        <v>1383</v>
      </c>
      <c r="D148" s="779"/>
      <c r="E148" s="315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</row>
    <row r="149" spans="1:15" s="250" customFormat="1" ht="24.75" customHeight="1" hidden="1">
      <c r="A149" s="251"/>
      <c r="B149" s="251"/>
      <c r="C149" s="314" t="s">
        <v>1384</v>
      </c>
      <c r="D149" s="635">
        <v>191607</v>
      </c>
      <c r="E149" s="280"/>
      <c r="F149" s="280"/>
      <c r="G149" s="280"/>
      <c r="H149" s="280"/>
      <c r="I149" s="280"/>
      <c r="J149" s="280"/>
      <c r="K149" s="280"/>
      <c r="L149" s="280"/>
      <c r="M149" s="280"/>
      <c r="N149" s="206"/>
      <c r="O149" s="280">
        <f>SUM(E149:N149)</f>
        <v>0</v>
      </c>
    </row>
    <row r="150" spans="1:15" s="250" customFormat="1" ht="24.75" customHeight="1">
      <c r="A150" s="251"/>
      <c r="B150" s="251"/>
      <c r="C150" s="770" t="s">
        <v>1078</v>
      </c>
      <c r="D150" s="635"/>
      <c r="E150" s="280"/>
      <c r="F150" s="280"/>
      <c r="G150" s="280"/>
      <c r="H150" s="280"/>
      <c r="I150" s="280"/>
      <c r="J150" s="280"/>
      <c r="K150" s="280"/>
      <c r="L150" s="280"/>
      <c r="M150" s="280"/>
      <c r="N150" s="206"/>
      <c r="O150" s="280"/>
    </row>
    <row r="151" spans="1:15" s="250" customFormat="1" ht="15" customHeight="1">
      <c r="A151" s="251"/>
      <c r="B151" s="251"/>
      <c r="C151" s="314" t="s">
        <v>1305</v>
      </c>
      <c r="D151" s="635">
        <v>192909</v>
      </c>
      <c r="E151" s="280"/>
      <c r="F151" s="280"/>
      <c r="G151" s="280"/>
      <c r="H151" s="280"/>
      <c r="I151" s="280"/>
      <c r="J151" s="280"/>
      <c r="K151" s="280">
        <v>800</v>
      </c>
      <c r="L151" s="280"/>
      <c r="M151" s="280"/>
      <c r="N151" s="206"/>
      <c r="O151" s="280">
        <f>SUM(E151:N151)</f>
        <v>800</v>
      </c>
    </row>
    <row r="152" spans="1:15" s="250" customFormat="1" ht="16.5" customHeight="1">
      <c r="A152" s="251"/>
      <c r="B152" s="251"/>
      <c r="C152" s="691" t="s">
        <v>415</v>
      </c>
      <c r="D152" s="635"/>
      <c r="E152" s="280"/>
      <c r="F152" s="280"/>
      <c r="G152" s="280"/>
      <c r="H152" s="280"/>
      <c r="I152" s="280"/>
      <c r="J152" s="280"/>
      <c r="K152" s="280"/>
      <c r="L152" s="280"/>
      <c r="M152" s="280"/>
      <c r="N152" s="206"/>
      <c r="O152" s="280"/>
    </row>
    <row r="153" spans="1:15" s="250" customFormat="1" ht="24.75" customHeight="1">
      <c r="A153" s="251"/>
      <c r="B153" s="251"/>
      <c r="C153" s="691" t="s">
        <v>1350</v>
      </c>
      <c r="D153" s="635">
        <v>161131</v>
      </c>
      <c r="E153" s="280">
        <v>1013</v>
      </c>
      <c r="F153" s="280"/>
      <c r="G153" s="280"/>
      <c r="H153" s="280"/>
      <c r="I153" s="280"/>
      <c r="J153" s="280"/>
      <c r="K153" s="280"/>
      <c r="L153" s="280"/>
      <c r="M153" s="280"/>
      <c r="N153" s="206"/>
      <c r="O153" s="280">
        <f>SUM(E153:N153)</f>
        <v>1013</v>
      </c>
    </row>
    <row r="154" spans="1:15" s="250" customFormat="1" ht="15.75" customHeight="1">
      <c r="A154" s="316"/>
      <c r="B154" s="264"/>
      <c r="C154" s="290" t="s">
        <v>692</v>
      </c>
      <c r="D154" s="642"/>
      <c r="E154" s="266">
        <f>SUM(E121:E153)</f>
        <v>97095</v>
      </c>
      <c r="F154" s="266">
        <f aca="true" t="shared" si="11" ref="F154:O154">SUM(F121:F153)</f>
        <v>500</v>
      </c>
      <c r="G154" s="266">
        <f t="shared" si="11"/>
        <v>20000</v>
      </c>
      <c r="H154" s="266">
        <f t="shared" si="11"/>
        <v>1620</v>
      </c>
      <c r="I154" s="266">
        <f t="shared" si="11"/>
        <v>0</v>
      </c>
      <c r="J154" s="266">
        <f t="shared" si="11"/>
        <v>2400</v>
      </c>
      <c r="K154" s="266">
        <f t="shared" si="11"/>
        <v>800</v>
      </c>
      <c r="L154" s="266">
        <f t="shared" si="11"/>
        <v>0</v>
      </c>
      <c r="M154" s="266">
        <f t="shared" si="11"/>
        <v>0</v>
      </c>
      <c r="N154" s="266">
        <f t="shared" si="11"/>
        <v>0</v>
      </c>
      <c r="O154" s="266">
        <f t="shared" si="11"/>
        <v>122415</v>
      </c>
    </row>
    <row r="155" spans="1:15" s="250" customFormat="1" ht="27.75" customHeight="1">
      <c r="A155" s="262">
        <v>1</v>
      </c>
      <c r="B155" s="267">
        <v>21</v>
      </c>
      <c r="C155" s="180" t="s">
        <v>372</v>
      </c>
      <c r="D155" s="635"/>
      <c r="E155" s="317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</row>
    <row r="156" spans="1:15" s="250" customFormat="1" ht="15" customHeight="1">
      <c r="A156" s="316"/>
      <c r="B156" s="264"/>
      <c r="C156" s="318" t="s">
        <v>1385</v>
      </c>
      <c r="D156" s="780">
        <v>201901</v>
      </c>
      <c r="E156" s="319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>
        <f>SUM(E156:N156)</f>
        <v>0</v>
      </c>
    </row>
    <row r="157" spans="1:15" s="250" customFormat="1" ht="17.25" customHeight="1">
      <c r="A157" s="262">
        <v>1</v>
      </c>
      <c r="B157" s="267">
        <v>22</v>
      </c>
      <c r="C157" s="774" t="s">
        <v>1288</v>
      </c>
      <c r="D157" s="647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</row>
    <row r="158" spans="1:15" s="250" customFormat="1" ht="24.75" customHeight="1">
      <c r="A158" s="262"/>
      <c r="B158" s="267"/>
      <c r="C158" s="260" t="s">
        <v>414</v>
      </c>
      <c r="D158" s="778"/>
      <c r="E158" s="310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</row>
    <row r="159" spans="1:15" s="250" customFormat="1" ht="15" customHeight="1">
      <c r="A159" s="262"/>
      <c r="B159" s="267"/>
      <c r="C159" s="381" t="s">
        <v>1386</v>
      </c>
      <c r="D159" s="646">
        <v>221903</v>
      </c>
      <c r="E159" s="320">
        <v>-8000</v>
      </c>
      <c r="F159" s="269"/>
      <c r="G159" s="269"/>
      <c r="H159" s="269"/>
      <c r="I159" s="269"/>
      <c r="J159" s="206">
        <v>8000</v>
      </c>
      <c r="K159" s="269"/>
      <c r="L159" s="269"/>
      <c r="M159" s="269"/>
      <c r="N159" s="269"/>
      <c r="O159" s="206">
        <f>SUM(E159:N159)</f>
        <v>0</v>
      </c>
    </row>
    <row r="160" spans="1:15" s="250" customFormat="1" ht="22.5" customHeight="1">
      <c r="A160" s="262"/>
      <c r="B160" s="267"/>
      <c r="C160" s="204" t="s">
        <v>359</v>
      </c>
      <c r="D160" s="646"/>
      <c r="E160" s="320"/>
      <c r="F160" s="269"/>
      <c r="G160" s="269"/>
      <c r="H160" s="269"/>
      <c r="I160" s="269"/>
      <c r="J160" s="269"/>
      <c r="K160" s="269"/>
      <c r="L160" s="269"/>
      <c r="M160" s="269"/>
      <c r="N160" s="269"/>
      <c r="O160" s="206"/>
    </row>
    <row r="161" spans="1:15" s="250" customFormat="1" ht="15" customHeight="1">
      <c r="A161" s="262"/>
      <c r="B161" s="267"/>
      <c r="C161" s="496" t="s">
        <v>708</v>
      </c>
      <c r="D161" s="13" t="s">
        <v>1195</v>
      </c>
      <c r="E161" s="320"/>
      <c r="F161" s="269"/>
      <c r="G161" s="269"/>
      <c r="H161" s="206">
        <v>2</v>
      </c>
      <c r="I161" s="269"/>
      <c r="J161" s="269"/>
      <c r="K161" s="269"/>
      <c r="L161" s="269"/>
      <c r="M161" s="269"/>
      <c r="N161" s="269"/>
      <c r="O161" s="206">
        <f>SUM(E161:N161)</f>
        <v>2</v>
      </c>
    </row>
    <row r="162" spans="1:15" s="250" customFormat="1" ht="15" customHeight="1">
      <c r="A162" s="262"/>
      <c r="B162" s="267"/>
      <c r="C162" s="496" t="s">
        <v>1351</v>
      </c>
      <c r="D162" s="256">
        <v>151508</v>
      </c>
      <c r="E162" s="320"/>
      <c r="F162" s="269"/>
      <c r="G162" s="269"/>
      <c r="H162" s="206"/>
      <c r="I162" s="269"/>
      <c r="J162" s="269"/>
      <c r="K162" s="206">
        <v>9960</v>
      </c>
      <c r="L162" s="269"/>
      <c r="M162" s="269"/>
      <c r="N162" s="269"/>
      <c r="O162" s="206">
        <f>SUM(E162:N162)</f>
        <v>9960</v>
      </c>
    </row>
    <row r="163" spans="1:15" s="250" customFormat="1" ht="15" customHeight="1">
      <c r="A163" s="262"/>
      <c r="B163" s="267"/>
      <c r="C163" s="496" t="s">
        <v>1352</v>
      </c>
      <c r="D163" s="256">
        <v>221912</v>
      </c>
      <c r="E163" s="320"/>
      <c r="F163" s="269"/>
      <c r="G163" s="269"/>
      <c r="H163" s="206">
        <v>8</v>
      </c>
      <c r="I163" s="269"/>
      <c r="J163" s="269"/>
      <c r="K163" s="269"/>
      <c r="L163" s="269"/>
      <c r="M163" s="269"/>
      <c r="N163" s="269"/>
      <c r="O163" s="206">
        <f>SUM(E163:N163)</f>
        <v>8</v>
      </c>
    </row>
    <row r="164" spans="1:15" s="250" customFormat="1" ht="24.75" customHeight="1">
      <c r="A164" s="262"/>
      <c r="B164" s="267"/>
      <c r="C164" s="178" t="s">
        <v>370</v>
      </c>
      <c r="D164" s="256">
        <v>191110</v>
      </c>
      <c r="E164" s="320"/>
      <c r="F164" s="269"/>
      <c r="G164" s="269"/>
      <c r="H164" s="206"/>
      <c r="I164" s="269"/>
      <c r="J164" s="269"/>
      <c r="K164" s="269"/>
      <c r="L164" s="269"/>
      <c r="M164" s="269"/>
      <c r="N164" s="269"/>
      <c r="O164" s="206">
        <f>SUM(E164:N164)</f>
        <v>0</v>
      </c>
    </row>
    <row r="165" spans="1:15" s="250" customFormat="1" ht="15" customHeight="1">
      <c r="A165" s="262"/>
      <c r="B165" s="267"/>
      <c r="C165" s="16" t="s">
        <v>371</v>
      </c>
      <c r="D165" s="763"/>
      <c r="E165" s="320"/>
      <c r="F165" s="269"/>
      <c r="G165" s="269"/>
      <c r="H165" s="206"/>
      <c r="I165" s="269"/>
      <c r="J165" s="206">
        <v>610</v>
      </c>
      <c r="K165" s="269"/>
      <c r="L165" s="269"/>
      <c r="M165" s="269"/>
      <c r="N165" s="269"/>
      <c r="O165" s="206">
        <f>SUM(E165:N165)</f>
        <v>610</v>
      </c>
    </row>
    <row r="166" spans="1:15" s="250" customFormat="1" ht="12" customHeight="1">
      <c r="A166" s="316"/>
      <c r="B166" s="264"/>
      <c r="C166" s="290" t="s">
        <v>1387</v>
      </c>
      <c r="D166" s="631"/>
      <c r="E166" s="266">
        <f>SUM(E157:E165)</f>
        <v>-8000</v>
      </c>
      <c r="F166" s="266">
        <f aca="true" t="shared" si="12" ref="F166:O166">SUM(F157:F165)</f>
        <v>0</v>
      </c>
      <c r="G166" s="266">
        <f t="shared" si="12"/>
        <v>0</v>
      </c>
      <c r="H166" s="266">
        <f t="shared" si="12"/>
        <v>10</v>
      </c>
      <c r="I166" s="266">
        <f t="shared" si="12"/>
        <v>0</v>
      </c>
      <c r="J166" s="266">
        <f t="shared" si="12"/>
        <v>8610</v>
      </c>
      <c r="K166" s="266">
        <f t="shared" si="12"/>
        <v>9960</v>
      </c>
      <c r="L166" s="266">
        <f t="shared" si="12"/>
        <v>0</v>
      </c>
      <c r="M166" s="266">
        <f t="shared" si="12"/>
        <v>0</v>
      </c>
      <c r="N166" s="266">
        <f t="shared" si="12"/>
        <v>0</v>
      </c>
      <c r="O166" s="266">
        <f t="shared" si="12"/>
        <v>10580</v>
      </c>
    </row>
    <row r="167" spans="1:15" s="250" customFormat="1" ht="24.75" customHeight="1">
      <c r="A167" s="264"/>
      <c r="B167" s="264"/>
      <c r="C167" s="775" t="s">
        <v>455</v>
      </c>
      <c r="D167" s="610"/>
      <c r="E167" s="266">
        <f aca="true" t="shared" si="13" ref="E167:O167">SUM(E12+E32+E58+E84+E110+E119+E154+E156+E166)</f>
        <v>99417</v>
      </c>
      <c r="F167" s="266">
        <f t="shared" si="13"/>
        <v>304037</v>
      </c>
      <c r="G167" s="266">
        <f t="shared" si="13"/>
        <v>23300</v>
      </c>
      <c r="H167" s="266">
        <f t="shared" si="13"/>
        <v>30573</v>
      </c>
      <c r="I167" s="266">
        <f t="shared" si="13"/>
        <v>5600</v>
      </c>
      <c r="J167" s="266">
        <f t="shared" si="13"/>
        <v>11102</v>
      </c>
      <c r="K167" s="266">
        <f t="shared" si="13"/>
        <v>12850</v>
      </c>
      <c r="L167" s="266">
        <f t="shared" si="13"/>
        <v>0</v>
      </c>
      <c r="M167" s="266">
        <f t="shared" si="13"/>
        <v>0</v>
      </c>
      <c r="N167" s="266">
        <f t="shared" si="13"/>
        <v>0</v>
      </c>
      <c r="O167" s="266">
        <f t="shared" si="13"/>
        <v>486879</v>
      </c>
    </row>
    <row r="168" spans="1:15" s="250" customFormat="1" ht="15.75" customHeight="1" thickBot="1">
      <c r="A168" s="251">
        <v>2</v>
      </c>
      <c r="B168" s="251"/>
      <c r="C168" s="776" t="s">
        <v>485</v>
      </c>
      <c r="D168" s="236"/>
      <c r="E168" s="280">
        <f>'táj.3.'!C21</f>
        <v>6697</v>
      </c>
      <c r="F168" s="280">
        <f>'táj.3.'!D21</f>
        <v>4794</v>
      </c>
      <c r="G168" s="280">
        <f>'táj.3.'!E21</f>
        <v>0</v>
      </c>
      <c r="H168" s="280">
        <f>'táj.3.'!F21</f>
        <v>10735</v>
      </c>
      <c r="I168" s="280">
        <f>'táj.3.'!G21</f>
        <v>2255</v>
      </c>
      <c r="J168" s="280">
        <f>'táj.3.'!H21</f>
        <v>1201</v>
      </c>
      <c r="K168" s="280">
        <f>'táj.3.'!I21</f>
        <v>500</v>
      </c>
      <c r="L168" s="280"/>
      <c r="M168" s="280">
        <f>'táj.3.'!J21</f>
        <v>0</v>
      </c>
      <c r="N168" s="280">
        <f>'táj.3.'!L21</f>
        <v>0</v>
      </c>
      <c r="O168" s="304">
        <f>SUM(E168:N168)</f>
        <v>26182</v>
      </c>
    </row>
    <row r="169" spans="1:15" s="250" customFormat="1" ht="15.75" customHeight="1" thickBot="1">
      <c r="A169" s="264"/>
      <c r="B169" s="264"/>
      <c r="C169" s="797" t="s">
        <v>468</v>
      </c>
      <c r="D169" s="264"/>
      <c r="E169" s="266">
        <f>SUM(E167:E168)</f>
        <v>106114</v>
      </c>
      <c r="F169" s="266">
        <f>SUM(F167:F168)</f>
        <v>308831</v>
      </c>
      <c r="G169" s="266">
        <f aca="true" t="shared" si="14" ref="G169:O169">SUM(G167:G168)+G155</f>
        <v>23300</v>
      </c>
      <c r="H169" s="266">
        <f t="shared" si="14"/>
        <v>41308</v>
      </c>
      <c r="I169" s="266">
        <f t="shared" si="14"/>
        <v>7855</v>
      </c>
      <c r="J169" s="266">
        <f t="shared" si="14"/>
        <v>12303</v>
      </c>
      <c r="K169" s="266">
        <f t="shared" si="14"/>
        <v>13350</v>
      </c>
      <c r="L169" s="266">
        <f t="shared" si="14"/>
        <v>0</v>
      </c>
      <c r="M169" s="266">
        <f t="shared" si="14"/>
        <v>0</v>
      </c>
      <c r="N169" s="266">
        <f t="shared" si="14"/>
        <v>0</v>
      </c>
      <c r="O169" s="266">
        <f t="shared" si="14"/>
        <v>513061</v>
      </c>
    </row>
    <row r="170" spans="1:16" s="250" customFormat="1" ht="18.75" customHeight="1">
      <c r="A170" s="321"/>
      <c r="B170" s="321"/>
      <c r="C170" s="321"/>
      <c r="D170" s="32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1"/>
      <c r="P170" s="285"/>
    </row>
    <row r="171" spans="1:16" s="250" customFormat="1" ht="13.5" customHeight="1">
      <c r="A171" s="322"/>
      <c r="B171" s="322"/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3"/>
      <c r="P171" s="285"/>
    </row>
    <row r="172" spans="1:15" ht="12.75">
      <c r="A172" s="322"/>
      <c r="B172" s="322"/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</row>
    <row r="173" spans="1:15" ht="12.75">
      <c r="A173" s="322"/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</row>
    <row r="174" spans="1:15" ht="12.75">
      <c r="A174" s="322"/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</row>
    <row r="175" spans="1:15" ht="12.75">
      <c r="A175" s="322"/>
      <c r="B175" s="322"/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</row>
    <row r="176" spans="1:15" ht="12.75">
      <c r="A176" s="322"/>
      <c r="B176" s="322"/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</row>
    <row r="177" spans="1:15" ht="12.75">
      <c r="A177" s="322"/>
      <c r="B177" s="322"/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</row>
    <row r="178" spans="1:15" ht="12.75">
      <c r="A178" s="322"/>
      <c r="B178" s="322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</row>
    <row r="179" spans="1:15" ht="12.75">
      <c r="A179" s="322"/>
      <c r="B179" s="322"/>
      <c r="C179" s="322"/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</row>
    <row r="180" spans="1:15" ht="12.75">
      <c r="A180" s="322"/>
      <c r="B180" s="322"/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</row>
    <row r="181" spans="3:15" ht="12.75"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</row>
    <row r="182" spans="3:15" ht="12.75"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</row>
    <row r="183" spans="3:15" ht="12.75"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</row>
    <row r="184" spans="3:15" ht="12.75"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</row>
    <row r="185" spans="3:15" ht="12.75">
      <c r="C185" s="322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</row>
    <row r="186" spans="3:15" ht="12.75"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</row>
    <row r="187" spans="3:15" ht="12.75">
      <c r="C187" s="322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</row>
    <row r="188" spans="3:15" ht="12.75">
      <c r="C188" s="322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</row>
    <row r="189" spans="3:15" ht="12.75">
      <c r="C189" s="322"/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</row>
    <row r="190" spans="3:15" ht="12.75">
      <c r="C190" s="322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</row>
    <row r="191" spans="3:15" ht="12.75">
      <c r="C191" s="322"/>
      <c r="D191" s="32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</row>
    <row r="192" spans="3:15" ht="12.75">
      <c r="C192" s="322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</row>
    <row r="193" spans="3:15" ht="12.75"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</row>
    <row r="194" spans="3:15" ht="12.75">
      <c r="C194" s="322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</row>
    <row r="195" spans="3:15" ht="12.75"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</row>
    <row r="196" spans="3:15" ht="12.75">
      <c r="C196" s="322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</row>
    <row r="197" spans="3:15" ht="12.75"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 2015. ÉVI
BEVÉTELI ELŐIRÁNYZATAINAK  MÓDOSÍTÁSA A III. NEGYEDÉVBEN&amp;R&amp;"Times New Roman,Félkövér dőlt"1.tájékoztató tábla
Adatok E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V763"/>
  <sheetViews>
    <sheetView tabSelected="1" zoomScaleSheetLayoutView="120" zoomScalePageLayoutView="0" workbookViewId="0" topLeftCell="B1">
      <pane ySplit="2" topLeftCell="A3" activePane="bottomLeft" state="frozen"/>
      <selection pane="topLeft" activeCell="A1" sqref="A1"/>
      <selection pane="bottomLeft" activeCell="R387" sqref="R387"/>
    </sheetView>
  </sheetViews>
  <sheetFormatPr defaultColWidth="9.00390625" defaultRowHeight="12.75"/>
  <cols>
    <col min="1" max="1" width="6.625" style="1" customWidth="1"/>
    <col min="2" max="2" width="5.875" style="1" customWidth="1"/>
    <col min="3" max="3" width="6.50390625" style="1" customWidth="1"/>
    <col min="4" max="4" width="49.125" style="1" customWidth="1"/>
    <col min="5" max="5" width="4.50390625" style="1" customWidth="1"/>
    <col min="6" max="6" width="10.125" style="1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7.50390625" style="1" customWidth="1"/>
    <col min="19" max="16384" width="9.375" style="1" customWidth="1"/>
  </cols>
  <sheetData>
    <row r="1" spans="1:18" ht="36.75" customHeight="1" thickBot="1">
      <c r="A1" s="851" t="s">
        <v>693</v>
      </c>
      <c r="B1" s="851" t="s">
        <v>694</v>
      </c>
      <c r="C1" s="851" t="s">
        <v>1191</v>
      </c>
      <c r="D1" s="848" t="s">
        <v>686</v>
      </c>
      <c r="E1" s="851" t="s">
        <v>482</v>
      </c>
      <c r="F1" s="851" t="s">
        <v>286</v>
      </c>
      <c r="G1" s="850" t="s">
        <v>720</v>
      </c>
      <c r="H1" s="850"/>
      <c r="I1" s="850"/>
      <c r="J1" s="850"/>
      <c r="K1" s="850"/>
      <c r="L1" s="850"/>
      <c r="M1" s="850"/>
      <c r="N1" s="850"/>
      <c r="O1" s="849" t="s">
        <v>724</v>
      </c>
      <c r="P1" s="849"/>
      <c r="Q1" s="848" t="s">
        <v>687</v>
      </c>
      <c r="R1" s="846" t="s">
        <v>146</v>
      </c>
    </row>
    <row r="2" spans="1:18" ht="57.75" customHeight="1" thickBot="1">
      <c r="A2" s="851"/>
      <c r="B2" s="851"/>
      <c r="C2" s="851"/>
      <c r="D2" s="848"/>
      <c r="E2" s="851"/>
      <c r="F2" s="851"/>
      <c r="G2" s="742" t="s">
        <v>338</v>
      </c>
      <c r="H2" s="742" t="s">
        <v>1289</v>
      </c>
      <c r="I2" s="742" t="s">
        <v>472</v>
      </c>
      <c r="J2" s="742" t="s">
        <v>722</v>
      </c>
      <c r="K2" s="742" t="s">
        <v>341</v>
      </c>
      <c r="L2" s="742" t="s">
        <v>345</v>
      </c>
      <c r="M2" s="742" t="s">
        <v>346</v>
      </c>
      <c r="N2" s="742" t="s">
        <v>1290</v>
      </c>
      <c r="O2" s="742" t="s">
        <v>1295</v>
      </c>
      <c r="P2" s="742" t="s">
        <v>298</v>
      </c>
      <c r="Q2" s="848"/>
      <c r="R2" s="847"/>
    </row>
    <row r="3" spans="1:18" ht="16.5" customHeight="1">
      <c r="A3" s="152">
        <v>1</v>
      </c>
      <c r="B3" s="152"/>
      <c r="C3" s="152"/>
      <c r="D3" s="738" t="s">
        <v>487</v>
      </c>
      <c r="E3" s="153"/>
      <c r="F3" s="648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40"/>
      <c r="R3" s="741"/>
    </row>
    <row r="4" spans="1:18" ht="12.75" customHeight="1">
      <c r="A4" s="2">
        <v>1</v>
      </c>
      <c r="B4" s="2">
        <v>1</v>
      </c>
      <c r="C4" s="2"/>
      <c r="D4" s="3" t="s">
        <v>354</v>
      </c>
      <c r="E4" s="25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568"/>
      <c r="R4" s="388"/>
    </row>
    <row r="5" spans="1:18" ht="12">
      <c r="A5" s="8">
        <v>1</v>
      </c>
      <c r="B5" s="8">
        <v>12</v>
      </c>
      <c r="C5" s="8"/>
      <c r="D5" s="331" t="s">
        <v>352</v>
      </c>
      <c r="E5" s="332"/>
      <c r="F5" s="11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2"/>
      <c r="R5" s="388"/>
    </row>
    <row r="6" spans="1:18" ht="14.25" customHeight="1">
      <c r="A6" s="8"/>
      <c r="B6" s="8"/>
      <c r="C6" s="333"/>
      <c r="D6" s="198" t="s">
        <v>365</v>
      </c>
      <c r="E6" s="334"/>
      <c r="F6" s="23"/>
      <c r="G6" s="187"/>
      <c r="H6" s="187"/>
      <c r="I6" s="187"/>
      <c r="J6" s="187"/>
      <c r="K6" s="187"/>
      <c r="L6" s="335"/>
      <c r="M6" s="335"/>
      <c r="N6" s="335"/>
      <c r="O6" s="335"/>
      <c r="P6" s="335"/>
      <c r="Q6" s="12"/>
      <c r="R6" s="388"/>
    </row>
    <row r="7" spans="1:19" ht="14.25" customHeight="1" hidden="1">
      <c r="A7" s="8"/>
      <c r="B7" s="8"/>
      <c r="C7" s="333"/>
      <c r="D7" s="198" t="s">
        <v>366</v>
      </c>
      <c r="E7" s="334">
        <v>1</v>
      </c>
      <c r="F7" s="23">
        <v>121101</v>
      </c>
      <c r="G7" s="187"/>
      <c r="H7" s="187"/>
      <c r="I7" s="187"/>
      <c r="J7" s="187"/>
      <c r="K7" s="187"/>
      <c r="L7" s="335"/>
      <c r="M7" s="335"/>
      <c r="N7" s="335"/>
      <c r="O7" s="335"/>
      <c r="P7" s="335"/>
      <c r="Q7" s="12">
        <f>SUM(G7:P7)</f>
        <v>0</v>
      </c>
      <c r="R7" s="388"/>
      <c r="S7" s="336"/>
    </row>
    <row r="8" spans="1:19" ht="14.25" customHeight="1">
      <c r="A8" s="8"/>
      <c r="B8" s="8"/>
      <c r="C8" s="333"/>
      <c r="D8" s="12" t="s">
        <v>367</v>
      </c>
      <c r="E8" s="337">
        <v>1</v>
      </c>
      <c r="F8" s="23">
        <v>121102</v>
      </c>
      <c r="G8" s="187"/>
      <c r="H8" s="187"/>
      <c r="I8" s="187"/>
      <c r="J8" s="187">
        <v>-81</v>
      </c>
      <c r="K8" s="187"/>
      <c r="L8" s="335"/>
      <c r="M8" s="335"/>
      <c r="N8" s="335"/>
      <c r="O8" s="335"/>
      <c r="P8" s="335"/>
      <c r="Q8" s="12">
        <f>SUM(G8:P8)</f>
        <v>-81</v>
      </c>
      <c r="R8" s="388" t="s">
        <v>147</v>
      </c>
      <c r="S8" s="336"/>
    </row>
    <row r="9" spans="1:18" ht="14.25" customHeight="1">
      <c r="A9" s="8"/>
      <c r="B9" s="8"/>
      <c r="C9" s="333"/>
      <c r="D9" s="12" t="s">
        <v>1388</v>
      </c>
      <c r="E9" s="337">
        <v>2</v>
      </c>
      <c r="F9" s="23">
        <v>121103</v>
      </c>
      <c r="G9" s="187"/>
      <c r="H9" s="187"/>
      <c r="I9" s="187"/>
      <c r="J9" s="187">
        <v>-2500</v>
      </c>
      <c r="K9" s="187"/>
      <c r="L9" s="335"/>
      <c r="M9" s="335"/>
      <c r="N9" s="335"/>
      <c r="O9" s="335"/>
      <c r="P9" s="335"/>
      <c r="Q9" s="12">
        <f>SUM(G9:P9)</f>
        <v>-2500</v>
      </c>
      <c r="R9" s="388" t="s">
        <v>147</v>
      </c>
    </row>
    <row r="10" spans="1:18" ht="14.25" customHeight="1">
      <c r="A10" s="8"/>
      <c r="B10" s="8"/>
      <c r="C10" s="333"/>
      <c r="D10" s="12" t="s">
        <v>1202</v>
      </c>
      <c r="E10" s="337"/>
      <c r="F10" s="23"/>
      <c r="G10" s="187"/>
      <c r="H10" s="187"/>
      <c r="I10" s="187"/>
      <c r="J10" s="187"/>
      <c r="K10" s="187"/>
      <c r="L10" s="335"/>
      <c r="M10" s="335"/>
      <c r="N10" s="335"/>
      <c r="O10" s="335"/>
      <c r="P10" s="335"/>
      <c r="Q10" s="12"/>
      <c r="R10" s="388"/>
    </row>
    <row r="11" spans="1:19" ht="14.25" customHeight="1">
      <c r="A11" s="8"/>
      <c r="B11" s="8"/>
      <c r="C11" s="333"/>
      <c r="D11" s="12" t="s">
        <v>1203</v>
      </c>
      <c r="E11" s="337">
        <v>1</v>
      </c>
      <c r="F11" s="23">
        <v>121104</v>
      </c>
      <c r="G11" s="187"/>
      <c r="H11" s="187"/>
      <c r="I11" s="187"/>
      <c r="J11" s="187">
        <v>2500</v>
      </c>
      <c r="K11" s="187"/>
      <c r="L11" s="335"/>
      <c r="M11" s="335"/>
      <c r="N11" s="335"/>
      <c r="O11" s="335"/>
      <c r="P11" s="335"/>
      <c r="Q11" s="12">
        <f>SUM(G11:P11)</f>
        <v>2500</v>
      </c>
      <c r="R11" s="388" t="s">
        <v>147</v>
      </c>
      <c r="S11" s="336"/>
    </row>
    <row r="12" spans="1:19" ht="14.25" customHeight="1" hidden="1">
      <c r="A12" s="8"/>
      <c r="B12" s="8"/>
      <c r="C12" s="333"/>
      <c r="D12" s="12" t="s">
        <v>1389</v>
      </c>
      <c r="E12" s="337">
        <v>2</v>
      </c>
      <c r="F12" s="23">
        <v>121114</v>
      </c>
      <c r="G12" s="187"/>
      <c r="H12" s="187"/>
      <c r="I12" s="187"/>
      <c r="J12" s="187"/>
      <c r="K12" s="187"/>
      <c r="L12" s="335"/>
      <c r="M12" s="335"/>
      <c r="N12" s="335"/>
      <c r="O12" s="335"/>
      <c r="P12" s="335"/>
      <c r="Q12" s="12">
        <f>SUM(G12:P12)</f>
        <v>0</v>
      </c>
      <c r="R12" s="388"/>
      <c r="S12" s="336"/>
    </row>
    <row r="13" spans="1:19" ht="14.25" customHeight="1">
      <c r="A13" s="8"/>
      <c r="B13" s="8"/>
      <c r="C13" s="333"/>
      <c r="D13" s="12" t="s">
        <v>704</v>
      </c>
      <c r="E13" s="337"/>
      <c r="F13" s="23"/>
      <c r="G13" s="187"/>
      <c r="H13" s="187"/>
      <c r="I13" s="187"/>
      <c r="J13" s="187"/>
      <c r="K13" s="187"/>
      <c r="L13" s="335"/>
      <c r="M13" s="335"/>
      <c r="N13" s="335"/>
      <c r="O13" s="335"/>
      <c r="P13" s="335"/>
      <c r="Q13" s="12"/>
      <c r="R13" s="388"/>
      <c r="S13" s="336"/>
    </row>
    <row r="14" spans="1:19" ht="14.25" customHeight="1" hidden="1">
      <c r="A14" s="8"/>
      <c r="B14" s="8"/>
      <c r="C14" s="333"/>
      <c r="D14" s="12" t="s">
        <v>412</v>
      </c>
      <c r="E14" s="337">
        <v>2</v>
      </c>
      <c r="F14" s="23">
        <v>121109</v>
      </c>
      <c r="G14" s="187"/>
      <c r="H14" s="187"/>
      <c r="I14" s="187"/>
      <c r="J14" s="187"/>
      <c r="K14" s="187"/>
      <c r="L14" s="335"/>
      <c r="M14" s="335"/>
      <c r="N14" s="335"/>
      <c r="O14" s="335"/>
      <c r="P14" s="335"/>
      <c r="Q14" s="12">
        <f>SUM(G14:P14)</f>
        <v>0</v>
      </c>
      <c r="R14" s="388"/>
      <c r="S14" s="336"/>
    </row>
    <row r="15" spans="1:19" ht="14.25" customHeight="1" hidden="1">
      <c r="A15" s="8"/>
      <c r="B15" s="8"/>
      <c r="C15" s="333"/>
      <c r="D15" s="12" t="s">
        <v>1390</v>
      </c>
      <c r="E15" s="337">
        <v>2</v>
      </c>
      <c r="F15" s="23">
        <v>121110</v>
      </c>
      <c r="G15" s="187"/>
      <c r="H15" s="187"/>
      <c r="I15" s="187"/>
      <c r="J15" s="187"/>
      <c r="K15" s="187"/>
      <c r="L15" s="335"/>
      <c r="M15" s="335"/>
      <c r="N15" s="335"/>
      <c r="O15" s="335"/>
      <c r="P15" s="335"/>
      <c r="Q15" s="12">
        <f>SUM(G15:P15)</f>
        <v>0</v>
      </c>
      <c r="R15" s="388"/>
      <c r="S15" s="336"/>
    </row>
    <row r="16" spans="1:19" ht="14.25" customHeight="1" hidden="1">
      <c r="A16" s="8"/>
      <c r="B16" s="8"/>
      <c r="C16" s="333"/>
      <c r="D16" s="12" t="s">
        <v>1391</v>
      </c>
      <c r="E16" s="337">
        <v>2</v>
      </c>
      <c r="F16" s="23">
        <v>121111</v>
      </c>
      <c r="G16" s="187"/>
      <c r="H16" s="187"/>
      <c r="I16" s="187"/>
      <c r="J16" s="187"/>
      <c r="K16" s="187"/>
      <c r="L16" s="335"/>
      <c r="M16" s="335"/>
      <c r="N16" s="335"/>
      <c r="O16" s="335"/>
      <c r="P16" s="335"/>
      <c r="Q16" s="12">
        <f>SUM(G16:P16)</f>
        <v>0</v>
      </c>
      <c r="R16" s="388"/>
      <c r="S16" s="336"/>
    </row>
    <row r="17" spans="1:19" ht="14.25" customHeight="1" hidden="1">
      <c r="A17" s="8"/>
      <c r="B17" s="8"/>
      <c r="C17" s="333"/>
      <c r="D17" s="12" t="s">
        <v>592</v>
      </c>
      <c r="E17" s="337">
        <v>2</v>
      </c>
      <c r="F17" s="23">
        <v>121113</v>
      </c>
      <c r="G17" s="187"/>
      <c r="H17" s="187"/>
      <c r="I17" s="187"/>
      <c r="J17" s="187"/>
      <c r="K17" s="187"/>
      <c r="L17" s="335"/>
      <c r="M17" s="335"/>
      <c r="N17" s="335"/>
      <c r="O17" s="335"/>
      <c r="P17" s="335"/>
      <c r="Q17" s="12">
        <f>SUM(G17:P17)</f>
        <v>0</v>
      </c>
      <c r="R17" s="388"/>
      <c r="S17" s="336"/>
    </row>
    <row r="18" spans="1:19" ht="14.25" customHeight="1">
      <c r="A18" s="8"/>
      <c r="B18" s="8"/>
      <c r="C18" s="333"/>
      <c r="D18" s="747" t="s">
        <v>1333</v>
      </c>
      <c r="E18" s="337">
        <v>1</v>
      </c>
      <c r="F18" s="23">
        <v>121124</v>
      </c>
      <c r="G18" s="187"/>
      <c r="H18" s="187"/>
      <c r="I18" s="187"/>
      <c r="J18" s="187">
        <v>5446</v>
      </c>
      <c r="K18" s="187"/>
      <c r="L18" s="335"/>
      <c r="M18" s="335"/>
      <c r="N18" s="335"/>
      <c r="O18" s="335"/>
      <c r="P18" s="335"/>
      <c r="Q18" s="12">
        <f>SUM(G18:P18)</f>
        <v>5446</v>
      </c>
      <c r="R18" s="388" t="s">
        <v>147</v>
      </c>
      <c r="S18" s="336"/>
    </row>
    <row r="19" spans="1:19" ht="14.25" customHeight="1" hidden="1">
      <c r="A19" s="8"/>
      <c r="B19" s="8"/>
      <c r="C19" s="333"/>
      <c r="D19" s="12" t="s">
        <v>1204</v>
      </c>
      <c r="E19" s="337"/>
      <c r="F19" s="23"/>
      <c r="G19" s="187"/>
      <c r="H19" s="187"/>
      <c r="I19" s="187"/>
      <c r="J19" s="187"/>
      <c r="K19" s="187"/>
      <c r="L19" s="335"/>
      <c r="M19" s="335"/>
      <c r="N19" s="335"/>
      <c r="O19" s="335"/>
      <c r="P19" s="335"/>
      <c r="Q19" s="12"/>
      <c r="R19" s="388"/>
      <c r="S19" s="336"/>
    </row>
    <row r="20" spans="1:19" ht="14.25" customHeight="1" hidden="1">
      <c r="A20" s="8"/>
      <c r="B20" s="8"/>
      <c r="C20" s="333"/>
      <c r="D20" s="12" t="s">
        <v>1392</v>
      </c>
      <c r="E20" s="337">
        <v>2</v>
      </c>
      <c r="F20" s="23">
        <v>121106</v>
      </c>
      <c r="G20" s="187"/>
      <c r="H20" s="187"/>
      <c r="I20" s="187"/>
      <c r="J20" s="187"/>
      <c r="K20" s="187"/>
      <c r="L20" s="335"/>
      <c r="M20" s="335"/>
      <c r="N20" s="335"/>
      <c r="O20" s="335"/>
      <c r="P20" s="335"/>
      <c r="Q20" s="12">
        <f>SUM(G20:P20)</f>
        <v>0</v>
      </c>
      <c r="R20" s="388"/>
      <c r="S20" s="336"/>
    </row>
    <row r="21" spans="1:19" ht="14.25" customHeight="1" hidden="1">
      <c r="A21" s="8"/>
      <c r="B21" s="8"/>
      <c r="C21" s="333"/>
      <c r="D21" s="12" t="s">
        <v>1202</v>
      </c>
      <c r="E21" s="337"/>
      <c r="F21" s="23"/>
      <c r="G21" s="187"/>
      <c r="H21" s="187"/>
      <c r="I21" s="187"/>
      <c r="J21" s="187"/>
      <c r="K21" s="187"/>
      <c r="L21" s="335"/>
      <c r="M21" s="335"/>
      <c r="N21" s="335"/>
      <c r="O21" s="335"/>
      <c r="P21" s="335"/>
      <c r="Q21" s="12"/>
      <c r="R21" s="388"/>
      <c r="S21" s="336"/>
    </row>
    <row r="22" spans="1:19" ht="14.25" customHeight="1" hidden="1">
      <c r="A22" s="8"/>
      <c r="B22" s="8"/>
      <c r="C22" s="333"/>
      <c r="D22" s="12" t="s">
        <v>1205</v>
      </c>
      <c r="E22" s="337">
        <v>1</v>
      </c>
      <c r="F22" s="23">
        <v>121107</v>
      </c>
      <c r="G22" s="187"/>
      <c r="H22" s="187"/>
      <c r="I22" s="187"/>
      <c r="J22" s="187"/>
      <c r="K22" s="187"/>
      <c r="L22" s="335"/>
      <c r="M22" s="335"/>
      <c r="N22" s="335"/>
      <c r="O22" s="335"/>
      <c r="P22" s="335"/>
      <c r="Q22" s="12">
        <f>SUM(G22:P22)</f>
        <v>0</v>
      </c>
      <c r="R22" s="388"/>
      <c r="S22" s="336"/>
    </row>
    <row r="23" spans="1:19" ht="14.25" customHeight="1" hidden="1">
      <c r="A23" s="8"/>
      <c r="B23" s="8"/>
      <c r="C23" s="333"/>
      <c r="D23" s="12" t="s">
        <v>1393</v>
      </c>
      <c r="E23" s="337">
        <v>2</v>
      </c>
      <c r="F23" s="23">
        <v>121108</v>
      </c>
      <c r="G23" s="187"/>
      <c r="H23" s="187"/>
      <c r="I23" s="187"/>
      <c r="J23" s="187"/>
      <c r="K23" s="187"/>
      <c r="L23" s="335"/>
      <c r="M23" s="335"/>
      <c r="N23" s="335"/>
      <c r="O23" s="335"/>
      <c r="P23" s="335"/>
      <c r="Q23" s="12">
        <f>SUM(G23:P23)</f>
        <v>0</v>
      </c>
      <c r="R23" s="388"/>
      <c r="S23" s="336"/>
    </row>
    <row r="24" spans="1:19" ht="14.25" customHeight="1" hidden="1">
      <c r="A24" s="8"/>
      <c r="B24" s="8"/>
      <c r="C24" s="333"/>
      <c r="D24" s="12" t="s">
        <v>593</v>
      </c>
      <c r="E24" s="337">
        <v>2</v>
      </c>
      <c r="F24" s="23">
        <v>121105</v>
      </c>
      <c r="G24" s="187"/>
      <c r="H24" s="187"/>
      <c r="I24" s="187"/>
      <c r="J24" s="187"/>
      <c r="K24" s="187"/>
      <c r="L24" s="335"/>
      <c r="M24" s="335"/>
      <c r="N24" s="335"/>
      <c r="O24" s="335"/>
      <c r="P24" s="335"/>
      <c r="Q24" s="12">
        <f>SUM(G24:P24)</f>
        <v>0</v>
      </c>
      <c r="R24" s="388"/>
      <c r="S24" s="336"/>
    </row>
    <row r="25" spans="1:19" ht="14.25" customHeight="1" hidden="1">
      <c r="A25" s="8"/>
      <c r="B25" s="8"/>
      <c r="C25" s="333"/>
      <c r="D25" s="12" t="s">
        <v>594</v>
      </c>
      <c r="E25" s="337">
        <v>2</v>
      </c>
      <c r="F25" s="23">
        <v>121201</v>
      </c>
      <c r="G25" s="187"/>
      <c r="H25" s="187"/>
      <c r="I25" s="187"/>
      <c r="J25" s="187"/>
      <c r="K25" s="187"/>
      <c r="L25" s="335"/>
      <c r="M25" s="335"/>
      <c r="N25" s="335"/>
      <c r="O25" s="335"/>
      <c r="P25" s="335"/>
      <c r="Q25" s="12">
        <f>SUM(G25:P25)</f>
        <v>0</v>
      </c>
      <c r="R25" s="388"/>
      <c r="S25" s="336"/>
    </row>
    <row r="26" spans="1:19" ht="14.25" customHeight="1">
      <c r="A26" s="8"/>
      <c r="B26" s="8"/>
      <c r="C26" s="333"/>
      <c r="D26" s="12" t="s">
        <v>704</v>
      </c>
      <c r="E26" s="337"/>
      <c r="F26" s="23"/>
      <c r="G26" s="187"/>
      <c r="H26" s="187"/>
      <c r="I26" s="187"/>
      <c r="J26" s="187"/>
      <c r="K26" s="187"/>
      <c r="L26" s="335"/>
      <c r="M26" s="335"/>
      <c r="N26" s="335"/>
      <c r="O26" s="335"/>
      <c r="P26" s="335"/>
      <c r="Q26" s="12"/>
      <c r="R26" s="388"/>
      <c r="S26" s="336"/>
    </row>
    <row r="27" spans="1:19" ht="14.25" customHeight="1" hidden="1">
      <c r="A27" s="8"/>
      <c r="B27" s="8"/>
      <c r="C27" s="333"/>
      <c r="D27" s="12" t="s">
        <v>1394</v>
      </c>
      <c r="E27" s="337">
        <v>1</v>
      </c>
      <c r="F27" s="23">
        <v>121204</v>
      </c>
      <c r="G27" s="187"/>
      <c r="H27" s="187"/>
      <c r="I27" s="187"/>
      <c r="J27" s="187"/>
      <c r="K27" s="187"/>
      <c r="L27" s="335"/>
      <c r="M27" s="335"/>
      <c r="N27" s="335"/>
      <c r="O27" s="335"/>
      <c r="P27" s="335"/>
      <c r="Q27" s="12">
        <f>SUM(G27:P27)</f>
        <v>0</v>
      </c>
      <c r="R27" s="388"/>
      <c r="S27" s="336"/>
    </row>
    <row r="28" spans="1:19" ht="14.25" customHeight="1" hidden="1">
      <c r="A28" s="8"/>
      <c r="B28" s="8"/>
      <c r="C28" s="333"/>
      <c r="D28" s="12" t="s">
        <v>595</v>
      </c>
      <c r="E28" s="337">
        <v>2</v>
      </c>
      <c r="F28" s="23">
        <v>121202</v>
      </c>
      <c r="G28" s="187"/>
      <c r="H28" s="187"/>
      <c r="I28" s="187"/>
      <c r="J28" s="187"/>
      <c r="K28" s="187"/>
      <c r="L28" s="335"/>
      <c r="M28" s="335"/>
      <c r="N28" s="335"/>
      <c r="O28" s="335"/>
      <c r="P28" s="335"/>
      <c r="Q28" s="12">
        <f>SUM(G28:P28)</f>
        <v>0</v>
      </c>
      <c r="R28" s="388"/>
      <c r="S28" s="336"/>
    </row>
    <row r="29" spans="1:19" ht="14.25" customHeight="1" hidden="1">
      <c r="A29" s="8"/>
      <c r="B29" s="8"/>
      <c r="C29" s="333"/>
      <c r="D29" s="116" t="s">
        <v>1057</v>
      </c>
      <c r="E29" s="337">
        <v>1</v>
      </c>
      <c r="F29" s="23">
        <v>121203</v>
      </c>
      <c r="G29" s="187"/>
      <c r="H29" s="187"/>
      <c r="I29" s="187"/>
      <c r="J29" s="187"/>
      <c r="K29" s="187"/>
      <c r="L29" s="335"/>
      <c r="M29" s="335"/>
      <c r="N29" s="335"/>
      <c r="O29" s="335"/>
      <c r="P29" s="335"/>
      <c r="Q29" s="12">
        <f>SUM(G29:P29)</f>
        <v>0</v>
      </c>
      <c r="R29" s="388"/>
      <c r="S29" s="336"/>
    </row>
    <row r="30" spans="1:19" ht="14.25" customHeight="1">
      <c r="A30" s="8"/>
      <c r="B30" s="8"/>
      <c r="C30" s="333"/>
      <c r="D30" s="116" t="s">
        <v>596</v>
      </c>
      <c r="E30" s="337">
        <v>2</v>
      </c>
      <c r="F30" s="23">
        <v>121304</v>
      </c>
      <c r="G30" s="187"/>
      <c r="H30" s="187"/>
      <c r="I30" s="187">
        <v>-390</v>
      </c>
      <c r="J30" s="187"/>
      <c r="K30" s="187"/>
      <c r="L30" s="335"/>
      <c r="M30" s="335"/>
      <c r="N30" s="335"/>
      <c r="O30" s="335"/>
      <c r="P30" s="335"/>
      <c r="Q30" s="12">
        <f>SUM(G30:P30)</f>
        <v>-390</v>
      </c>
      <c r="R30" s="388" t="s">
        <v>147</v>
      </c>
      <c r="S30" s="336"/>
    </row>
    <row r="31" spans="1:19" ht="14.25" customHeight="1" hidden="1">
      <c r="A31" s="8"/>
      <c r="B31" s="8"/>
      <c r="C31" s="333"/>
      <c r="D31" s="16" t="s">
        <v>1060</v>
      </c>
      <c r="E31" s="337"/>
      <c r="F31" s="23"/>
      <c r="G31" s="15"/>
      <c r="H31" s="15"/>
      <c r="I31" s="9"/>
      <c r="J31" s="9"/>
      <c r="K31" s="187"/>
      <c r="L31" s="338"/>
      <c r="M31" s="338"/>
      <c r="N31" s="338"/>
      <c r="O31" s="338"/>
      <c r="P31" s="339"/>
      <c r="Q31" s="12"/>
      <c r="R31" s="388"/>
      <c r="S31" s="336"/>
    </row>
    <row r="32" spans="1:19" ht="14.25" customHeight="1" hidden="1">
      <c r="A32" s="8"/>
      <c r="B32" s="8"/>
      <c r="C32" s="333"/>
      <c r="D32" s="12" t="s">
        <v>1395</v>
      </c>
      <c r="E32" s="337">
        <v>2</v>
      </c>
      <c r="F32" s="23">
        <v>121504</v>
      </c>
      <c r="G32" s="187"/>
      <c r="H32" s="187"/>
      <c r="I32" s="187"/>
      <c r="J32" s="9"/>
      <c r="K32" s="187"/>
      <c r="L32" s="338"/>
      <c r="M32" s="338"/>
      <c r="N32" s="338"/>
      <c r="O32" s="338"/>
      <c r="P32" s="339"/>
      <c r="Q32" s="12">
        <f>SUM(G32:P32)</f>
        <v>0</v>
      </c>
      <c r="R32" s="388"/>
      <c r="S32" s="336"/>
    </row>
    <row r="33" spans="1:19" ht="14.25" customHeight="1" hidden="1">
      <c r="A33" s="8"/>
      <c r="B33" s="8"/>
      <c r="C33" s="333"/>
      <c r="D33" s="12" t="s">
        <v>1361</v>
      </c>
      <c r="E33" s="337"/>
      <c r="F33" s="23"/>
      <c r="G33" s="9"/>
      <c r="H33" s="9"/>
      <c r="I33" s="9"/>
      <c r="J33" s="338"/>
      <c r="K33" s="187"/>
      <c r="L33" s="338"/>
      <c r="M33" s="338"/>
      <c r="N33" s="338"/>
      <c r="O33" s="338"/>
      <c r="P33" s="339"/>
      <c r="Q33" s="12"/>
      <c r="R33" s="388"/>
      <c r="S33" s="336"/>
    </row>
    <row r="34" spans="1:19" ht="12" customHeight="1" hidden="1">
      <c r="A34" s="13"/>
      <c r="B34" s="340"/>
      <c r="C34" s="341"/>
      <c r="D34" s="15" t="s">
        <v>1396</v>
      </c>
      <c r="E34" s="337">
        <v>1</v>
      </c>
      <c r="F34" s="23">
        <v>121403</v>
      </c>
      <c r="G34" s="15"/>
      <c r="H34" s="15"/>
      <c r="I34" s="15"/>
      <c r="J34" s="342"/>
      <c r="K34" s="15"/>
      <c r="L34" s="342"/>
      <c r="M34" s="342"/>
      <c r="N34" s="342"/>
      <c r="O34" s="342"/>
      <c r="P34" s="342"/>
      <c r="Q34" s="12">
        <f>SUM(G34:P34)</f>
        <v>0</v>
      </c>
      <c r="R34" s="388"/>
      <c r="S34" s="336"/>
    </row>
    <row r="35" spans="1:19" ht="12" customHeight="1" hidden="1">
      <c r="A35" s="13"/>
      <c r="B35" s="340"/>
      <c r="C35" s="341"/>
      <c r="D35" s="15" t="s">
        <v>1397</v>
      </c>
      <c r="E35" s="15"/>
      <c r="F35" s="23"/>
      <c r="G35" s="15"/>
      <c r="H35" s="15"/>
      <c r="I35" s="15"/>
      <c r="J35" s="342"/>
      <c r="K35" s="15"/>
      <c r="L35" s="342"/>
      <c r="M35" s="342"/>
      <c r="N35" s="342"/>
      <c r="O35" s="342"/>
      <c r="P35" s="342"/>
      <c r="Q35" s="12"/>
      <c r="R35" s="388"/>
      <c r="S35" s="336"/>
    </row>
    <row r="36" spans="1:19" ht="12" customHeight="1" hidden="1">
      <c r="A36" s="13"/>
      <c r="B36" s="13"/>
      <c r="C36" s="205"/>
      <c r="D36" s="16" t="s">
        <v>1398</v>
      </c>
      <c r="E36" s="15">
        <v>1</v>
      </c>
      <c r="F36" s="23">
        <v>121301</v>
      </c>
      <c r="G36" s="15"/>
      <c r="H36" s="15"/>
      <c r="I36" s="15"/>
      <c r="J36" s="15"/>
      <c r="K36" s="15"/>
      <c r="L36" s="15"/>
      <c r="M36" s="342"/>
      <c r="N36" s="342"/>
      <c r="O36" s="342"/>
      <c r="P36" s="342"/>
      <c r="Q36" s="12">
        <f>SUM(G36:P36)</f>
        <v>0</v>
      </c>
      <c r="R36" s="388"/>
      <c r="S36" s="336"/>
    </row>
    <row r="37" spans="1:19" ht="12" customHeight="1">
      <c r="A37" s="13"/>
      <c r="B37" s="13"/>
      <c r="C37" s="205"/>
      <c r="D37" s="343" t="s">
        <v>414</v>
      </c>
      <c r="E37" s="337"/>
      <c r="F37" s="23"/>
      <c r="G37" s="15"/>
      <c r="H37" s="15"/>
      <c r="I37" s="15"/>
      <c r="J37" s="342"/>
      <c r="K37" s="15"/>
      <c r="L37" s="342"/>
      <c r="M37" s="342"/>
      <c r="N37" s="342"/>
      <c r="O37" s="342"/>
      <c r="P37" s="15"/>
      <c r="Q37" s="12"/>
      <c r="R37" s="388"/>
      <c r="S37" s="336"/>
    </row>
    <row r="38" spans="1:19" ht="12" customHeight="1">
      <c r="A38" s="13"/>
      <c r="B38" s="13"/>
      <c r="C38" s="205"/>
      <c r="D38" s="119" t="s">
        <v>1058</v>
      </c>
      <c r="E38" s="337">
        <v>2</v>
      </c>
      <c r="F38" s="23">
        <v>221902</v>
      </c>
      <c r="G38" s="15"/>
      <c r="H38" s="15"/>
      <c r="I38" s="15">
        <v>-570</v>
      </c>
      <c r="J38" s="342"/>
      <c r="K38" s="15"/>
      <c r="L38" s="342"/>
      <c r="M38" s="342"/>
      <c r="N38" s="342"/>
      <c r="O38" s="342"/>
      <c r="P38" s="15"/>
      <c r="Q38" s="12">
        <f>SUM(G38:P38)</f>
        <v>-570</v>
      </c>
      <c r="R38" s="388" t="s">
        <v>147</v>
      </c>
      <c r="S38" s="336"/>
    </row>
    <row r="39" spans="1:19" ht="12" customHeight="1" hidden="1">
      <c r="A39" s="13"/>
      <c r="B39" s="13"/>
      <c r="C39" s="205"/>
      <c r="D39" s="344" t="s">
        <v>364</v>
      </c>
      <c r="E39" s="337">
        <v>2</v>
      </c>
      <c r="F39" s="23" t="s">
        <v>1194</v>
      </c>
      <c r="G39" s="15"/>
      <c r="H39" s="15"/>
      <c r="I39" s="15"/>
      <c r="J39" s="15"/>
      <c r="K39" s="15"/>
      <c r="L39" s="342"/>
      <c r="M39" s="342"/>
      <c r="N39" s="342"/>
      <c r="O39" s="342"/>
      <c r="P39" s="15"/>
      <c r="Q39" s="12">
        <f>SUM(G39:P39)</f>
        <v>0</v>
      </c>
      <c r="R39" s="388"/>
      <c r="S39" s="336"/>
    </row>
    <row r="40" spans="1:19" ht="13.5" customHeight="1" hidden="1">
      <c r="A40" s="13"/>
      <c r="B40" s="13"/>
      <c r="C40" s="205"/>
      <c r="D40" s="345" t="s">
        <v>1399</v>
      </c>
      <c r="E40" s="337"/>
      <c r="F40" s="2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2"/>
      <c r="R40" s="388"/>
      <c r="S40" s="336"/>
    </row>
    <row r="41" spans="1:19" ht="13.5" customHeight="1" hidden="1">
      <c r="A41" s="13"/>
      <c r="B41" s="13"/>
      <c r="C41" s="205"/>
      <c r="D41" s="24" t="s">
        <v>1400</v>
      </c>
      <c r="E41" s="337">
        <v>1</v>
      </c>
      <c r="F41" s="23">
        <v>121601</v>
      </c>
      <c r="G41" s="25"/>
      <c r="H41" s="25"/>
      <c r="I41" s="15"/>
      <c r="J41" s="15"/>
      <c r="K41" s="15"/>
      <c r="L41" s="15"/>
      <c r="M41" s="25"/>
      <c r="N41" s="25"/>
      <c r="O41" s="25"/>
      <c r="P41" s="25"/>
      <c r="Q41" s="24">
        <f>SUM(G41:P41)</f>
        <v>0</v>
      </c>
      <c r="R41" s="388"/>
      <c r="S41" s="336"/>
    </row>
    <row r="42" spans="1:19" ht="22.5" customHeight="1">
      <c r="A42" s="13"/>
      <c r="B42" s="13"/>
      <c r="C42" s="205"/>
      <c r="D42" s="748" t="s">
        <v>164</v>
      </c>
      <c r="E42" s="337"/>
      <c r="F42" s="23"/>
      <c r="G42" s="25"/>
      <c r="H42" s="25"/>
      <c r="I42" s="15"/>
      <c r="J42" s="15"/>
      <c r="K42" s="15"/>
      <c r="L42" s="15"/>
      <c r="M42" s="25"/>
      <c r="N42" s="25"/>
      <c r="O42" s="25"/>
      <c r="P42" s="25"/>
      <c r="Q42" s="24"/>
      <c r="R42" s="388"/>
      <c r="S42" s="336"/>
    </row>
    <row r="43" spans="1:19" ht="13.5" customHeight="1">
      <c r="A43" s="13"/>
      <c r="B43" s="13"/>
      <c r="C43" s="205"/>
      <c r="D43" s="16" t="s">
        <v>165</v>
      </c>
      <c r="E43" s="337">
        <v>1</v>
      </c>
      <c r="F43" s="23">
        <v>121112</v>
      </c>
      <c r="G43" s="25"/>
      <c r="H43" s="25"/>
      <c r="I43" s="15"/>
      <c r="J43" s="15">
        <v>20</v>
      </c>
      <c r="K43" s="15"/>
      <c r="L43" s="15"/>
      <c r="M43" s="25"/>
      <c r="N43" s="25"/>
      <c r="O43" s="25"/>
      <c r="P43" s="25"/>
      <c r="Q43" s="24">
        <f>SUM(G43:P43)</f>
        <v>20</v>
      </c>
      <c r="R43" s="388" t="s">
        <v>147</v>
      </c>
      <c r="S43" s="336"/>
    </row>
    <row r="44" spans="1:19" ht="13.5" customHeight="1" hidden="1">
      <c r="A44" s="13"/>
      <c r="B44" s="13"/>
      <c r="C44" s="205"/>
      <c r="D44" s="16" t="s">
        <v>55</v>
      </c>
      <c r="E44" s="337"/>
      <c r="F44" s="23"/>
      <c r="G44" s="25"/>
      <c r="H44" s="25"/>
      <c r="I44" s="15"/>
      <c r="J44" s="15"/>
      <c r="K44" s="15"/>
      <c r="L44" s="15"/>
      <c r="M44" s="25"/>
      <c r="N44" s="25"/>
      <c r="O44" s="25"/>
      <c r="P44" s="25"/>
      <c r="Q44" s="24"/>
      <c r="R44" s="388"/>
      <c r="S44" s="336"/>
    </row>
    <row r="45" spans="1:19" ht="13.5" customHeight="1" hidden="1">
      <c r="A45" s="13"/>
      <c r="B45" s="13"/>
      <c r="C45" s="205"/>
      <c r="D45" s="16" t="s">
        <v>34</v>
      </c>
      <c r="E45" s="337">
        <v>2</v>
      </c>
      <c r="F45" s="23">
        <v>128901</v>
      </c>
      <c r="G45" s="25"/>
      <c r="H45" s="25"/>
      <c r="I45" s="15"/>
      <c r="J45" s="15"/>
      <c r="K45" s="15"/>
      <c r="L45" s="15"/>
      <c r="M45" s="25"/>
      <c r="N45" s="25"/>
      <c r="O45" s="25"/>
      <c r="P45" s="25"/>
      <c r="Q45" s="24">
        <f>SUM(G45:P45)</f>
        <v>0</v>
      </c>
      <c r="R45" s="388"/>
      <c r="S45" s="336"/>
    </row>
    <row r="46" spans="1:19" ht="13.5">
      <c r="A46" s="17"/>
      <c r="B46" s="17"/>
      <c r="C46" s="346"/>
      <c r="D46" s="18" t="s">
        <v>1401</v>
      </c>
      <c r="E46" s="347"/>
      <c r="F46" s="17"/>
      <c r="G46" s="348">
        <f>SUM(G5:G41)</f>
        <v>0</v>
      </c>
      <c r="H46" s="348">
        <f>SUM(H5:H41)</f>
        <v>0</v>
      </c>
      <c r="I46" s="348">
        <f>SUM(I5:I45)</f>
        <v>-960</v>
      </c>
      <c r="J46" s="348">
        <f aca="true" t="shared" si="0" ref="J46:Q46">SUM(J5:J45)</f>
        <v>5385</v>
      </c>
      <c r="K46" s="348">
        <f t="shared" si="0"/>
        <v>0</v>
      </c>
      <c r="L46" s="348">
        <f t="shared" si="0"/>
        <v>0</v>
      </c>
      <c r="M46" s="348">
        <f t="shared" si="0"/>
        <v>0</v>
      </c>
      <c r="N46" s="348">
        <f t="shared" si="0"/>
        <v>0</v>
      </c>
      <c r="O46" s="348">
        <f t="shared" si="0"/>
        <v>0</v>
      </c>
      <c r="P46" s="348">
        <f t="shared" si="0"/>
        <v>0</v>
      </c>
      <c r="Q46" s="348">
        <f t="shared" si="0"/>
        <v>4425</v>
      </c>
      <c r="R46" s="576"/>
      <c r="S46" s="336"/>
    </row>
    <row r="47" spans="1:18" ht="12">
      <c r="A47" s="13"/>
      <c r="B47" s="13"/>
      <c r="C47" s="205"/>
      <c r="D47" s="16" t="s">
        <v>1402</v>
      </c>
      <c r="E47" s="14"/>
      <c r="F47" s="13"/>
      <c r="G47" s="15"/>
      <c r="H47" s="15"/>
      <c r="I47" s="15"/>
      <c r="J47" s="15"/>
      <c r="K47" s="15"/>
      <c r="L47" s="15"/>
      <c r="M47" s="15"/>
      <c r="N47" s="20"/>
      <c r="O47" s="20"/>
      <c r="P47" s="20"/>
      <c r="Q47" s="16">
        <f>SUM(G47:P47)</f>
        <v>0</v>
      </c>
      <c r="R47" s="388"/>
    </row>
    <row r="48" spans="1:18" ht="28.5" customHeight="1" hidden="1">
      <c r="A48" s="13"/>
      <c r="B48" s="13"/>
      <c r="C48" s="205" t="s">
        <v>623</v>
      </c>
      <c r="D48" s="349" t="s">
        <v>736</v>
      </c>
      <c r="E48" s="15"/>
      <c r="F48" s="13">
        <v>121401</v>
      </c>
      <c r="G48" s="15"/>
      <c r="H48" s="15"/>
      <c r="I48" s="15"/>
      <c r="J48" s="15"/>
      <c r="K48" s="15"/>
      <c r="L48" s="15"/>
      <c r="M48" s="15"/>
      <c r="N48" s="15"/>
      <c r="O48" s="20"/>
      <c r="P48" s="20"/>
      <c r="Q48" s="16">
        <f>SUM(G48:P48)</f>
        <v>0</v>
      </c>
      <c r="R48" s="388"/>
    </row>
    <row r="49" spans="1:18" ht="12" hidden="1">
      <c r="A49" s="13"/>
      <c r="B49" s="13"/>
      <c r="C49" s="205"/>
      <c r="D49" s="16" t="s">
        <v>1403</v>
      </c>
      <c r="E49" s="15"/>
      <c r="F49" s="13"/>
      <c r="G49" s="15"/>
      <c r="H49" s="15"/>
      <c r="I49" s="15"/>
      <c r="J49" s="15"/>
      <c r="K49" s="15"/>
      <c r="L49" s="15"/>
      <c r="M49" s="15"/>
      <c r="N49" s="15"/>
      <c r="O49" s="20"/>
      <c r="P49" s="20"/>
      <c r="Q49" s="16">
        <f>SUM(G49:P49)</f>
        <v>0</v>
      </c>
      <c r="R49" s="388"/>
    </row>
    <row r="50" spans="1:18" ht="24" hidden="1">
      <c r="A50" s="13"/>
      <c r="B50" s="13"/>
      <c r="C50" s="205" t="s">
        <v>496</v>
      </c>
      <c r="D50" s="126" t="s">
        <v>743</v>
      </c>
      <c r="E50" s="15"/>
      <c r="F50" s="13">
        <v>121402</v>
      </c>
      <c r="G50" s="15"/>
      <c r="H50" s="15"/>
      <c r="I50" s="15"/>
      <c r="J50" s="15"/>
      <c r="K50" s="15"/>
      <c r="L50" s="15"/>
      <c r="M50" s="15"/>
      <c r="N50" s="15"/>
      <c r="O50" s="20"/>
      <c r="P50" s="20"/>
      <c r="Q50" s="16">
        <f>SUM(G50:P50)</f>
        <v>0</v>
      </c>
      <c r="R50" s="388"/>
    </row>
    <row r="51" spans="1:18" ht="25.5" hidden="1">
      <c r="A51" s="13"/>
      <c r="B51" s="13"/>
      <c r="C51" s="205" t="s">
        <v>535</v>
      </c>
      <c r="D51" s="140" t="s">
        <v>495</v>
      </c>
      <c r="E51" s="15"/>
      <c r="F51" s="13">
        <v>121404</v>
      </c>
      <c r="G51" s="15"/>
      <c r="H51" s="15"/>
      <c r="I51" s="15"/>
      <c r="J51" s="15"/>
      <c r="K51" s="15"/>
      <c r="L51" s="15"/>
      <c r="M51" s="15"/>
      <c r="N51" s="15"/>
      <c r="O51" s="20"/>
      <c r="P51" s="20"/>
      <c r="Q51" s="16">
        <f>SUM(G51:P51)</f>
        <v>0</v>
      </c>
      <c r="R51" s="388"/>
    </row>
    <row r="52" spans="1:18" ht="13.5">
      <c r="A52" s="17"/>
      <c r="B52" s="17"/>
      <c r="C52" s="346"/>
      <c r="D52" s="18" t="s">
        <v>421</v>
      </c>
      <c r="E52" s="347"/>
      <c r="F52" s="17"/>
      <c r="G52" s="265">
        <f aca="true" t="shared" si="1" ref="G52:N52">SUM(G46:G51)</f>
        <v>0</v>
      </c>
      <c r="H52" s="265">
        <f t="shared" si="1"/>
        <v>0</v>
      </c>
      <c r="I52" s="265">
        <f t="shared" si="1"/>
        <v>-960</v>
      </c>
      <c r="J52" s="265">
        <f t="shared" si="1"/>
        <v>5385</v>
      </c>
      <c r="K52" s="265">
        <f t="shared" si="1"/>
        <v>0</v>
      </c>
      <c r="L52" s="265">
        <f t="shared" si="1"/>
        <v>0</v>
      </c>
      <c r="M52" s="265">
        <f t="shared" si="1"/>
        <v>0</v>
      </c>
      <c r="N52" s="265">
        <f t="shared" si="1"/>
        <v>0</v>
      </c>
      <c r="O52" s="265"/>
      <c r="P52" s="265">
        <f>SUM(P46:P51)</f>
        <v>0</v>
      </c>
      <c r="Q52" s="318">
        <f>SUM(Q46:Q51)</f>
        <v>4425</v>
      </c>
      <c r="R52" s="576"/>
    </row>
    <row r="53" spans="1:18" ht="12">
      <c r="A53" s="13">
        <v>1</v>
      </c>
      <c r="B53" s="13">
        <v>13</v>
      </c>
      <c r="C53" s="13"/>
      <c r="D53" s="331" t="s">
        <v>353</v>
      </c>
      <c r="E53" s="20" t="s">
        <v>1404</v>
      </c>
      <c r="F53" s="183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  <c r="R53" s="388"/>
    </row>
    <row r="54" spans="1:18" ht="12">
      <c r="A54" s="13"/>
      <c r="B54" s="13"/>
      <c r="C54" s="205"/>
      <c r="D54" s="350" t="s">
        <v>480</v>
      </c>
      <c r="E54" s="20"/>
      <c r="F54" s="183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  <c r="R54" s="388"/>
    </row>
    <row r="55" spans="1:18" ht="12">
      <c r="A55" s="13"/>
      <c r="B55" s="13"/>
      <c r="C55" s="205"/>
      <c r="D55" s="116" t="s">
        <v>415</v>
      </c>
      <c r="E55" s="337"/>
      <c r="F55" s="23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  <c r="R55" s="388"/>
    </row>
    <row r="56" spans="1:18" ht="15" customHeight="1" hidden="1">
      <c r="A56" s="13"/>
      <c r="B56" s="13"/>
      <c r="C56" s="205"/>
      <c r="D56" s="16" t="s">
        <v>1405</v>
      </c>
      <c r="E56" s="15">
        <v>2</v>
      </c>
      <c r="F56" s="13">
        <v>131112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>
        <f>SUM(G56:P56)</f>
        <v>0</v>
      </c>
      <c r="R56" s="388"/>
    </row>
    <row r="57" spans="1:18" ht="15" customHeight="1">
      <c r="A57" s="13"/>
      <c r="B57" s="13"/>
      <c r="C57" s="205"/>
      <c r="D57" s="204" t="s">
        <v>1059</v>
      </c>
      <c r="E57" s="15">
        <v>2</v>
      </c>
      <c r="F57" s="13">
        <v>131123</v>
      </c>
      <c r="G57" s="15"/>
      <c r="H57" s="15"/>
      <c r="I57" s="15"/>
      <c r="J57" s="15"/>
      <c r="K57" s="15">
        <v>-200</v>
      </c>
      <c r="L57" s="15"/>
      <c r="M57" s="15"/>
      <c r="N57" s="15"/>
      <c r="O57" s="15"/>
      <c r="P57" s="15"/>
      <c r="Q57" s="16">
        <f>SUM(G57:P57)</f>
        <v>-200</v>
      </c>
      <c r="R57" s="388" t="s">
        <v>1040</v>
      </c>
    </row>
    <row r="58" spans="1:18" ht="15" customHeight="1">
      <c r="A58" s="13"/>
      <c r="B58" s="13"/>
      <c r="C58" s="205"/>
      <c r="D58" s="204" t="s">
        <v>1406</v>
      </c>
      <c r="E58" s="15">
        <v>2</v>
      </c>
      <c r="F58" s="13">
        <v>131122</v>
      </c>
      <c r="G58" s="15">
        <v>30</v>
      </c>
      <c r="H58" s="15">
        <v>8</v>
      </c>
      <c r="I58" s="15">
        <v>-91</v>
      </c>
      <c r="J58" s="15"/>
      <c r="K58" s="15">
        <v>53</v>
      </c>
      <c r="L58" s="15"/>
      <c r="M58" s="15"/>
      <c r="N58" s="15"/>
      <c r="O58" s="15"/>
      <c r="P58" s="15"/>
      <c r="Q58" s="16">
        <f>SUM(G58:P58)</f>
        <v>0</v>
      </c>
      <c r="R58" s="388" t="s">
        <v>147</v>
      </c>
    </row>
    <row r="59" spans="1:18" ht="15" customHeight="1" hidden="1">
      <c r="A59" s="13"/>
      <c r="B59" s="13"/>
      <c r="C59" s="205"/>
      <c r="D59" s="204" t="s">
        <v>1407</v>
      </c>
      <c r="E59" s="15"/>
      <c r="F59" s="13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/>
      <c r="R59" s="388"/>
    </row>
    <row r="60" spans="1:18" ht="24.75" customHeight="1" hidden="1">
      <c r="A60" s="13"/>
      <c r="B60" s="13"/>
      <c r="C60" s="205"/>
      <c r="D60" s="204" t="s">
        <v>0</v>
      </c>
      <c r="E60" s="15">
        <v>2</v>
      </c>
      <c r="F60" s="13">
        <v>131110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>
        <f>SUM(G60:P60)</f>
        <v>0</v>
      </c>
      <c r="R60" s="388"/>
    </row>
    <row r="61" spans="1:18" ht="12" customHeight="1" hidden="1">
      <c r="A61" s="13"/>
      <c r="B61" s="13"/>
      <c r="C61" s="205"/>
      <c r="D61" s="204" t="s">
        <v>415</v>
      </c>
      <c r="E61" s="15"/>
      <c r="F61" s="1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/>
      <c r="R61" s="388"/>
    </row>
    <row r="62" spans="1:18" ht="14.25" customHeight="1" hidden="1">
      <c r="A62" s="13"/>
      <c r="B62" s="13"/>
      <c r="C62" s="205"/>
      <c r="D62" s="24" t="s">
        <v>1</v>
      </c>
      <c r="E62" s="15">
        <v>2</v>
      </c>
      <c r="F62" s="13">
        <v>131107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4">
        <f>SUM(G62:P62)</f>
        <v>0</v>
      </c>
      <c r="R62" s="388"/>
    </row>
    <row r="63" spans="1:18" ht="14.25" customHeight="1" hidden="1">
      <c r="A63" s="13"/>
      <c r="B63" s="13"/>
      <c r="C63" s="205"/>
      <c r="D63" s="24" t="s">
        <v>1060</v>
      </c>
      <c r="E63" s="15"/>
      <c r="F63" s="13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4"/>
      <c r="R63" s="388"/>
    </row>
    <row r="64" spans="1:18" ht="24.75" customHeight="1" hidden="1">
      <c r="A64" s="13"/>
      <c r="B64" s="13"/>
      <c r="C64" s="205"/>
      <c r="D64" s="202" t="s">
        <v>2</v>
      </c>
      <c r="E64" s="15">
        <v>2</v>
      </c>
      <c r="F64" s="13">
        <v>131115</v>
      </c>
      <c r="G64" s="25"/>
      <c r="H64" s="25"/>
      <c r="I64" s="25"/>
      <c r="J64" s="15"/>
      <c r="K64" s="15"/>
      <c r="L64" s="25"/>
      <c r="M64" s="25"/>
      <c r="N64" s="25"/>
      <c r="O64" s="25"/>
      <c r="P64" s="25"/>
      <c r="Q64" s="24">
        <f>SUM(G64:P64)</f>
        <v>0</v>
      </c>
      <c r="R64" s="388"/>
    </row>
    <row r="65" spans="1:18" ht="15" customHeight="1">
      <c r="A65" s="13"/>
      <c r="B65" s="13"/>
      <c r="C65" s="205"/>
      <c r="D65" s="351" t="s">
        <v>481</v>
      </c>
      <c r="E65" s="352"/>
      <c r="F65" s="651"/>
      <c r="G65" s="25"/>
      <c r="H65" s="25"/>
      <c r="I65" s="25"/>
      <c r="J65" s="15"/>
      <c r="K65" s="15"/>
      <c r="L65" s="25"/>
      <c r="M65" s="25"/>
      <c r="N65" s="25"/>
      <c r="O65" s="25"/>
      <c r="P65" s="25"/>
      <c r="Q65" s="24"/>
      <c r="R65" s="388"/>
    </row>
    <row r="66" spans="1:18" ht="24.75" customHeight="1">
      <c r="A66" s="13"/>
      <c r="B66" s="13"/>
      <c r="C66" s="205"/>
      <c r="D66" s="204" t="s">
        <v>3</v>
      </c>
      <c r="E66" s="353"/>
      <c r="F66" s="65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388"/>
    </row>
    <row r="67" spans="1:18" ht="12" customHeight="1">
      <c r="A67" s="13"/>
      <c r="B67" s="13"/>
      <c r="C67" s="205"/>
      <c r="D67" s="16" t="s">
        <v>343</v>
      </c>
      <c r="E67" s="15">
        <v>2</v>
      </c>
      <c r="F67" s="13">
        <v>131201</v>
      </c>
      <c r="G67" s="15"/>
      <c r="H67" s="15"/>
      <c r="I67" s="15">
        <v>-300</v>
      </c>
      <c r="J67" s="15"/>
      <c r="K67" s="15"/>
      <c r="L67" s="15"/>
      <c r="M67" s="15"/>
      <c r="N67" s="15"/>
      <c r="O67" s="15"/>
      <c r="P67" s="15"/>
      <c r="Q67" s="16">
        <f aca="true" t="shared" si="2" ref="Q67:Q72">SUM(G67:P67)</f>
        <v>-300</v>
      </c>
      <c r="R67" s="388" t="s">
        <v>658</v>
      </c>
    </row>
    <row r="68" spans="1:18" ht="12" customHeight="1">
      <c r="A68" s="13"/>
      <c r="B68" s="13"/>
      <c r="C68" s="205"/>
      <c r="D68" s="16" t="s">
        <v>1206</v>
      </c>
      <c r="E68" s="15">
        <v>2</v>
      </c>
      <c r="F68" s="13">
        <v>131202</v>
      </c>
      <c r="G68" s="15">
        <v>53</v>
      </c>
      <c r="H68" s="15"/>
      <c r="I68" s="15">
        <v>-53</v>
      </c>
      <c r="J68" s="15"/>
      <c r="K68" s="15"/>
      <c r="L68" s="15"/>
      <c r="M68" s="15"/>
      <c r="N68" s="15"/>
      <c r="O68" s="15"/>
      <c r="P68" s="15"/>
      <c r="Q68" s="16">
        <f t="shared" si="2"/>
        <v>0</v>
      </c>
      <c r="R68" s="388" t="s">
        <v>147</v>
      </c>
    </row>
    <row r="69" spans="1:18" ht="12" customHeight="1" hidden="1">
      <c r="A69" s="13"/>
      <c r="B69" s="13"/>
      <c r="C69" s="205"/>
      <c r="D69" s="16" t="s">
        <v>4</v>
      </c>
      <c r="E69" s="15">
        <v>2</v>
      </c>
      <c r="F69" s="13">
        <v>131205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>
        <f t="shared" si="2"/>
        <v>0</v>
      </c>
      <c r="R69" s="388"/>
    </row>
    <row r="70" spans="1:18" ht="12" customHeight="1" hidden="1">
      <c r="A70" s="13"/>
      <c r="B70" s="13"/>
      <c r="C70" s="205"/>
      <c r="D70" s="16" t="s">
        <v>5</v>
      </c>
      <c r="E70" s="15">
        <v>2</v>
      </c>
      <c r="F70" s="13">
        <v>131206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t="shared" si="2"/>
        <v>0</v>
      </c>
      <c r="R70" s="388"/>
    </row>
    <row r="71" spans="1:18" ht="12" customHeight="1">
      <c r="A71" s="13"/>
      <c r="B71" s="13"/>
      <c r="C71" s="205"/>
      <c r="D71" s="116" t="s">
        <v>1207</v>
      </c>
      <c r="E71" s="15">
        <v>2</v>
      </c>
      <c r="F71" s="13">
        <v>131209</v>
      </c>
      <c r="G71" s="15"/>
      <c r="H71" s="15"/>
      <c r="I71" s="15">
        <v>300</v>
      </c>
      <c r="J71" s="15"/>
      <c r="K71" s="15"/>
      <c r="L71" s="15"/>
      <c r="M71" s="15"/>
      <c r="N71" s="15"/>
      <c r="O71" s="15"/>
      <c r="P71" s="15"/>
      <c r="Q71" s="16">
        <f t="shared" si="2"/>
        <v>300</v>
      </c>
      <c r="R71" s="388" t="s">
        <v>658</v>
      </c>
    </row>
    <row r="72" spans="1:18" ht="24.75" customHeight="1" hidden="1">
      <c r="A72" s="13"/>
      <c r="B72" s="13"/>
      <c r="C72" s="205"/>
      <c r="D72" s="204" t="s">
        <v>305</v>
      </c>
      <c r="E72" s="15">
        <v>2</v>
      </c>
      <c r="F72" s="13">
        <v>131210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>
        <f t="shared" si="2"/>
        <v>0</v>
      </c>
      <c r="R72" s="388"/>
    </row>
    <row r="73" spans="1:18" ht="12" customHeight="1" hidden="1">
      <c r="A73" s="13"/>
      <c r="B73" s="13"/>
      <c r="C73" s="205"/>
      <c r="D73" s="16" t="s">
        <v>1060</v>
      </c>
      <c r="E73" s="15"/>
      <c r="F73" s="13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  <c r="R73" s="388"/>
    </row>
    <row r="74" spans="1:18" ht="12" customHeight="1" hidden="1">
      <c r="A74" s="13"/>
      <c r="B74" s="13"/>
      <c r="C74" s="205"/>
      <c r="D74" s="116" t="s">
        <v>1070</v>
      </c>
      <c r="E74" s="15">
        <v>2</v>
      </c>
      <c r="F74" s="13">
        <v>131101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>
        <f>SUM(G74:P74)</f>
        <v>0</v>
      </c>
      <c r="R74" s="388"/>
    </row>
    <row r="75" spans="1:18" ht="12" customHeight="1" hidden="1">
      <c r="A75" s="13"/>
      <c r="B75" s="13"/>
      <c r="C75" s="205"/>
      <c r="D75" s="116" t="s">
        <v>6</v>
      </c>
      <c r="E75" s="15"/>
      <c r="F75" s="13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/>
      <c r="R75" s="388"/>
    </row>
    <row r="76" spans="1:18" ht="12" customHeight="1" hidden="1">
      <c r="A76" s="13"/>
      <c r="B76" s="13"/>
      <c r="C76" s="205"/>
      <c r="D76" s="16" t="s">
        <v>7</v>
      </c>
      <c r="E76" s="15">
        <v>2</v>
      </c>
      <c r="F76" s="13">
        <v>131120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>
        <f>SUM(G76:P76)</f>
        <v>0</v>
      </c>
      <c r="R76" s="388"/>
    </row>
    <row r="77" spans="1:18" ht="12" customHeight="1">
      <c r="A77" s="13"/>
      <c r="B77" s="13"/>
      <c r="C77" s="205"/>
      <c r="D77" s="16" t="s">
        <v>416</v>
      </c>
      <c r="E77" s="337"/>
      <c r="F77" s="2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/>
      <c r="R77" s="388"/>
    </row>
    <row r="78" spans="1:18" ht="12" customHeight="1">
      <c r="A78" s="13"/>
      <c r="B78" s="13"/>
      <c r="C78" s="205"/>
      <c r="D78" s="16" t="s">
        <v>1208</v>
      </c>
      <c r="E78" s="15">
        <v>1</v>
      </c>
      <c r="F78" s="13">
        <v>131303</v>
      </c>
      <c r="G78" s="15"/>
      <c r="H78" s="15"/>
      <c r="I78" s="15"/>
      <c r="J78" s="15"/>
      <c r="K78" s="15">
        <v>-400</v>
      </c>
      <c r="L78" s="15"/>
      <c r="M78" s="15"/>
      <c r="N78" s="15"/>
      <c r="O78" s="15"/>
      <c r="P78" s="15"/>
      <c r="Q78" s="16">
        <f aca="true" t="shared" si="3" ref="Q78:Q96">SUM(G78:P78)</f>
        <v>-400</v>
      </c>
      <c r="R78" s="388" t="s">
        <v>658</v>
      </c>
    </row>
    <row r="79" spans="1:18" ht="12" customHeight="1" hidden="1">
      <c r="A79" s="13"/>
      <c r="B79" s="13"/>
      <c r="C79" s="205"/>
      <c r="D79" s="16" t="s">
        <v>8</v>
      </c>
      <c r="E79" s="15">
        <v>2</v>
      </c>
      <c r="F79" s="13">
        <v>131302</v>
      </c>
      <c r="G79" s="15"/>
      <c r="H79" s="15"/>
      <c r="I79" s="15"/>
      <c r="J79" s="15"/>
      <c r="K79" s="354"/>
      <c r="L79" s="15"/>
      <c r="M79" s="15"/>
      <c r="N79" s="15"/>
      <c r="O79" s="15"/>
      <c r="P79" s="15"/>
      <c r="Q79" s="16">
        <f t="shared" si="3"/>
        <v>0</v>
      </c>
      <c r="R79" s="388"/>
    </row>
    <row r="80" spans="1:18" ht="12" customHeight="1" hidden="1">
      <c r="A80" s="13"/>
      <c r="B80" s="13"/>
      <c r="C80" s="205"/>
      <c r="D80" s="16" t="s">
        <v>39</v>
      </c>
      <c r="E80" s="15">
        <v>2</v>
      </c>
      <c r="F80" s="13">
        <v>131305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>
        <f t="shared" si="3"/>
        <v>0</v>
      </c>
      <c r="R80" s="388"/>
    </row>
    <row r="81" spans="1:18" ht="13.5" customHeight="1" hidden="1">
      <c r="A81" s="13"/>
      <c r="B81" s="13"/>
      <c r="C81" s="205"/>
      <c r="D81" s="178" t="s">
        <v>40</v>
      </c>
      <c r="E81" s="15">
        <v>2</v>
      </c>
      <c r="F81" s="13">
        <v>131325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>
        <f t="shared" si="3"/>
        <v>0</v>
      </c>
      <c r="R81" s="388"/>
    </row>
    <row r="82" spans="1:18" ht="24" customHeight="1" hidden="1">
      <c r="A82" s="13"/>
      <c r="B82" s="13"/>
      <c r="C82" s="205"/>
      <c r="D82" s="178" t="s">
        <v>41</v>
      </c>
      <c r="E82" s="15">
        <v>2</v>
      </c>
      <c r="F82" s="13">
        <v>131308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>
        <f t="shared" si="3"/>
        <v>0</v>
      </c>
      <c r="R82" s="388"/>
    </row>
    <row r="83" spans="1:18" ht="13.5" customHeight="1" hidden="1">
      <c r="A83" s="13"/>
      <c r="B83" s="13"/>
      <c r="C83" s="205"/>
      <c r="D83" s="178" t="s">
        <v>42</v>
      </c>
      <c r="E83" s="15">
        <v>2</v>
      </c>
      <c r="F83" s="13">
        <v>131505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3"/>
        <v>0</v>
      </c>
      <c r="R83" s="388"/>
    </row>
    <row r="84" spans="1:18" ht="12" customHeight="1" hidden="1">
      <c r="A84" s="13"/>
      <c r="B84" s="13"/>
      <c r="C84" s="205"/>
      <c r="D84" s="16" t="s">
        <v>43</v>
      </c>
      <c r="E84" s="15">
        <v>2</v>
      </c>
      <c r="F84" s="13">
        <v>131306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3"/>
        <v>0</v>
      </c>
      <c r="R84" s="388"/>
    </row>
    <row r="85" spans="1:18" ht="12" customHeight="1" hidden="1">
      <c r="A85" s="13"/>
      <c r="B85" s="13"/>
      <c r="C85" s="205"/>
      <c r="D85" s="178" t="s">
        <v>44</v>
      </c>
      <c r="E85" s="15">
        <v>2</v>
      </c>
      <c r="F85" s="13">
        <v>131321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3"/>
        <v>0</v>
      </c>
      <c r="R85" s="388"/>
    </row>
    <row r="86" spans="1:18" ht="12" customHeight="1" hidden="1">
      <c r="A86" s="13"/>
      <c r="B86" s="13"/>
      <c r="C86" s="205"/>
      <c r="D86" s="204" t="s">
        <v>45</v>
      </c>
      <c r="E86" s="15">
        <v>2</v>
      </c>
      <c r="F86" s="13">
        <v>131501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>
        <f t="shared" si="3"/>
        <v>0</v>
      </c>
      <c r="R86" s="388"/>
    </row>
    <row r="87" spans="1:18" ht="12" customHeight="1" hidden="1">
      <c r="A87" s="13"/>
      <c r="B87" s="13"/>
      <c r="C87" s="205"/>
      <c r="D87" s="204" t="s">
        <v>46</v>
      </c>
      <c r="E87" s="15">
        <v>2</v>
      </c>
      <c r="F87" s="13">
        <v>131307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f t="shared" si="3"/>
        <v>0</v>
      </c>
      <c r="R87" s="388"/>
    </row>
    <row r="88" spans="1:18" ht="12" customHeight="1" hidden="1">
      <c r="A88" s="13"/>
      <c r="B88" s="13"/>
      <c r="C88" s="205"/>
      <c r="D88" s="178" t="s">
        <v>363</v>
      </c>
      <c r="E88" s="15">
        <v>1</v>
      </c>
      <c r="F88" s="13">
        <v>131322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3"/>
        <v>0</v>
      </c>
      <c r="R88" s="388"/>
    </row>
    <row r="89" spans="1:18" ht="12" customHeight="1" hidden="1">
      <c r="A89" s="13"/>
      <c r="B89" s="13"/>
      <c r="C89" s="205"/>
      <c r="D89" s="178" t="s">
        <v>47</v>
      </c>
      <c r="E89" s="15">
        <v>2</v>
      </c>
      <c r="F89" s="13">
        <v>131323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3"/>
        <v>0</v>
      </c>
      <c r="R89" s="388"/>
    </row>
    <row r="90" spans="1:18" ht="12" customHeight="1" hidden="1">
      <c r="A90" s="13"/>
      <c r="B90" s="13"/>
      <c r="C90" s="205"/>
      <c r="D90" s="188" t="s">
        <v>48</v>
      </c>
      <c r="E90" s="15">
        <v>2</v>
      </c>
      <c r="F90" s="13">
        <v>131326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3"/>
        <v>0</v>
      </c>
      <c r="R90" s="388"/>
    </row>
    <row r="91" spans="1:18" ht="12" customHeight="1" hidden="1">
      <c r="A91" s="13"/>
      <c r="B91" s="13"/>
      <c r="C91" s="205"/>
      <c r="D91" s="204" t="s">
        <v>49</v>
      </c>
      <c r="E91" s="15">
        <v>2</v>
      </c>
      <c r="F91" s="13">
        <v>131314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3"/>
        <v>0</v>
      </c>
      <c r="R91" s="388"/>
    </row>
    <row r="92" spans="1:18" ht="12" customHeight="1" hidden="1">
      <c r="A92" s="13"/>
      <c r="B92" s="13"/>
      <c r="C92" s="205"/>
      <c r="D92" s="204" t="s">
        <v>50</v>
      </c>
      <c r="E92" s="15">
        <v>2</v>
      </c>
      <c r="F92" s="13">
        <v>131335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3"/>
        <v>0</v>
      </c>
      <c r="R92" s="388"/>
    </row>
    <row r="93" spans="1:18" ht="12" customHeight="1" hidden="1">
      <c r="A93" s="13"/>
      <c r="B93" s="13"/>
      <c r="C93" s="205"/>
      <c r="D93" s="204" t="s">
        <v>51</v>
      </c>
      <c r="E93" s="15">
        <v>2</v>
      </c>
      <c r="F93" s="13">
        <v>131336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3"/>
        <v>0</v>
      </c>
      <c r="R93" s="388"/>
    </row>
    <row r="94" spans="1:18" ht="12" customHeight="1" hidden="1">
      <c r="A94" s="13"/>
      <c r="B94" s="13"/>
      <c r="C94" s="205"/>
      <c r="D94" s="204" t="s">
        <v>52</v>
      </c>
      <c r="E94" s="15">
        <v>2</v>
      </c>
      <c r="F94" s="13">
        <v>131337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f t="shared" si="3"/>
        <v>0</v>
      </c>
      <c r="R94" s="388"/>
    </row>
    <row r="95" spans="1:18" ht="12" customHeight="1" hidden="1">
      <c r="A95" s="13"/>
      <c r="B95" s="13"/>
      <c r="C95" s="205"/>
      <c r="D95" s="204" t="s">
        <v>53</v>
      </c>
      <c r="E95" s="15">
        <v>2</v>
      </c>
      <c r="F95" s="13">
        <v>131338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f t="shared" si="3"/>
        <v>0</v>
      </c>
      <c r="R95" s="388"/>
    </row>
    <row r="96" spans="1:18" ht="12" customHeight="1">
      <c r="A96" s="13"/>
      <c r="B96" s="13"/>
      <c r="C96" s="205"/>
      <c r="D96" s="204" t="s">
        <v>54</v>
      </c>
      <c r="E96" s="15">
        <v>2</v>
      </c>
      <c r="F96" s="13">
        <v>131339</v>
      </c>
      <c r="G96" s="15"/>
      <c r="H96" s="15"/>
      <c r="I96" s="15"/>
      <c r="J96" s="15"/>
      <c r="K96" s="15">
        <v>800</v>
      </c>
      <c r="L96" s="15"/>
      <c r="M96" s="15"/>
      <c r="N96" s="15"/>
      <c r="O96" s="15"/>
      <c r="P96" s="15"/>
      <c r="Q96" s="16">
        <f t="shared" si="3"/>
        <v>800</v>
      </c>
      <c r="R96" s="388" t="s">
        <v>658</v>
      </c>
    </row>
    <row r="97" spans="1:18" ht="12" customHeight="1" hidden="1">
      <c r="A97" s="13"/>
      <c r="B97" s="13"/>
      <c r="C97" s="205"/>
      <c r="D97" s="16" t="s">
        <v>55</v>
      </c>
      <c r="E97" s="337"/>
      <c r="F97" s="23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/>
      <c r="R97" s="388"/>
    </row>
    <row r="98" spans="1:18" ht="24.75" customHeight="1" hidden="1">
      <c r="A98" s="13"/>
      <c r="B98" s="13"/>
      <c r="C98" s="205"/>
      <c r="D98" s="178" t="s">
        <v>56</v>
      </c>
      <c r="E98" s="337">
        <v>2</v>
      </c>
      <c r="F98" s="23">
        <v>131401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>
        <f aca="true" t="shared" si="4" ref="Q98:Q104">SUM(G98:P98)</f>
        <v>0</v>
      </c>
      <c r="R98" s="388"/>
    </row>
    <row r="99" spans="1:18" ht="12" customHeight="1" hidden="1">
      <c r="A99" s="13"/>
      <c r="B99" s="13"/>
      <c r="C99" s="355"/>
      <c r="D99" s="356" t="s">
        <v>57</v>
      </c>
      <c r="E99" s="337">
        <v>2</v>
      </c>
      <c r="F99" s="23">
        <v>131402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f t="shared" si="4"/>
        <v>0</v>
      </c>
      <c r="R99" s="388"/>
    </row>
    <row r="100" spans="1:18" ht="12" customHeight="1" hidden="1">
      <c r="A100" s="13"/>
      <c r="B100" s="13"/>
      <c r="C100" s="205"/>
      <c r="D100" s="16" t="s">
        <v>58</v>
      </c>
      <c r="E100" s="337">
        <v>2</v>
      </c>
      <c r="F100" s="23">
        <v>131403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>
        <f t="shared" si="4"/>
        <v>0</v>
      </c>
      <c r="R100" s="388"/>
    </row>
    <row r="101" spans="1:18" ht="12" customHeight="1" hidden="1">
      <c r="A101" s="13"/>
      <c r="B101" s="13"/>
      <c r="C101" s="205"/>
      <c r="D101" s="16" t="s">
        <v>59</v>
      </c>
      <c r="E101" s="337">
        <v>2</v>
      </c>
      <c r="F101" s="23">
        <v>131404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>
        <f t="shared" si="4"/>
        <v>0</v>
      </c>
      <c r="R101" s="388"/>
    </row>
    <row r="102" spans="1:18" ht="12" customHeight="1" hidden="1">
      <c r="A102" s="13"/>
      <c r="B102" s="13"/>
      <c r="C102" s="205"/>
      <c r="D102" s="16" t="s">
        <v>60</v>
      </c>
      <c r="E102" s="337">
        <v>2</v>
      </c>
      <c r="F102" s="23">
        <v>131330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>
        <f t="shared" si="4"/>
        <v>0</v>
      </c>
      <c r="R102" s="388"/>
    </row>
    <row r="103" spans="1:18" ht="12" customHeight="1" hidden="1">
      <c r="A103" s="13"/>
      <c r="B103" s="13"/>
      <c r="C103" s="205"/>
      <c r="D103" s="16" t="s">
        <v>61</v>
      </c>
      <c r="E103" s="337">
        <v>2</v>
      </c>
      <c r="F103" s="23">
        <v>131507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f t="shared" si="4"/>
        <v>0</v>
      </c>
      <c r="R103" s="388"/>
    </row>
    <row r="104" spans="1:18" ht="12" customHeight="1" hidden="1">
      <c r="A104" s="13"/>
      <c r="B104" s="13"/>
      <c r="C104" s="205"/>
      <c r="D104" s="16" t="s">
        <v>967</v>
      </c>
      <c r="E104" s="337">
        <v>2</v>
      </c>
      <c r="F104" s="13">
        <v>171943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>
        <f t="shared" si="4"/>
        <v>0</v>
      </c>
      <c r="R104" s="388"/>
    </row>
    <row r="105" spans="1:18" ht="15" customHeight="1" hidden="1">
      <c r="A105" s="13"/>
      <c r="B105" s="13"/>
      <c r="C105" s="205"/>
      <c r="D105" s="204" t="s">
        <v>62</v>
      </c>
      <c r="E105" s="353"/>
      <c r="F105" s="65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/>
      <c r="R105" s="388"/>
    </row>
    <row r="106" spans="1:18" ht="12.75" customHeight="1" hidden="1">
      <c r="A106" s="13"/>
      <c r="B106" s="13"/>
      <c r="C106" s="205"/>
      <c r="D106" s="204" t="s">
        <v>63</v>
      </c>
      <c r="E106" s="315">
        <v>2</v>
      </c>
      <c r="F106" s="653">
        <v>131502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>
        <f>SUM(G106:P106)</f>
        <v>0</v>
      </c>
      <c r="R106" s="388"/>
    </row>
    <row r="107" spans="1:18" ht="12.75" customHeight="1" hidden="1">
      <c r="A107" s="13"/>
      <c r="B107" s="13"/>
      <c r="C107" s="205"/>
      <c r="D107" s="204" t="s">
        <v>35</v>
      </c>
      <c r="E107" s="315">
        <v>2</v>
      </c>
      <c r="F107" s="653">
        <v>131301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>
        <f>SUM(G107:P107)</f>
        <v>0</v>
      </c>
      <c r="R107" s="388"/>
    </row>
    <row r="108" spans="1:18" ht="12.75" customHeight="1">
      <c r="A108" s="13"/>
      <c r="B108" s="13"/>
      <c r="C108" s="205"/>
      <c r="D108" s="204" t="s">
        <v>192</v>
      </c>
      <c r="E108" s="315"/>
      <c r="F108" s="6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/>
      <c r="R108" s="388"/>
    </row>
    <row r="109" spans="1:18" ht="12.75" customHeight="1">
      <c r="A109" s="13"/>
      <c r="B109" s="13"/>
      <c r="C109" s="205"/>
      <c r="D109" s="204" t="s">
        <v>193</v>
      </c>
      <c r="E109" s="315">
        <v>2</v>
      </c>
      <c r="F109" s="653">
        <v>131320</v>
      </c>
      <c r="G109" s="15"/>
      <c r="H109" s="15"/>
      <c r="I109" s="15"/>
      <c r="J109" s="15"/>
      <c r="K109" s="15">
        <v>500</v>
      </c>
      <c r="L109" s="15"/>
      <c r="M109" s="15"/>
      <c r="N109" s="15"/>
      <c r="O109" s="15"/>
      <c r="P109" s="15"/>
      <c r="Q109" s="16">
        <f>SUM(G109:P109)</f>
        <v>500</v>
      </c>
      <c r="R109" s="388" t="s">
        <v>147</v>
      </c>
    </row>
    <row r="110" spans="1:18" ht="15" customHeight="1">
      <c r="A110" s="13"/>
      <c r="B110" s="13"/>
      <c r="C110" s="205"/>
      <c r="D110" s="357" t="s">
        <v>479</v>
      </c>
      <c r="E110" s="358"/>
      <c r="F110" s="76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/>
      <c r="R110" s="388"/>
    </row>
    <row r="111" spans="1:18" ht="15" customHeight="1">
      <c r="A111" s="13"/>
      <c r="B111" s="13"/>
      <c r="C111" s="205"/>
      <c r="D111" s="16" t="s">
        <v>1209</v>
      </c>
      <c r="E111" s="337"/>
      <c r="F111" s="23"/>
      <c r="G111" s="15"/>
      <c r="H111" s="15"/>
      <c r="I111" s="15"/>
      <c r="J111" s="342"/>
      <c r="K111" s="15"/>
      <c r="L111" s="342"/>
      <c r="M111" s="342"/>
      <c r="N111" s="342"/>
      <c r="O111" s="342"/>
      <c r="P111" s="342"/>
      <c r="Q111" s="12"/>
      <c r="R111" s="388"/>
    </row>
    <row r="112" spans="1:18" ht="15" customHeight="1">
      <c r="A112" s="13"/>
      <c r="B112" s="13"/>
      <c r="C112" s="205"/>
      <c r="D112" s="16" t="s">
        <v>1210</v>
      </c>
      <c r="E112" s="15">
        <v>2</v>
      </c>
      <c r="F112" s="13">
        <v>131701</v>
      </c>
      <c r="G112" s="15"/>
      <c r="H112" s="15"/>
      <c r="I112" s="15">
        <v>-50</v>
      </c>
      <c r="J112" s="342"/>
      <c r="K112" s="15"/>
      <c r="L112" s="342"/>
      <c r="M112" s="342"/>
      <c r="N112" s="342"/>
      <c r="O112" s="342"/>
      <c r="P112" s="342"/>
      <c r="Q112" s="12">
        <f>SUM(G112:P112)</f>
        <v>-50</v>
      </c>
      <c r="R112" s="388" t="s">
        <v>147</v>
      </c>
    </row>
    <row r="113" spans="1:18" ht="15" customHeight="1" hidden="1">
      <c r="A113" s="13"/>
      <c r="B113" s="13"/>
      <c r="C113" s="205"/>
      <c r="D113" s="16" t="s">
        <v>55</v>
      </c>
      <c r="E113" s="274"/>
      <c r="F113" s="655"/>
      <c r="G113" s="15"/>
      <c r="H113" s="15"/>
      <c r="I113" s="15"/>
      <c r="J113" s="342"/>
      <c r="K113" s="15"/>
      <c r="L113" s="342"/>
      <c r="M113" s="342"/>
      <c r="N113" s="342"/>
      <c r="O113" s="342"/>
      <c r="P113" s="342"/>
      <c r="Q113" s="12"/>
      <c r="R113" s="388"/>
    </row>
    <row r="114" spans="1:18" ht="15" customHeight="1" hidden="1">
      <c r="A114" s="13"/>
      <c r="B114" s="13"/>
      <c r="C114" s="205"/>
      <c r="D114" s="178" t="s">
        <v>64</v>
      </c>
      <c r="E114" s="359">
        <v>2</v>
      </c>
      <c r="F114" s="653">
        <v>131708</v>
      </c>
      <c r="G114" s="15"/>
      <c r="H114" s="15"/>
      <c r="I114" s="15"/>
      <c r="J114" s="342"/>
      <c r="K114" s="15"/>
      <c r="L114" s="342"/>
      <c r="M114" s="342"/>
      <c r="N114" s="342"/>
      <c r="O114" s="342"/>
      <c r="P114" s="342"/>
      <c r="Q114" s="12">
        <f>SUM(G114:P114)</f>
        <v>0</v>
      </c>
      <c r="R114" s="388"/>
    </row>
    <row r="115" spans="1:18" ht="15" customHeight="1" hidden="1">
      <c r="A115" s="13"/>
      <c r="B115" s="13"/>
      <c r="C115" s="205"/>
      <c r="D115" s="12" t="s">
        <v>65</v>
      </c>
      <c r="E115" s="337"/>
      <c r="F115" s="23"/>
      <c r="G115" s="15"/>
      <c r="H115" s="15"/>
      <c r="I115" s="15"/>
      <c r="J115" s="342"/>
      <c r="K115" s="15"/>
      <c r="L115" s="342"/>
      <c r="M115" s="342"/>
      <c r="N115" s="342"/>
      <c r="O115" s="342"/>
      <c r="P115" s="342"/>
      <c r="Q115" s="12"/>
      <c r="R115" s="388"/>
    </row>
    <row r="116" spans="1:18" ht="15" customHeight="1" hidden="1">
      <c r="A116" s="13"/>
      <c r="B116" s="13"/>
      <c r="C116" s="205"/>
      <c r="D116" s="12" t="s">
        <v>66</v>
      </c>
      <c r="E116" s="337">
        <v>1</v>
      </c>
      <c r="F116" s="23">
        <v>131703</v>
      </c>
      <c r="G116" s="15"/>
      <c r="H116" s="15"/>
      <c r="I116" s="15"/>
      <c r="J116" s="342"/>
      <c r="K116" s="15"/>
      <c r="L116" s="342"/>
      <c r="M116" s="342"/>
      <c r="N116" s="342"/>
      <c r="O116" s="342"/>
      <c r="P116" s="342"/>
      <c r="Q116" s="12">
        <f>SUM(G116:P116)</f>
        <v>0</v>
      </c>
      <c r="R116" s="388"/>
    </row>
    <row r="117" spans="1:18" ht="15" customHeight="1" hidden="1">
      <c r="A117" s="13"/>
      <c r="B117" s="13"/>
      <c r="C117" s="205"/>
      <c r="D117" s="116" t="s">
        <v>67</v>
      </c>
      <c r="E117" s="337">
        <v>1</v>
      </c>
      <c r="F117" s="23">
        <v>121319</v>
      </c>
      <c r="G117" s="15"/>
      <c r="H117" s="15"/>
      <c r="I117" s="15"/>
      <c r="J117" s="342"/>
      <c r="K117" s="15"/>
      <c r="L117" s="342"/>
      <c r="M117" s="342"/>
      <c r="N117" s="342"/>
      <c r="O117" s="342"/>
      <c r="P117" s="342"/>
      <c r="Q117" s="12">
        <f>SUM(G117:P117)</f>
        <v>0</v>
      </c>
      <c r="R117" s="388"/>
    </row>
    <row r="118" spans="1:18" ht="27" customHeight="1">
      <c r="A118" s="13"/>
      <c r="B118" s="13"/>
      <c r="C118" s="205"/>
      <c r="D118" s="273" t="s">
        <v>1211</v>
      </c>
      <c r="E118" s="15"/>
      <c r="F118" s="13"/>
      <c r="G118" s="15"/>
      <c r="H118" s="15"/>
      <c r="I118" s="9"/>
      <c r="J118" s="9"/>
      <c r="K118" s="187"/>
      <c r="L118" s="338"/>
      <c r="M118" s="338"/>
      <c r="N118" s="338"/>
      <c r="O118" s="338"/>
      <c r="P118" s="339"/>
      <c r="Q118" s="12"/>
      <c r="R118" s="388"/>
    </row>
    <row r="119" spans="1:18" ht="16.5" customHeight="1">
      <c r="A119" s="13"/>
      <c r="B119" s="13"/>
      <c r="C119" s="205"/>
      <c r="D119" s="273" t="s">
        <v>68</v>
      </c>
      <c r="E119" s="15">
        <v>2</v>
      </c>
      <c r="F119" s="13">
        <v>131506</v>
      </c>
      <c r="G119" s="15">
        <v>211</v>
      </c>
      <c r="H119" s="15"/>
      <c r="I119" s="9">
        <v>-611</v>
      </c>
      <c r="J119" s="9"/>
      <c r="K119" s="187"/>
      <c r="L119" s="338"/>
      <c r="M119" s="338"/>
      <c r="N119" s="338"/>
      <c r="O119" s="338"/>
      <c r="P119" s="339"/>
      <c r="Q119" s="12">
        <f>SUM(G119:P119)</f>
        <v>-400</v>
      </c>
      <c r="R119" s="388" t="s">
        <v>147</v>
      </c>
    </row>
    <row r="120" spans="1:18" ht="15" customHeight="1" hidden="1">
      <c r="A120" s="13"/>
      <c r="B120" s="13"/>
      <c r="C120" s="205"/>
      <c r="D120" s="16" t="s">
        <v>69</v>
      </c>
      <c r="E120" s="15"/>
      <c r="F120" s="13"/>
      <c r="G120" s="15"/>
      <c r="H120" s="15"/>
      <c r="I120" s="9"/>
      <c r="J120" s="9"/>
      <c r="K120" s="187"/>
      <c r="L120" s="338"/>
      <c r="M120" s="338"/>
      <c r="N120" s="338"/>
      <c r="O120" s="338"/>
      <c r="P120" s="339"/>
      <c r="Q120" s="12"/>
      <c r="R120" s="388"/>
    </row>
    <row r="121" spans="1:18" ht="15" customHeight="1" hidden="1">
      <c r="A121" s="13"/>
      <c r="B121" s="13"/>
      <c r="C121" s="205"/>
      <c r="D121" s="16" t="s">
        <v>70</v>
      </c>
      <c r="E121" s="15">
        <v>2</v>
      </c>
      <c r="F121" s="13">
        <v>131707</v>
      </c>
      <c r="G121" s="15"/>
      <c r="H121" s="15"/>
      <c r="I121" s="9"/>
      <c r="J121" s="9"/>
      <c r="K121" s="187"/>
      <c r="L121" s="338"/>
      <c r="M121" s="338"/>
      <c r="N121" s="338"/>
      <c r="O121" s="338"/>
      <c r="P121" s="339"/>
      <c r="Q121" s="12">
        <f>SUM(G121:P121)</f>
        <v>0</v>
      </c>
      <c r="R121" s="388"/>
    </row>
    <row r="122" spans="1:18" ht="16.5" customHeight="1">
      <c r="A122" s="13"/>
      <c r="B122" s="13"/>
      <c r="C122" s="205"/>
      <c r="D122" s="178" t="s">
        <v>1212</v>
      </c>
      <c r="E122" s="360"/>
      <c r="F122" s="656"/>
      <c r="G122" s="15"/>
      <c r="H122" s="15"/>
      <c r="I122" s="15"/>
      <c r="J122" s="342"/>
      <c r="K122" s="15"/>
      <c r="L122" s="342"/>
      <c r="M122" s="342"/>
      <c r="N122" s="342"/>
      <c r="O122" s="342"/>
      <c r="P122" s="15"/>
      <c r="Q122" s="12"/>
      <c r="R122" s="388"/>
    </row>
    <row r="123" spans="1:18" ht="15" customHeight="1">
      <c r="A123" s="13"/>
      <c r="B123" s="13"/>
      <c r="C123" s="205"/>
      <c r="D123" s="16" t="s">
        <v>71</v>
      </c>
      <c r="E123" s="361">
        <v>2</v>
      </c>
      <c r="F123" s="23">
        <v>131706</v>
      </c>
      <c r="G123" s="15">
        <v>3</v>
      </c>
      <c r="H123" s="15"/>
      <c r="I123" s="15">
        <v>347</v>
      </c>
      <c r="J123" s="342"/>
      <c r="K123" s="15">
        <v>-100</v>
      </c>
      <c r="L123" s="342"/>
      <c r="M123" s="342"/>
      <c r="N123" s="342"/>
      <c r="O123" s="342"/>
      <c r="P123" s="15"/>
      <c r="Q123" s="12">
        <f>SUM(G123:P123)</f>
        <v>250</v>
      </c>
      <c r="R123" s="388" t="s">
        <v>147</v>
      </c>
    </row>
    <row r="124" spans="1:18" ht="15" customHeight="1" hidden="1">
      <c r="A124" s="13"/>
      <c r="B124" s="13"/>
      <c r="C124" s="205"/>
      <c r="D124" s="16" t="s">
        <v>72</v>
      </c>
      <c r="E124" s="361">
        <v>2</v>
      </c>
      <c r="F124" s="23">
        <v>121517</v>
      </c>
      <c r="G124" s="15"/>
      <c r="H124" s="15"/>
      <c r="I124" s="15"/>
      <c r="J124" s="342"/>
      <c r="K124" s="15"/>
      <c r="L124" s="342"/>
      <c r="M124" s="342"/>
      <c r="N124" s="342"/>
      <c r="O124" s="342"/>
      <c r="P124" s="15"/>
      <c r="Q124" s="12">
        <f>SUM(G124:P124)</f>
        <v>0</v>
      </c>
      <c r="R124" s="388"/>
    </row>
    <row r="125" spans="1:18" ht="23.25" customHeight="1">
      <c r="A125" s="13"/>
      <c r="B125" s="13"/>
      <c r="C125" s="205"/>
      <c r="D125" s="730" t="s">
        <v>1062</v>
      </c>
      <c r="E125" s="617"/>
      <c r="F125" s="23"/>
      <c r="G125" s="15"/>
      <c r="H125" s="15"/>
      <c r="I125" s="15"/>
      <c r="J125" s="342"/>
      <c r="K125" s="15"/>
      <c r="L125" s="342"/>
      <c r="M125" s="342"/>
      <c r="N125" s="342"/>
      <c r="O125" s="342"/>
      <c r="P125" s="15"/>
      <c r="Q125" s="12"/>
      <c r="R125" s="388"/>
    </row>
    <row r="126" spans="1:18" ht="15" customHeight="1">
      <c r="A126" s="13"/>
      <c r="B126" s="13"/>
      <c r="C126" s="205"/>
      <c r="D126" s="56" t="s">
        <v>1061</v>
      </c>
      <c r="E126" s="617">
        <v>2</v>
      </c>
      <c r="F126" s="617">
        <v>131709</v>
      </c>
      <c r="G126" s="15"/>
      <c r="H126" s="15"/>
      <c r="I126" s="15">
        <v>-680</v>
      </c>
      <c r="J126" s="342"/>
      <c r="K126" s="15"/>
      <c r="L126" s="15">
        <v>680</v>
      </c>
      <c r="M126" s="342"/>
      <c r="N126" s="342"/>
      <c r="O126" s="342"/>
      <c r="P126" s="15"/>
      <c r="Q126" s="12">
        <f>SUM(G126:P126)</f>
        <v>0</v>
      </c>
      <c r="R126" s="388" t="s">
        <v>147</v>
      </c>
    </row>
    <row r="127" spans="1:18" ht="15" customHeight="1" hidden="1">
      <c r="A127" s="13"/>
      <c r="B127" s="13"/>
      <c r="C127" s="205"/>
      <c r="D127" s="202" t="s">
        <v>819</v>
      </c>
      <c r="E127" s="617"/>
      <c r="F127" s="617"/>
      <c r="G127" s="15"/>
      <c r="H127" s="15"/>
      <c r="I127" s="15"/>
      <c r="J127" s="342"/>
      <c r="K127" s="15"/>
      <c r="L127" s="342"/>
      <c r="M127" s="342"/>
      <c r="N127" s="342"/>
      <c r="O127" s="342"/>
      <c r="P127" s="15"/>
      <c r="Q127" s="12"/>
      <c r="R127" s="388"/>
    </row>
    <row r="128" spans="1:18" ht="15" customHeight="1" hidden="1">
      <c r="A128" s="13"/>
      <c r="B128" s="13"/>
      <c r="C128" s="205"/>
      <c r="D128" s="202" t="s">
        <v>820</v>
      </c>
      <c r="E128" s="617">
        <v>2</v>
      </c>
      <c r="F128" s="617">
        <v>121513</v>
      </c>
      <c r="G128" s="15"/>
      <c r="H128" s="15"/>
      <c r="I128" s="15"/>
      <c r="J128" s="342"/>
      <c r="K128" s="15"/>
      <c r="L128" s="342"/>
      <c r="M128" s="342"/>
      <c r="N128" s="342"/>
      <c r="O128" s="342"/>
      <c r="P128" s="15"/>
      <c r="Q128" s="12">
        <f>SUM(G128:P128)</f>
        <v>0</v>
      </c>
      <c r="R128" s="388"/>
    </row>
    <row r="129" spans="1:18" ht="15" customHeight="1">
      <c r="A129" s="13"/>
      <c r="B129" s="13"/>
      <c r="C129" s="205"/>
      <c r="D129" s="357" t="s">
        <v>775</v>
      </c>
      <c r="E129" s="15"/>
      <c r="F129" s="13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6"/>
      <c r="R129" s="388"/>
    </row>
    <row r="130" spans="1:18" ht="15" customHeight="1" hidden="1">
      <c r="A130" s="13"/>
      <c r="B130" s="13"/>
      <c r="C130" s="205"/>
      <c r="D130" s="116" t="s">
        <v>1213</v>
      </c>
      <c r="E130" s="337"/>
      <c r="F130" s="23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6"/>
      <c r="R130" s="388"/>
    </row>
    <row r="131" spans="1:18" ht="15" customHeight="1" hidden="1">
      <c r="A131" s="13"/>
      <c r="B131" s="13"/>
      <c r="C131" s="205"/>
      <c r="D131" s="16" t="s">
        <v>73</v>
      </c>
      <c r="E131" s="15">
        <v>2</v>
      </c>
      <c r="F131" s="13">
        <v>131803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6">
        <f>SUM(G131:P131)</f>
        <v>0</v>
      </c>
      <c r="R131" s="388"/>
    </row>
    <row r="132" spans="1:18" ht="15" customHeight="1" hidden="1">
      <c r="A132" s="13"/>
      <c r="B132" s="13"/>
      <c r="C132" s="205"/>
      <c r="D132" s="16" t="s">
        <v>74</v>
      </c>
      <c r="E132" s="15">
        <v>2</v>
      </c>
      <c r="F132" s="13">
        <v>131804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6">
        <f>SUM(G132:P132)</f>
        <v>0</v>
      </c>
      <c r="R132" s="388"/>
    </row>
    <row r="133" spans="1:18" ht="15" customHeight="1" hidden="1">
      <c r="A133" s="13"/>
      <c r="B133" s="13"/>
      <c r="C133" s="205"/>
      <c r="D133" s="16" t="s">
        <v>75</v>
      </c>
      <c r="E133" s="15">
        <v>2</v>
      </c>
      <c r="F133" s="13">
        <v>131805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6">
        <f>SUM(G133:P133)</f>
        <v>0</v>
      </c>
      <c r="R133" s="388"/>
    </row>
    <row r="134" spans="1:18" ht="15" customHeight="1">
      <c r="A134" s="13"/>
      <c r="B134" s="13"/>
      <c r="C134" s="205"/>
      <c r="D134" s="116" t="s">
        <v>776</v>
      </c>
      <c r="E134" s="337"/>
      <c r="F134" s="23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6"/>
      <c r="R134" s="388"/>
    </row>
    <row r="135" spans="1:18" ht="15" customHeight="1">
      <c r="A135" s="13"/>
      <c r="B135" s="13"/>
      <c r="C135" s="205"/>
      <c r="D135" s="24" t="s">
        <v>1214</v>
      </c>
      <c r="E135" s="337">
        <v>1</v>
      </c>
      <c r="F135" s="23">
        <v>131808</v>
      </c>
      <c r="G135" s="25">
        <v>23</v>
      </c>
      <c r="H135" s="25"/>
      <c r="I135" s="25">
        <v>-23</v>
      </c>
      <c r="J135" s="25"/>
      <c r="K135" s="15"/>
      <c r="L135" s="25"/>
      <c r="M135" s="25"/>
      <c r="N135" s="25"/>
      <c r="O135" s="25"/>
      <c r="P135" s="25"/>
      <c r="Q135" s="16">
        <f>SUM(G135:P135)</f>
        <v>0</v>
      </c>
      <c r="R135" s="388" t="s">
        <v>147</v>
      </c>
    </row>
    <row r="136" spans="1:18" ht="15" customHeight="1">
      <c r="A136" s="13"/>
      <c r="B136" s="13"/>
      <c r="C136" s="205"/>
      <c r="D136" s="24" t="s">
        <v>777</v>
      </c>
      <c r="E136" s="25">
        <v>1</v>
      </c>
      <c r="F136" s="23">
        <v>131807</v>
      </c>
      <c r="G136" s="25">
        <v>50</v>
      </c>
      <c r="H136" s="25">
        <v>33</v>
      </c>
      <c r="I136" s="25">
        <v>-83</v>
      </c>
      <c r="J136" s="25"/>
      <c r="K136" s="15"/>
      <c r="L136" s="25"/>
      <c r="M136" s="25"/>
      <c r="N136" s="25"/>
      <c r="O136" s="25"/>
      <c r="P136" s="25"/>
      <c r="Q136" s="16">
        <f>SUM(G136:P136)</f>
        <v>0</v>
      </c>
      <c r="R136" s="388" t="s">
        <v>147</v>
      </c>
    </row>
    <row r="137" spans="1:18" ht="15" customHeight="1" hidden="1">
      <c r="A137" s="13"/>
      <c r="B137" s="13"/>
      <c r="C137" s="205"/>
      <c r="D137" s="24" t="s">
        <v>76</v>
      </c>
      <c r="E137" s="337">
        <v>1</v>
      </c>
      <c r="F137" s="23">
        <v>131809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6">
        <f>SUM(G137:P137)</f>
        <v>0</v>
      </c>
      <c r="R137" s="388"/>
    </row>
    <row r="138" spans="1:18" ht="15" customHeight="1" hidden="1">
      <c r="A138" s="13"/>
      <c r="B138" s="13"/>
      <c r="C138" s="205"/>
      <c r="D138" s="204" t="s">
        <v>77</v>
      </c>
      <c r="E138" s="15">
        <v>2</v>
      </c>
      <c r="F138" s="13">
        <v>131835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>
        <f>SUM(G138:P138)</f>
        <v>0</v>
      </c>
      <c r="R138" s="388"/>
    </row>
    <row r="139" spans="1:18" ht="15" customHeight="1" hidden="1">
      <c r="A139" s="13"/>
      <c r="B139" s="13"/>
      <c r="C139" s="205"/>
      <c r="D139" s="118" t="s">
        <v>1215</v>
      </c>
      <c r="E139" s="337"/>
      <c r="F139" s="23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16"/>
      <c r="R139" s="388"/>
    </row>
    <row r="140" spans="1:18" ht="15" customHeight="1" hidden="1">
      <c r="A140" s="13"/>
      <c r="B140" s="13"/>
      <c r="C140" s="205"/>
      <c r="D140" s="24" t="s">
        <v>1216</v>
      </c>
      <c r="E140" s="25">
        <v>1</v>
      </c>
      <c r="F140" s="23">
        <v>131811</v>
      </c>
      <c r="G140" s="25"/>
      <c r="H140" s="25"/>
      <c r="I140" s="25"/>
      <c r="J140" s="25"/>
      <c r="K140" s="15"/>
      <c r="L140" s="25"/>
      <c r="M140" s="25"/>
      <c r="N140" s="25"/>
      <c r="O140" s="25"/>
      <c r="P140" s="25"/>
      <c r="Q140" s="16">
        <f aca="true" t="shared" si="5" ref="Q140:Q149">SUM(G140:P140)</f>
        <v>0</v>
      </c>
      <c r="R140" s="388"/>
    </row>
    <row r="141" spans="1:18" ht="15" customHeight="1" hidden="1">
      <c r="A141" s="13"/>
      <c r="B141" s="13"/>
      <c r="C141" s="205"/>
      <c r="D141" s="24" t="s">
        <v>78</v>
      </c>
      <c r="E141" s="25">
        <v>1</v>
      </c>
      <c r="F141" s="23">
        <v>131812</v>
      </c>
      <c r="G141" s="25"/>
      <c r="H141" s="25"/>
      <c r="I141" s="25"/>
      <c r="J141" s="25"/>
      <c r="K141" s="15"/>
      <c r="L141" s="25"/>
      <c r="M141" s="25"/>
      <c r="N141" s="25"/>
      <c r="O141" s="25"/>
      <c r="P141" s="25"/>
      <c r="Q141" s="16">
        <f t="shared" si="5"/>
        <v>0</v>
      </c>
      <c r="R141" s="388"/>
    </row>
    <row r="142" spans="1:18" ht="15" customHeight="1" hidden="1">
      <c r="A142" s="13"/>
      <c r="B142" s="13"/>
      <c r="C142" s="205"/>
      <c r="D142" s="24" t="s">
        <v>79</v>
      </c>
      <c r="E142" s="25">
        <v>1</v>
      </c>
      <c r="F142" s="23">
        <v>131813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6">
        <f t="shared" si="5"/>
        <v>0</v>
      </c>
      <c r="R142" s="388"/>
    </row>
    <row r="143" spans="1:18" ht="15" customHeight="1" hidden="1">
      <c r="A143" s="13"/>
      <c r="B143" s="13"/>
      <c r="C143" s="205"/>
      <c r="D143" s="24" t="s">
        <v>80</v>
      </c>
      <c r="E143" s="25">
        <v>1</v>
      </c>
      <c r="F143" s="23">
        <v>131815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16">
        <f t="shared" si="5"/>
        <v>0</v>
      </c>
      <c r="R143" s="388"/>
    </row>
    <row r="144" spans="1:18" ht="15" customHeight="1" hidden="1">
      <c r="A144" s="13"/>
      <c r="B144" s="13"/>
      <c r="C144" s="205"/>
      <c r="D144" s="24" t="s">
        <v>81</v>
      </c>
      <c r="E144" s="25">
        <v>1</v>
      </c>
      <c r="F144" s="23">
        <v>131816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16">
        <f t="shared" si="5"/>
        <v>0</v>
      </c>
      <c r="R144" s="388"/>
    </row>
    <row r="145" spans="1:18" ht="15" customHeight="1" hidden="1">
      <c r="A145" s="13"/>
      <c r="B145" s="13"/>
      <c r="C145" s="205"/>
      <c r="D145" s="24" t="s">
        <v>87</v>
      </c>
      <c r="E145" s="25">
        <v>1</v>
      </c>
      <c r="F145" s="23">
        <v>131817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16">
        <f t="shared" si="5"/>
        <v>0</v>
      </c>
      <c r="R145" s="388"/>
    </row>
    <row r="146" spans="1:18" ht="15" customHeight="1" hidden="1">
      <c r="A146" s="13"/>
      <c r="B146" s="13"/>
      <c r="C146" s="205"/>
      <c r="D146" s="24" t="s">
        <v>88</v>
      </c>
      <c r="E146" s="25">
        <v>1</v>
      </c>
      <c r="F146" s="23">
        <v>131818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16">
        <f t="shared" si="5"/>
        <v>0</v>
      </c>
      <c r="R146" s="388"/>
    </row>
    <row r="147" spans="1:18" ht="15" customHeight="1" hidden="1">
      <c r="A147" s="13"/>
      <c r="B147" s="13"/>
      <c r="C147" s="205"/>
      <c r="D147" s="24" t="s">
        <v>89</v>
      </c>
      <c r="E147" s="25">
        <v>1</v>
      </c>
      <c r="F147" s="23">
        <v>131819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16">
        <f t="shared" si="5"/>
        <v>0</v>
      </c>
      <c r="R147" s="388"/>
    </row>
    <row r="148" spans="1:18" ht="15" customHeight="1" hidden="1">
      <c r="A148" s="13"/>
      <c r="B148" s="13"/>
      <c r="C148" s="205"/>
      <c r="D148" s="24" t="s">
        <v>90</v>
      </c>
      <c r="E148" s="25">
        <v>1</v>
      </c>
      <c r="F148" s="23">
        <v>131832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16">
        <f t="shared" si="5"/>
        <v>0</v>
      </c>
      <c r="R148" s="388"/>
    </row>
    <row r="149" spans="1:18" ht="15" customHeight="1" hidden="1">
      <c r="A149" s="13"/>
      <c r="B149" s="13"/>
      <c r="C149" s="205"/>
      <c r="D149" s="24" t="s">
        <v>26</v>
      </c>
      <c r="E149" s="25">
        <v>1</v>
      </c>
      <c r="F149" s="23">
        <v>131820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16">
        <f t="shared" si="5"/>
        <v>0</v>
      </c>
      <c r="R149" s="388"/>
    </row>
    <row r="150" spans="1:18" ht="15" customHeight="1">
      <c r="A150" s="13"/>
      <c r="B150" s="13"/>
      <c r="C150" s="205"/>
      <c r="D150" s="24" t="s">
        <v>91</v>
      </c>
      <c r="E150" s="25"/>
      <c r="F150" s="23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16"/>
      <c r="R150" s="388"/>
    </row>
    <row r="151" spans="1:18" ht="15" customHeight="1" hidden="1">
      <c r="A151" s="13"/>
      <c r="B151" s="13"/>
      <c r="C151" s="205"/>
      <c r="D151" s="24" t="s">
        <v>92</v>
      </c>
      <c r="E151" s="337">
        <v>2</v>
      </c>
      <c r="F151" s="23">
        <v>131821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16">
        <f aca="true" t="shared" si="6" ref="Q151:Q166">SUM(G151:P151)</f>
        <v>0</v>
      </c>
      <c r="R151" s="388"/>
    </row>
    <row r="152" spans="1:18" ht="15" customHeight="1" hidden="1">
      <c r="A152" s="13"/>
      <c r="B152" s="13"/>
      <c r="C152" s="205"/>
      <c r="D152" s="24" t="s">
        <v>93</v>
      </c>
      <c r="E152" s="337">
        <v>2</v>
      </c>
      <c r="F152" s="23">
        <v>131822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16">
        <f t="shared" si="6"/>
        <v>0</v>
      </c>
      <c r="R152" s="388"/>
    </row>
    <row r="153" spans="1:18" ht="15" customHeight="1">
      <c r="A153" s="13"/>
      <c r="B153" s="13"/>
      <c r="C153" s="205"/>
      <c r="D153" s="362" t="s">
        <v>94</v>
      </c>
      <c r="E153" s="363">
        <v>2</v>
      </c>
      <c r="F153" s="657">
        <v>131823</v>
      </c>
      <c r="G153" s="25"/>
      <c r="H153" s="25"/>
      <c r="I153" s="25"/>
      <c r="J153" s="25"/>
      <c r="K153" s="15">
        <v>1382</v>
      </c>
      <c r="L153" s="25"/>
      <c r="M153" s="25"/>
      <c r="N153" s="25"/>
      <c r="O153" s="25"/>
      <c r="P153" s="25"/>
      <c r="Q153" s="16">
        <f t="shared" si="6"/>
        <v>1382</v>
      </c>
      <c r="R153" s="388" t="s">
        <v>147</v>
      </c>
    </row>
    <row r="154" spans="1:18" ht="15" customHeight="1" hidden="1">
      <c r="A154" s="13"/>
      <c r="B154" s="13"/>
      <c r="C154" s="205"/>
      <c r="D154" s="362" t="s">
        <v>95</v>
      </c>
      <c r="E154" s="364">
        <v>2</v>
      </c>
      <c r="F154" s="657">
        <v>131824</v>
      </c>
      <c r="G154" s="25"/>
      <c r="H154" s="25"/>
      <c r="I154" s="25"/>
      <c r="J154" s="25"/>
      <c r="K154" s="15"/>
      <c r="L154" s="25"/>
      <c r="M154" s="25"/>
      <c r="N154" s="25"/>
      <c r="O154" s="25"/>
      <c r="P154" s="25"/>
      <c r="Q154" s="16">
        <f t="shared" si="6"/>
        <v>0</v>
      </c>
      <c r="R154" s="388"/>
    </row>
    <row r="155" spans="1:18" ht="15" customHeight="1" hidden="1">
      <c r="A155" s="13"/>
      <c r="B155" s="13"/>
      <c r="C155" s="205"/>
      <c r="D155" s="362" t="s">
        <v>96</v>
      </c>
      <c r="E155" s="364">
        <v>2</v>
      </c>
      <c r="F155" s="657">
        <v>131833</v>
      </c>
      <c r="G155" s="25"/>
      <c r="H155" s="25"/>
      <c r="I155" s="25"/>
      <c r="J155" s="25"/>
      <c r="K155" s="15"/>
      <c r="L155" s="25"/>
      <c r="M155" s="25"/>
      <c r="N155" s="25"/>
      <c r="O155" s="25"/>
      <c r="P155" s="25"/>
      <c r="Q155" s="16">
        <f t="shared" si="6"/>
        <v>0</v>
      </c>
      <c r="R155" s="388"/>
    </row>
    <row r="156" spans="1:18" ht="15" customHeight="1" hidden="1">
      <c r="A156" s="13"/>
      <c r="B156" s="13"/>
      <c r="C156" s="205"/>
      <c r="D156" s="362" t="s">
        <v>97</v>
      </c>
      <c r="E156" s="364">
        <v>2</v>
      </c>
      <c r="F156" s="657">
        <v>131834</v>
      </c>
      <c r="G156" s="25"/>
      <c r="H156" s="25"/>
      <c r="I156" s="25"/>
      <c r="J156" s="25"/>
      <c r="K156" s="15"/>
      <c r="L156" s="25"/>
      <c r="M156" s="25"/>
      <c r="N156" s="25"/>
      <c r="O156" s="25"/>
      <c r="P156" s="25"/>
      <c r="Q156" s="16">
        <f t="shared" si="6"/>
        <v>0</v>
      </c>
      <c r="R156" s="388"/>
    </row>
    <row r="157" spans="1:18" ht="15" customHeight="1" hidden="1">
      <c r="A157" s="13"/>
      <c r="B157" s="13"/>
      <c r="C157" s="205"/>
      <c r="D157" s="362" t="s">
        <v>98</v>
      </c>
      <c r="E157" s="364">
        <v>2</v>
      </c>
      <c r="F157" s="657">
        <v>131836</v>
      </c>
      <c r="G157" s="25"/>
      <c r="H157" s="25"/>
      <c r="I157" s="25"/>
      <c r="J157" s="25"/>
      <c r="K157" s="15"/>
      <c r="L157" s="25"/>
      <c r="M157" s="25"/>
      <c r="N157" s="25"/>
      <c r="O157" s="25"/>
      <c r="P157" s="25"/>
      <c r="Q157" s="16">
        <f t="shared" si="6"/>
        <v>0</v>
      </c>
      <c r="R157" s="388"/>
    </row>
    <row r="158" spans="1:18" ht="15" customHeight="1" hidden="1">
      <c r="A158" s="13"/>
      <c r="B158" s="13"/>
      <c r="C158" s="205"/>
      <c r="D158" s="362" t="s">
        <v>99</v>
      </c>
      <c r="E158" s="364">
        <v>2</v>
      </c>
      <c r="F158" s="657">
        <v>131837</v>
      </c>
      <c r="G158" s="25"/>
      <c r="H158" s="25"/>
      <c r="I158" s="25"/>
      <c r="J158" s="25"/>
      <c r="K158" s="15"/>
      <c r="L158" s="25"/>
      <c r="M158" s="25"/>
      <c r="N158" s="25"/>
      <c r="O158" s="25"/>
      <c r="P158" s="25"/>
      <c r="Q158" s="16">
        <f t="shared" si="6"/>
        <v>0</v>
      </c>
      <c r="R158" s="388"/>
    </row>
    <row r="159" spans="1:18" ht="15" customHeight="1" hidden="1">
      <c r="A159" s="13"/>
      <c r="B159" s="13"/>
      <c r="C159" s="205"/>
      <c r="D159" s="362" t="s">
        <v>100</v>
      </c>
      <c r="E159" s="364">
        <v>2</v>
      </c>
      <c r="F159" s="657">
        <v>131838</v>
      </c>
      <c r="G159" s="25"/>
      <c r="H159" s="25"/>
      <c r="I159" s="25"/>
      <c r="J159" s="25"/>
      <c r="K159" s="15"/>
      <c r="L159" s="25"/>
      <c r="M159" s="25"/>
      <c r="N159" s="25"/>
      <c r="O159" s="25"/>
      <c r="P159" s="25"/>
      <c r="Q159" s="16">
        <f t="shared" si="6"/>
        <v>0</v>
      </c>
      <c r="R159" s="388"/>
    </row>
    <row r="160" spans="1:18" ht="15" customHeight="1" hidden="1">
      <c r="A160" s="13"/>
      <c r="B160" s="13"/>
      <c r="C160" s="205"/>
      <c r="D160" s="362" t="s">
        <v>101</v>
      </c>
      <c r="E160" s="364">
        <v>2</v>
      </c>
      <c r="F160" s="657">
        <v>131839</v>
      </c>
      <c r="G160" s="25"/>
      <c r="H160" s="25"/>
      <c r="I160" s="25"/>
      <c r="J160" s="25"/>
      <c r="K160" s="15"/>
      <c r="L160" s="25"/>
      <c r="M160" s="25"/>
      <c r="N160" s="25"/>
      <c r="O160" s="25"/>
      <c r="P160" s="25"/>
      <c r="Q160" s="16">
        <f t="shared" si="6"/>
        <v>0</v>
      </c>
      <c r="R160" s="388"/>
    </row>
    <row r="161" spans="1:18" ht="15" customHeight="1" hidden="1">
      <c r="A161" s="13"/>
      <c r="B161" s="13"/>
      <c r="C161" s="205"/>
      <c r="D161" s="362" t="s">
        <v>102</v>
      </c>
      <c r="E161" s="364">
        <v>2</v>
      </c>
      <c r="F161" s="657">
        <v>131840</v>
      </c>
      <c r="G161" s="25"/>
      <c r="H161" s="25"/>
      <c r="I161" s="25"/>
      <c r="J161" s="25"/>
      <c r="K161" s="15"/>
      <c r="L161" s="25"/>
      <c r="M161" s="25"/>
      <c r="N161" s="25"/>
      <c r="O161" s="25"/>
      <c r="P161" s="25"/>
      <c r="Q161" s="16">
        <f t="shared" si="6"/>
        <v>0</v>
      </c>
      <c r="R161" s="388"/>
    </row>
    <row r="162" spans="1:18" ht="15" customHeight="1" hidden="1">
      <c r="A162" s="13"/>
      <c r="B162" s="13"/>
      <c r="C162" s="205"/>
      <c r="D162" s="362" t="s">
        <v>103</v>
      </c>
      <c r="E162" s="364">
        <v>2</v>
      </c>
      <c r="F162" s="657">
        <v>131841</v>
      </c>
      <c r="G162" s="25"/>
      <c r="H162" s="25"/>
      <c r="I162" s="25"/>
      <c r="J162" s="25"/>
      <c r="K162" s="15"/>
      <c r="L162" s="25"/>
      <c r="M162" s="25"/>
      <c r="N162" s="25"/>
      <c r="O162" s="25"/>
      <c r="P162" s="25"/>
      <c r="Q162" s="16">
        <f t="shared" si="6"/>
        <v>0</v>
      </c>
      <c r="R162" s="388"/>
    </row>
    <row r="163" spans="1:18" ht="15" customHeight="1" hidden="1">
      <c r="A163" s="13"/>
      <c r="B163" s="13"/>
      <c r="C163" s="205"/>
      <c r="D163" s="362" t="s">
        <v>104</v>
      </c>
      <c r="E163" s="364">
        <v>2</v>
      </c>
      <c r="F163" s="657">
        <v>131842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16">
        <f t="shared" si="6"/>
        <v>0</v>
      </c>
      <c r="R163" s="388"/>
    </row>
    <row r="164" spans="1:18" ht="15" customHeight="1" hidden="1">
      <c r="A164" s="13"/>
      <c r="B164" s="13"/>
      <c r="C164" s="205"/>
      <c r="D164" s="362" t="s">
        <v>105</v>
      </c>
      <c r="E164" s="364">
        <v>2</v>
      </c>
      <c r="F164" s="657">
        <v>131843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16">
        <f t="shared" si="6"/>
        <v>0</v>
      </c>
      <c r="R164" s="388"/>
    </row>
    <row r="165" spans="1:18" ht="15" customHeight="1" hidden="1">
      <c r="A165" s="13"/>
      <c r="B165" s="13"/>
      <c r="C165" s="205"/>
      <c r="D165" s="24" t="s">
        <v>106</v>
      </c>
      <c r="E165" s="364">
        <v>2</v>
      </c>
      <c r="F165" s="657">
        <v>131844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16">
        <f t="shared" si="6"/>
        <v>0</v>
      </c>
      <c r="R165" s="388"/>
    </row>
    <row r="166" spans="1:18" ht="15" customHeight="1" hidden="1">
      <c r="A166" s="13"/>
      <c r="B166" s="13"/>
      <c r="C166" s="205"/>
      <c r="D166" s="24" t="s">
        <v>1317</v>
      </c>
      <c r="E166" s="364">
        <v>2</v>
      </c>
      <c r="F166" s="657">
        <v>131846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16">
        <f t="shared" si="6"/>
        <v>0</v>
      </c>
      <c r="R166" s="388"/>
    </row>
    <row r="167" spans="1:18" ht="15" customHeight="1">
      <c r="A167" s="13"/>
      <c r="B167" s="13"/>
      <c r="C167" s="205"/>
      <c r="D167" s="24" t="s">
        <v>1325</v>
      </c>
      <c r="E167" s="337"/>
      <c r="F167" s="23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16"/>
      <c r="R167" s="388"/>
    </row>
    <row r="168" spans="1:18" ht="15" customHeight="1" hidden="1">
      <c r="A168" s="13"/>
      <c r="B168" s="13"/>
      <c r="C168" s="205"/>
      <c r="D168" s="24" t="s">
        <v>107</v>
      </c>
      <c r="E168" s="337">
        <v>1</v>
      </c>
      <c r="F168" s="23">
        <v>131827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6">
        <f>SUM(G168:P168)</f>
        <v>0</v>
      </c>
      <c r="R168" s="388"/>
    </row>
    <row r="169" spans="1:18" ht="12.75" customHeight="1">
      <c r="A169" s="13"/>
      <c r="B169" s="13"/>
      <c r="C169" s="205"/>
      <c r="D169" s="677" t="s">
        <v>33</v>
      </c>
      <c r="E169" s="337">
        <v>2</v>
      </c>
      <c r="F169" s="23">
        <v>131829</v>
      </c>
      <c r="G169" s="25">
        <v>-31</v>
      </c>
      <c r="H169" s="25">
        <v>31</v>
      </c>
      <c r="I169" s="25"/>
      <c r="J169" s="25"/>
      <c r="K169" s="25"/>
      <c r="L169" s="25"/>
      <c r="M169" s="25"/>
      <c r="N169" s="25"/>
      <c r="O169" s="25"/>
      <c r="P169" s="25"/>
      <c r="Q169" s="16">
        <f>SUM(G169:P169)</f>
        <v>0</v>
      </c>
      <c r="R169" s="388" t="s">
        <v>147</v>
      </c>
    </row>
    <row r="170" spans="1:18" ht="12.75" customHeight="1" hidden="1">
      <c r="A170" s="13"/>
      <c r="B170" s="13"/>
      <c r="C170" s="205"/>
      <c r="D170" s="677" t="s">
        <v>27</v>
      </c>
      <c r="E170" s="337">
        <v>1</v>
      </c>
      <c r="F170" s="23">
        <v>131831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16">
        <f>SUM(G170:P170)</f>
        <v>0</v>
      </c>
      <c r="R170" s="388"/>
    </row>
    <row r="171" spans="1:18" ht="12">
      <c r="A171" s="17"/>
      <c r="B171" s="17"/>
      <c r="C171" s="346"/>
      <c r="D171" s="18" t="s">
        <v>422</v>
      </c>
      <c r="E171" s="347"/>
      <c r="F171" s="17"/>
      <c r="G171" s="19">
        <f>SUM(G55:G170)</f>
        <v>339</v>
      </c>
      <c r="H171" s="19">
        <f aca="true" t="shared" si="7" ref="H171:Q171">SUM(H55:H170)</f>
        <v>72</v>
      </c>
      <c r="I171" s="19">
        <f t="shared" si="7"/>
        <v>-1244</v>
      </c>
      <c r="J171" s="19">
        <f t="shared" si="7"/>
        <v>0</v>
      </c>
      <c r="K171" s="19">
        <f t="shared" si="7"/>
        <v>2035</v>
      </c>
      <c r="L171" s="19">
        <f t="shared" si="7"/>
        <v>680</v>
      </c>
      <c r="M171" s="19">
        <f t="shared" si="7"/>
        <v>0</v>
      </c>
      <c r="N171" s="19">
        <f t="shared" si="7"/>
        <v>0</v>
      </c>
      <c r="O171" s="19">
        <f t="shared" si="7"/>
        <v>0</v>
      </c>
      <c r="P171" s="19">
        <f t="shared" si="7"/>
        <v>0</v>
      </c>
      <c r="Q171" s="19">
        <f t="shared" si="7"/>
        <v>1882</v>
      </c>
      <c r="R171" s="576"/>
    </row>
    <row r="172" spans="1:18" ht="12">
      <c r="A172" s="183"/>
      <c r="B172" s="183"/>
      <c r="C172" s="365"/>
      <c r="D172" s="357" t="s">
        <v>1402</v>
      </c>
      <c r="E172" s="14"/>
      <c r="F172" s="13"/>
      <c r="G172" s="20"/>
      <c r="H172" s="20"/>
      <c r="I172" s="20"/>
      <c r="J172" s="15"/>
      <c r="K172" s="15"/>
      <c r="L172" s="20"/>
      <c r="M172" s="20"/>
      <c r="N172" s="15"/>
      <c r="O172" s="15"/>
      <c r="P172" s="20"/>
      <c r="Q172" s="16"/>
      <c r="R172" s="388"/>
    </row>
    <row r="173" spans="1:18" ht="12">
      <c r="A173" s="183"/>
      <c r="B173" s="183"/>
      <c r="C173" s="366" t="s">
        <v>562</v>
      </c>
      <c r="D173" s="189" t="s">
        <v>480</v>
      </c>
      <c r="E173" s="14"/>
      <c r="F173" s="13"/>
      <c r="G173" s="20"/>
      <c r="H173" s="20"/>
      <c r="I173" s="20"/>
      <c r="J173" s="15"/>
      <c r="K173" s="15"/>
      <c r="L173" s="20"/>
      <c r="M173" s="20"/>
      <c r="N173" s="15"/>
      <c r="O173" s="15"/>
      <c r="P173" s="20"/>
      <c r="Q173" s="16"/>
      <c r="R173" s="388"/>
    </row>
    <row r="174" spans="1:18" ht="12.75" customHeight="1">
      <c r="A174" s="183"/>
      <c r="B174" s="183"/>
      <c r="C174" s="365" t="s">
        <v>108</v>
      </c>
      <c r="D174" s="367" t="s">
        <v>109</v>
      </c>
      <c r="E174" s="14"/>
      <c r="F174" s="13"/>
      <c r="G174" s="20"/>
      <c r="H174" s="20"/>
      <c r="I174" s="20"/>
      <c r="J174" s="15"/>
      <c r="K174" s="15"/>
      <c r="L174" s="15"/>
      <c r="M174" s="15"/>
      <c r="N174" s="15"/>
      <c r="O174" s="20"/>
      <c r="P174" s="20"/>
      <c r="Q174" s="16"/>
      <c r="R174" s="388"/>
    </row>
    <row r="175" spans="1:18" ht="12">
      <c r="A175" s="183"/>
      <c r="B175" s="183"/>
      <c r="C175" s="205" t="s">
        <v>110</v>
      </c>
      <c r="D175" s="368" t="s">
        <v>1192</v>
      </c>
      <c r="E175" s="14"/>
      <c r="F175" s="13">
        <v>134903</v>
      </c>
      <c r="G175" s="20"/>
      <c r="H175" s="20"/>
      <c r="I175" s="20"/>
      <c r="J175" s="15"/>
      <c r="K175" s="15"/>
      <c r="L175" s="15"/>
      <c r="M175" s="15">
        <v>1176</v>
      </c>
      <c r="N175" s="15"/>
      <c r="O175" s="20"/>
      <c r="P175" s="20"/>
      <c r="Q175" s="16">
        <f aca="true" t="shared" si="8" ref="Q175:Q182">SUM(G175:P175)</f>
        <v>1176</v>
      </c>
      <c r="R175" s="388" t="s">
        <v>658</v>
      </c>
    </row>
    <row r="176" spans="1:18" ht="12" hidden="1">
      <c r="A176" s="183"/>
      <c r="B176" s="183"/>
      <c r="C176" s="205" t="s">
        <v>111</v>
      </c>
      <c r="D176" s="128" t="s">
        <v>238</v>
      </c>
      <c r="E176" s="14"/>
      <c r="F176" s="13">
        <v>134906</v>
      </c>
      <c r="G176" s="20"/>
      <c r="H176" s="20"/>
      <c r="I176" s="20"/>
      <c r="J176" s="15"/>
      <c r="K176" s="15"/>
      <c r="L176" s="15"/>
      <c r="M176" s="15"/>
      <c r="N176" s="15"/>
      <c r="O176" s="20"/>
      <c r="P176" s="20"/>
      <c r="Q176" s="16">
        <f t="shared" si="8"/>
        <v>0</v>
      </c>
      <c r="R176" s="388"/>
    </row>
    <row r="177" spans="1:18" ht="12" hidden="1">
      <c r="A177" s="183"/>
      <c r="B177" s="183"/>
      <c r="C177" s="205" t="s">
        <v>112</v>
      </c>
      <c r="D177" s="128" t="s">
        <v>113</v>
      </c>
      <c r="E177" s="14"/>
      <c r="F177" s="13">
        <v>134956</v>
      </c>
      <c r="G177" s="20"/>
      <c r="H177" s="20"/>
      <c r="I177" s="20"/>
      <c r="J177" s="15"/>
      <c r="K177" s="15"/>
      <c r="L177" s="15"/>
      <c r="M177" s="15"/>
      <c r="N177" s="15"/>
      <c r="O177" s="20"/>
      <c r="P177" s="20"/>
      <c r="Q177" s="16">
        <f t="shared" si="8"/>
        <v>0</v>
      </c>
      <c r="R177" s="388"/>
    </row>
    <row r="178" spans="1:18" ht="24">
      <c r="A178" s="183"/>
      <c r="B178" s="183"/>
      <c r="C178" s="205" t="s">
        <v>115</v>
      </c>
      <c r="D178" s="128" t="s">
        <v>114</v>
      </c>
      <c r="E178" s="14"/>
      <c r="F178" s="13">
        <v>134957</v>
      </c>
      <c r="G178" s="20"/>
      <c r="H178" s="20"/>
      <c r="I178" s="20"/>
      <c r="J178" s="15"/>
      <c r="K178" s="15"/>
      <c r="L178" s="15"/>
      <c r="M178" s="15">
        <v>117</v>
      </c>
      <c r="N178" s="15"/>
      <c r="O178" s="20"/>
      <c r="P178" s="20"/>
      <c r="Q178" s="16">
        <f t="shared" si="8"/>
        <v>117</v>
      </c>
      <c r="R178" s="388" t="s">
        <v>658</v>
      </c>
    </row>
    <row r="179" spans="1:18" ht="12.75" hidden="1">
      <c r="A179" s="183"/>
      <c r="B179" s="183"/>
      <c r="C179" s="205" t="s">
        <v>117</v>
      </c>
      <c r="D179" s="369" t="s">
        <v>116</v>
      </c>
      <c r="E179" s="14"/>
      <c r="F179" s="13">
        <v>134958</v>
      </c>
      <c r="G179" s="20"/>
      <c r="H179" s="20"/>
      <c r="I179" s="20"/>
      <c r="J179" s="15"/>
      <c r="K179" s="15"/>
      <c r="L179" s="15"/>
      <c r="M179" s="15"/>
      <c r="N179" s="15"/>
      <c r="O179" s="20"/>
      <c r="P179" s="20"/>
      <c r="Q179" s="16">
        <f t="shared" si="8"/>
        <v>0</v>
      </c>
      <c r="R179" s="388"/>
    </row>
    <row r="180" spans="1:18" ht="12.75">
      <c r="A180" s="183"/>
      <c r="B180" s="183"/>
      <c r="C180" s="205" t="s">
        <v>737</v>
      </c>
      <c r="D180" s="369" t="s">
        <v>118</v>
      </c>
      <c r="E180" s="14"/>
      <c r="F180" s="13">
        <v>134959</v>
      </c>
      <c r="G180" s="20"/>
      <c r="H180" s="20"/>
      <c r="I180" s="20"/>
      <c r="J180" s="15"/>
      <c r="K180" s="15"/>
      <c r="L180" s="15"/>
      <c r="M180" s="15">
        <v>154</v>
      </c>
      <c r="N180" s="15"/>
      <c r="O180" s="20"/>
      <c r="P180" s="20"/>
      <c r="Q180" s="16">
        <f t="shared" si="8"/>
        <v>154</v>
      </c>
      <c r="R180" s="388" t="s">
        <v>658</v>
      </c>
    </row>
    <row r="181" spans="1:18" ht="12.75" hidden="1">
      <c r="A181" s="183"/>
      <c r="B181" s="183"/>
      <c r="C181" s="678" t="s">
        <v>37</v>
      </c>
      <c r="D181" s="679" t="s">
        <v>38</v>
      </c>
      <c r="E181" s="14"/>
      <c r="F181" s="13">
        <v>134932</v>
      </c>
      <c r="G181" s="20"/>
      <c r="H181" s="20"/>
      <c r="I181" s="20"/>
      <c r="J181" s="15"/>
      <c r="K181" s="15"/>
      <c r="L181" s="15"/>
      <c r="M181" s="15"/>
      <c r="N181" s="15"/>
      <c r="O181" s="20"/>
      <c r="P181" s="20"/>
      <c r="Q181" s="16">
        <f t="shared" si="8"/>
        <v>0</v>
      </c>
      <c r="R181" s="388"/>
    </row>
    <row r="182" spans="1:18" ht="25.5">
      <c r="A182" s="183"/>
      <c r="B182" s="183"/>
      <c r="C182" s="678" t="s">
        <v>195</v>
      </c>
      <c r="D182" s="679" t="s">
        <v>194</v>
      </c>
      <c r="E182" s="751"/>
      <c r="F182" s="688">
        <v>134933</v>
      </c>
      <c r="G182" s="20"/>
      <c r="H182" s="20"/>
      <c r="I182" s="20"/>
      <c r="J182" s="15"/>
      <c r="K182" s="15"/>
      <c r="L182" s="15"/>
      <c r="M182" s="15">
        <v>425</v>
      </c>
      <c r="N182" s="15"/>
      <c r="O182" s="20"/>
      <c r="P182" s="20"/>
      <c r="Q182" s="16">
        <f t="shared" si="8"/>
        <v>425</v>
      </c>
      <c r="R182" s="388" t="s">
        <v>658</v>
      </c>
    </row>
    <row r="183" spans="1:18" ht="12">
      <c r="A183" s="183"/>
      <c r="B183" s="183"/>
      <c r="C183" s="365" t="s">
        <v>744</v>
      </c>
      <c r="D183" s="370" t="s">
        <v>745</v>
      </c>
      <c r="E183" s="14"/>
      <c r="F183" s="13"/>
      <c r="G183" s="20"/>
      <c r="H183" s="20"/>
      <c r="I183" s="20"/>
      <c r="J183" s="15"/>
      <c r="K183" s="15"/>
      <c r="L183" s="20"/>
      <c r="M183" s="20"/>
      <c r="N183" s="15"/>
      <c r="O183" s="15"/>
      <c r="P183" s="20"/>
      <c r="Q183" s="16"/>
      <c r="R183" s="388"/>
    </row>
    <row r="184" spans="1:18" ht="24">
      <c r="A184" s="183"/>
      <c r="B184" s="183"/>
      <c r="C184" s="205" t="s">
        <v>119</v>
      </c>
      <c r="D184" s="128" t="s">
        <v>120</v>
      </c>
      <c r="E184" s="14"/>
      <c r="F184" s="13">
        <v>132913</v>
      </c>
      <c r="G184" s="20"/>
      <c r="H184" s="20"/>
      <c r="I184" s="20"/>
      <c r="J184" s="15"/>
      <c r="K184" s="15"/>
      <c r="L184" s="15">
        <v>-1</v>
      </c>
      <c r="M184" s="20"/>
      <c r="N184" s="15"/>
      <c r="O184" s="15"/>
      <c r="P184" s="20"/>
      <c r="Q184" s="16">
        <f aca="true" t="shared" si="9" ref="Q184:Q194">SUM(G184:P184)</f>
        <v>-1</v>
      </c>
      <c r="R184" s="388" t="s">
        <v>658</v>
      </c>
    </row>
    <row r="185" spans="1:18" ht="12" hidden="1">
      <c r="A185" s="183"/>
      <c r="B185" s="183"/>
      <c r="C185" s="205" t="s">
        <v>121</v>
      </c>
      <c r="D185" s="128" t="s">
        <v>122</v>
      </c>
      <c r="E185" s="14"/>
      <c r="F185" s="13">
        <v>132912</v>
      </c>
      <c r="G185" s="20"/>
      <c r="H185" s="20"/>
      <c r="I185" s="20"/>
      <c r="J185" s="15"/>
      <c r="K185" s="15"/>
      <c r="L185" s="15"/>
      <c r="M185" s="20"/>
      <c r="N185" s="15"/>
      <c r="O185" s="15"/>
      <c r="P185" s="20"/>
      <c r="Q185" s="16">
        <f t="shared" si="9"/>
        <v>0</v>
      </c>
      <c r="R185" s="388"/>
    </row>
    <row r="186" spans="1:18" ht="12.75">
      <c r="A186" s="183"/>
      <c r="B186" s="183"/>
      <c r="C186" s="205" t="s">
        <v>123</v>
      </c>
      <c r="D186" s="107" t="s">
        <v>124</v>
      </c>
      <c r="E186" s="14"/>
      <c r="F186" s="13">
        <v>134911</v>
      </c>
      <c r="G186" s="20"/>
      <c r="H186" s="20"/>
      <c r="I186" s="20"/>
      <c r="J186" s="15"/>
      <c r="K186" s="15"/>
      <c r="L186" s="15"/>
      <c r="M186" s="15">
        <v>-3760</v>
      </c>
      <c r="N186" s="15"/>
      <c r="O186" s="20"/>
      <c r="P186" s="20"/>
      <c r="Q186" s="16">
        <f t="shared" si="9"/>
        <v>-3760</v>
      </c>
      <c r="R186" s="388" t="s">
        <v>658</v>
      </c>
    </row>
    <row r="187" spans="1:18" ht="12.75">
      <c r="A187" s="183"/>
      <c r="B187" s="183"/>
      <c r="C187" s="205" t="s">
        <v>125</v>
      </c>
      <c r="D187" s="369" t="s">
        <v>126</v>
      </c>
      <c r="E187" s="14"/>
      <c r="F187" s="13">
        <v>134960</v>
      </c>
      <c r="G187" s="20"/>
      <c r="H187" s="20"/>
      <c r="I187" s="20"/>
      <c r="J187" s="15"/>
      <c r="K187" s="15"/>
      <c r="L187" s="15"/>
      <c r="M187" s="15">
        <v>448</v>
      </c>
      <c r="N187" s="15"/>
      <c r="O187" s="20"/>
      <c r="P187" s="20"/>
      <c r="Q187" s="16">
        <f t="shared" si="9"/>
        <v>448</v>
      </c>
      <c r="R187" s="388" t="s">
        <v>658</v>
      </c>
    </row>
    <row r="188" spans="1:18" ht="25.5">
      <c r="A188" s="183"/>
      <c r="B188" s="183"/>
      <c r="C188" s="205" t="s">
        <v>127</v>
      </c>
      <c r="D188" s="369" t="s">
        <v>128</v>
      </c>
      <c r="E188" s="14"/>
      <c r="F188" s="13">
        <v>134946</v>
      </c>
      <c r="G188" s="20"/>
      <c r="H188" s="20"/>
      <c r="I188" s="20"/>
      <c r="J188" s="15"/>
      <c r="K188" s="15"/>
      <c r="L188" s="15">
        <v>523</v>
      </c>
      <c r="M188" s="15">
        <v>305</v>
      </c>
      <c r="N188" s="15"/>
      <c r="O188" s="20"/>
      <c r="P188" s="20"/>
      <c r="Q188" s="16">
        <f t="shared" si="9"/>
        <v>828</v>
      </c>
      <c r="R188" s="388" t="s">
        <v>658</v>
      </c>
    </row>
    <row r="189" spans="1:18" ht="12.75" hidden="1">
      <c r="A189" s="183"/>
      <c r="B189" s="183"/>
      <c r="C189" s="205" t="s">
        <v>129</v>
      </c>
      <c r="D189" s="369" t="s">
        <v>130</v>
      </c>
      <c r="E189" s="14"/>
      <c r="F189" s="13">
        <v>134914</v>
      </c>
      <c r="G189" s="20"/>
      <c r="H189" s="20"/>
      <c r="I189" s="20"/>
      <c r="J189" s="15"/>
      <c r="K189" s="15"/>
      <c r="L189" s="15"/>
      <c r="M189" s="15"/>
      <c r="N189" s="15"/>
      <c r="O189" s="20"/>
      <c r="P189" s="20"/>
      <c r="Q189" s="16">
        <f t="shared" si="9"/>
        <v>0</v>
      </c>
      <c r="R189" s="388"/>
    </row>
    <row r="190" spans="1:18" ht="12.75">
      <c r="A190" s="183"/>
      <c r="B190" s="183"/>
      <c r="C190" s="205" t="s">
        <v>131</v>
      </c>
      <c r="D190" s="369" t="s">
        <v>132</v>
      </c>
      <c r="E190" s="14"/>
      <c r="F190" s="13">
        <v>134915</v>
      </c>
      <c r="G190" s="20"/>
      <c r="H190" s="20"/>
      <c r="I190" s="20"/>
      <c r="J190" s="15"/>
      <c r="K190" s="15"/>
      <c r="L190" s="15"/>
      <c r="M190" s="15"/>
      <c r="N190" s="15">
        <v>-500</v>
      </c>
      <c r="O190" s="20"/>
      <c r="P190" s="20"/>
      <c r="Q190" s="16">
        <f t="shared" si="9"/>
        <v>-500</v>
      </c>
      <c r="R190" s="388" t="s">
        <v>658</v>
      </c>
    </row>
    <row r="191" spans="1:18" ht="12.75" hidden="1">
      <c r="A191" s="183"/>
      <c r="B191" s="183"/>
      <c r="C191" s="205" t="s">
        <v>133</v>
      </c>
      <c r="D191" s="369" t="s">
        <v>134</v>
      </c>
      <c r="E191" s="14"/>
      <c r="F191" s="13">
        <v>134961</v>
      </c>
      <c r="G191" s="20"/>
      <c r="H191" s="20"/>
      <c r="I191" s="20"/>
      <c r="J191" s="15"/>
      <c r="K191" s="15"/>
      <c r="L191" s="15"/>
      <c r="M191" s="15"/>
      <c r="N191" s="15"/>
      <c r="O191" s="20"/>
      <c r="P191" s="20"/>
      <c r="Q191" s="16">
        <f t="shared" si="9"/>
        <v>0</v>
      </c>
      <c r="R191" s="388"/>
    </row>
    <row r="192" spans="1:18" ht="12.75" hidden="1">
      <c r="A192" s="183"/>
      <c r="B192" s="183"/>
      <c r="C192" s="680" t="s">
        <v>10</v>
      </c>
      <c r="D192" s="713" t="s">
        <v>11</v>
      </c>
      <c r="E192" s="14"/>
      <c r="F192" s="13">
        <v>162902</v>
      </c>
      <c r="G192" s="20"/>
      <c r="H192" s="20"/>
      <c r="I192" s="20"/>
      <c r="J192" s="15"/>
      <c r="K192" s="15"/>
      <c r="L192" s="15"/>
      <c r="M192" s="15"/>
      <c r="N192" s="15"/>
      <c r="O192" s="20"/>
      <c r="P192" s="20"/>
      <c r="Q192" s="16">
        <f t="shared" si="9"/>
        <v>0</v>
      </c>
      <c r="R192" s="388"/>
    </row>
    <row r="193" spans="1:18" ht="25.5">
      <c r="A193" s="183"/>
      <c r="B193" s="183"/>
      <c r="C193" s="680" t="s">
        <v>191</v>
      </c>
      <c r="D193" s="807" t="s">
        <v>168</v>
      </c>
      <c r="E193" s="14"/>
      <c r="F193" s="688">
        <v>134816</v>
      </c>
      <c r="G193" s="20"/>
      <c r="H193" s="20"/>
      <c r="I193" s="20"/>
      <c r="J193" s="15"/>
      <c r="K193" s="15"/>
      <c r="L193" s="15"/>
      <c r="M193" s="15">
        <v>1268</v>
      </c>
      <c r="N193" s="15"/>
      <c r="O193" s="20"/>
      <c r="P193" s="20"/>
      <c r="Q193" s="16">
        <f t="shared" si="9"/>
        <v>1268</v>
      </c>
      <c r="R193" s="388" t="s">
        <v>658</v>
      </c>
    </row>
    <row r="194" spans="1:18" ht="25.5">
      <c r="A194" s="183"/>
      <c r="B194" s="183"/>
      <c r="C194" s="680" t="s">
        <v>1041</v>
      </c>
      <c r="D194" s="807" t="s">
        <v>1042</v>
      </c>
      <c r="E194" s="14"/>
      <c r="F194" s="688">
        <v>132965</v>
      </c>
      <c r="G194" s="20"/>
      <c r="H194" s="20"/>
      <c r="I194" s="20"/>
      <c r="J194" s="15"/>
      <c r="K194" s="15"/>
      <c r="L194" s="15"/>
      <c r="M194" s="15"/>
      <c r="N194" s="15">
        <v>500</v>
      </c>
      <c r="O194" s="20"/>
      <c r="P194" s="20"/>
      <c r="Q194" s="16">
        <f t="shared" si="9"/>
        <v>500</v>
      </c>
      <c r="R194" s="388" t="s">
        <v>147</v>
      </c>
    </row>
    <row r="195" spans="1:18" ht="13.5">
      <c r="A195" s="183"/>
      <c r="B195" s="183"/>
      <c r="C195" s="365" t="s">
        <v>135</v>
      </c>
      <c r="D195" s="712" t="s">
        <v>1054</v>
      </c>
      <c r="E195" s="14"/>
      <c r="F195" s="13"/>
      <c r="G195" s="20"/>
      <c r="H195" s="20"/>
      <c r="I195" s="20"/>
      <c r="J195" s="15"/>
      <c r="K195" s="15"/>
      <c r="L195" s="15"/>
      <c r="M195" s="20"/>
      <c r="N195" s="15"/>
      <c r="O195" s="20"/>
      <c r="P195" s="20"/>
      <c r="Q195" s="16"/>
      <c r="R195" s="388"/>
    </row>
    <row r="196" spans="1:18" ht="22.5" customHeight="1" hidden="1">
      <c r="A196" s="183"/>
      <c r="B196" s="183"/>
      <c r="C196" s="205" t="s">
        <v>136</v>
      </c>
      <c r="D196" s="369" t="s">
        <v>1068</v>
      </c>
      <c r="E196" s="14"/>
      <c r="F196" s="13">
        <v>134962</v>
      </c>
      <c r="G196" s="20"/>
      <c r="H196" s="20"/>
      <c r="I196" s="20"/>
      <c r="J196" s="15"/>
      <c r="K196" s="15"/>
      <c r="L196" s="15"/>
      <c r="M196" s="15"/>
      <c r="N196" s="15"/>
      <c r="O196" s="20"/>
      <c r="P196" s="20"/>
      <c r="Q196" s="16">
        <f>SUM(G196:P196)</f>
        <v>0</v>
      </c>
      <c r="R196" s="388"/>
    </row>
    <row r="197" spans="1:18" ht="12.75" hidden="1">
      <c r="A197" s="183"/>
      <c r="B197" s="183"/>
      <c r="C197" s="205" t="s">
        <v>137</v>
      </c>
      <c r="D197" s="371" t="s">
        <v>138</v>
      </c>
      <c r="E197" s="14"/>
      <c r="F197" s="13">
        <v>134963</v>
      </c>
      <c r="G197" s="20"/>
      <c r="H197" s="20"/>
      <c r="I197" s="20"/>
      <c r="J197" s="15"/>
      <c r="K197" s="15"/>
      <c r="L197" s="15"/>
      <c r="M197" s="15"/>
      <c r="N197" s="15"/>
      <c r="O197" s="20"/>
      <c r="P197" s="20"/>
      <c r="Q197" s="16">
        <f>SUM(G197:P197)</f>
        <v>0</v>
      </c>
      <c r="R197" s="388"/>
    </row>
    <row r="198" spans="1:18" ht="24">
      <c r="A198" s="183"/>
      <c r="B198" s="183"/>
      <c r="C198" s="678" t="s">
        <v>196</v>
      </c>
      <c r="D198" s="743" t="s">
        <v>175</v>
      </c>
      <c r="E198" s="751"/>
      <c r="F198" s="688">
        <v>134968</v>
      </c>
      <c r="G198" s="20"/>
      <c r="H198" s="20"/>
      <c r="I198" s="15">
        <v>4959</v>
      </c>
      <c r="J198" s="15"/>
      <c r="K198" s="15"/>
      <c r="L198" s="15"/>
      <c r="M198" s="15">
        <v>145041</v>
      </c>
      <c r="N198" s="15"/>
      <c r="O198" s="20"/>
      <c r="P198" s="20"/>
      <c r="Q198" s="16">
        <f>SUM(G198:P198)</f>
        <v>150000</v>
      </c>
      <c r="R198" s="388" t="s">
        <v>147</v>
      </c>
    </row>
    <row r="199" spans="1:18" ht="36">
      <c r="A199" s="183"/>
      <c r="B199" s="183"/>
      <c r="C199" s="678" t="s">
        <v>174</v>
      </c>
      <c r="D199" s="743" t="s">
        <v>176</v>
      </c>
      <c r="E199" s="751"/>
      <c r="F199" s="688">
        <v>134969</v>
      </c>
      <c r="G199" s="20"/>
      <c r="H199" s="20"/>
      <c r="I199" s="15">
        <v>4610</v>
      </c>
      <c r="J199" s="15"/>
      <c r="K199" s="15"/>
      <c r="L199" s="15"/>
      <c r="M199" s="15">
        <v>179271</v>
      </c>
      <c r="N199" s="15"/>
      <c r="O199" s="20"/>
      <c r="P199" s="20"/>
      <c r="Q199" s="16">
        <f>SUM(G199:P199)</f>
        <v>183881</v>
      </c>
      <c r="R199" s="388" t="s">
        <v>147</v>
      </c>
    </row>
    <row r="200" spans="1:18" ht="12">
      <c r="A200" s="183"/>
      <c r="B200" s="183"/>
      <c r="C200" s="365" t="s">
        <v>626</v>
      </c>
      <c r="D200" s="21" t="s">
        <v>525</v>
      </c>
      <c r="E200" s="14"/>
      <c r="F200" s="13"/>
      <c r="G200" s="20"/>
      <c r="H200" s="20"/>
      <c r="I200" s="20"/>
      <c r="J200" s="15"/>
      <c r="K200" s="15"/>
      <c r="L200" s="20"/>
      <c r="M200" s="20"/>
      <c r="N200" s="15"/>
      <c r="O200" s="15"/>
      <c r="P200" s="20"/>
      <c r="Q200" s="16"/>
      <c r="R200" s="388"/>
    </row>
    <row r="201" spans="1:18" ht="24" hidden="1">
      <c r="A201" s="183"/>
      <c r="B201" s="183"/>
      <c r="C201" s="205" t="s">
        <v>627</v>
      </c>
      <c r="D201" s="178" t="s">
        <v>588</v>
      </c>
      <c r="E201" s="14"/>
      <c r="F201" s="13">
        <v>132909</v>
      </c>
      <c r="G201" s="20"/>
      <c r="H201" s="20"/>
      <c r="I201" s="20"/>
      <c r="J201" s="15"/>
      <c r="K201" s="15"/>
      <c r="L201" s="15"/>
      <c r="M201" s="20"/>
      <c r="N201" s="15"/>
      <c r="O201" s="15"/>
      <c r="P201" s="20"/>
      <c r="Q201" s="16">
        <f>SUM(G201:P201)</f>
        <v>0</v>
      </c>
      <c r="R201" s="388"/>
    </row>
    <row r="202" spans="1:18" ht="15" customHeight="1" hidden="1">
      <c r="A202" s="183"/>
      <c r="B202" s="183"/>
      <c r="C202" s="205" t="s">
        <v>474</v>
      </c>
      <c r="D202" s="16" t="s">
        <v>139</v>
      </c>
      <c r="E202" s="14"/>
      <c r="F202" s="13">
        <v>132910</v>
      </c>
      <c r="G202" s="20"/>
      <c r="H202" s="20"/>
      <c r="I202" s="20"/>
      <c r="J202" s="15"/>
      <c r="K202" s="15"/>
      <c r="L202" s="15"/>
      <c r="M202" s="20"/>
      <c r="N202" s="15"/>
      <c r="O202" s="15"/>
      <c r="P202" s="20"/>
      <c r="Q202" s="16">
        <f>SUM(G202:P202)</f>
        <v>0</v>
      </c>
      <c r="R202" s="388"/>
    </row>
    <row r="203" spans="1:18" ht="13.5" customHeight="1" hidden="1">
      <c r="A203" s="183"/>
      <c r="B203" s="183"/>
      <c r="C203" s="205" t="s">
        <v>447</v>
      </c>
      <c r="D203" s="16" t="s">
        <v>448</v>
      </c>
      <c r="E203" s="14"/>
      <c r="F203" s="13">
        <v>134966</v>
      </c>
      <c r="G203" s="20"/>
      <c r="H203" s="20"/>
      <c r="I203" s="20"/>
      <c r="J203" s="15"/>
      <c r="K203" s="15"/>
      <c r="L203" s="15"/>
      <c r="M203" s="15"/>
      <c r="N203" s="15"/>
      <c r="O203" s="15"/>
      <c r="P203" s="20"/>
      <c r="Q203" s="16">
        <f>SUM(G203:P203)</f>
        <v>0</v>
      </c>
      <c r="R203" s="388"/>
    </row>
    <row r="204" spans="1:18" ht="20.25" customHeight="1" hidden="1">
      <c r="A204" s="183"/>
      <c r="B204" s="183"/>
      <c r="C204" s="205" t="s">
        <v>500</v>
      </c>
      <c r="D204" s="178" t="s">
        <v>501</v>
      </c>
      <c r="E204" s="14"/>
      <c r="F204" s="13">
        <v>132949</v>
      </c>
      <c r="G204" s="20"/>
      <c r="H204" s="20"/>
      <c r="I204" s="20"/>
      <c r="J204" s="15"/>
      <c r="K204" s="15"/>
      <c r="L204" s="15"/>
      <c r="M204" s="15"/>
      <c r="N204" s="15"/>
      <c r="O204" s="15"/>
      <c r="P204" s="20"/>
      <c r="Q204" s="16">
        <f>SUM(G204:P204)</f>
        <v>0</v>
      </c>
      <c r="R204" s="388"/>
    </row>
    <row r="205" spans="1:18" ht="20.25" customHeight="1">
      <c r="A205" s="183"/>
      <c r="B205" s="183"/>
      <c r="C205" s="750" t="s">
        <v>161</v>
      </c>
      <c r="D205" s="178" t="s">
        <v>182</v>
      </c>
      <c r="E205" s="14"/>
      <c r="F205" s="13">
        <v>132964</v>
      </c>
      <c r="G205" s="20"/>
      <c r="H205" s="20"/>
      <c r="I205" s="20"/>
      <c r="J205" s="15"/>
      <c r="K205" s="15"/>
      <c r="L205" s="15">
        <v>9800</v>
      </c>
      <c r="M205" s="15"/>
      <c r="N205" s="15"/>
      <c r="O205" s="15"/>
      <c r="P205" s="20"/>
      <c r="Q205" s="16">
        <f>SUM(G205:P205)</f>
        <v>9800</v>
      </c>
      <c r="R205" s="388" t="s">
        <v>147</v>
      </c>
    </row>
    <row r="206" spans="1:18" ht="12">
      <c r="A206" s="183"/>
      <c r="B206" s="183"/>
      <c r="C206" s="365" t="s">
        <v>628</v>
      </c>
      <c r="D206" s="21" t="s">
        <v>140</v>
      </c>
      <c r="E206" s="14"/>
      <c r="F206" s="13"/>
      <c r="G206" s="20"/>
      <c r="H206" s="20"/>
      <c r="I206" s="20"/>
      <c r="J206" s="15"/>
      <c r="K206" s="15"/>
      <c r="L206" s="15"/>
      <c r="M206" s="20"/>
      <c r="N206" s="15"/>
      <c r="O206" s="15"/>
      <c r="P206" s="20"/>
      <c r="Q206" s="16"/>
      <c r="R206" s="388"/>
    </row>
    <row r="207" spans="1:18" ht="12.75" hidden="1">
      <c r="A207" s="183"/>
      <c r="B207" s="183"/>
      <c r="C207" s="205" t="s">
        <v>141</v>
      </c>
      <c r="D207" s="369" t="s">
        <v>1244</v>
      </c>
      <c r="E207" s="14"/>
      <c r="F207" s="13">
        <v>134921</v>
      </c>
      <c r="G207" s="20"/>
      <c r="H207" s="20"/>
      <c r="I207" s="20"/>
      <c r="J207" s="15"/>
      <c r="K207" s="15"/>
      <c r="L207" s="15"/>
      <c r="M207" s="15"/>
      <c r="N207" s="15"/>
      <c r="O207" s="20"/>
      <c r="P207" s="20"/>
      <c r="Q207" s="16">
        <f aca="true" t="shared" si="10" ref="Q207:Q212">SUM(G207:P207)</f>
        <v>0</v>
      </c>
      <c r="R207" s="388"/>
    </row>
    <row r="208" spans="1:18" ht="12.75" hidden="1">
      <c r="A208" s="183"/>
      <c r="B208" s="183"/>
      <c r="C208" s="205" t="s">
        <v>142</v>
      </c>
      <c r="D208" s="369" t="s">
        <v>143</v>
      </c>
      <c r="E208" s="14"/>
      <c r="F208" s="13">
        <v>134922</v>
      </c>
      <c r="G208" s="20"/>
      <c r="H208" s="20"/>
      <c r="I208" s="20"/>
      <c r="J208" s="15"/>
      <c r="K208" s="15"/>
      <c r="L208" s="15"/>
      <c r="M208" s="15"/>
      <c r="N208" s="15"/>
      <c r="O208" s="20"/>
      <c r="P208" s="20"/>
      <c r="Q208" s="16">
        <f t="shared" si="10"/>
        <v>0</v>
      </c>
      <c r="R208" s="388"/>
    </row>
    <row r="209" spans="1:18" ht="12.75">
      <c r="A209" s="183"/>
      <c r="B209" s="183"/>
      <c r="C209" s="205" t="s">
        <v>521</v>
      </c>
      <c r="D209" s="372" t="s">
        <v>1245</v>
      </c>
      <c r="E209" s="14"/>
      <c r="F209" s="13">
        <v>134926</v>
      </c>
      <c r="G209" s="20"/>
      <c r="H209" s="20"/>
      <c r="I209" s="20"/>
      <c r="J209" s="15"/>
      <c r="K209" s="15"/>
      <c r="L209" s="15"/>
      <c r="M209" s="15"/>
      <c r="N209" s="15">
        <v>60</v>
      </c>
      <c r="O209" s="20"/>
      <c r="P209" s="20"/>
      <c r="Q209" s="16">
        <f t="shared" si="10"/>
        <v>60</v>
      </c>
      <c r="R209" s="388" t="s">
        <v>658</v>
      </c>
    </row>
    <row r="210" spans="1:18" ht="12.75" hidden="1">
      <c r="A210" s="183"/>
      <c r="B210" s="183"/>
      <c r="C210" s="205" t="s">
        <v>522</v>
      </c>
      <c r="D210" s="600" t="s">
        <v>523</v>
      </c>
      <c r="E210" s="14"/>
      <c r="F210" s="13">
        <v>134925</v>
      </c>
      <c r="G210" s="20"/>
      <c r="H210" s="20"/>
      <c r="I210" s="20"/>
      <c r="J210" s="15"/>
      <c r="K210" s="15"/>
      <c r="L210" s="15"/>
      <c r="M210" s="15"/>
      <c r="N210" s="15"/>
      <c r="O210" s="20"/>
      <c r="P210" s="20"/>
      <c r="Q210" s="16">
        <f t="shared" si="10"/>
        <v>0</v>
      </c>
      <c r="R210" s="388"/>
    </row>
    <row r="211" spans="1:18" ht="12.75">
      <c r="A211" s="183"/>
      <c r="B211" s="183"/>
      <c r="C211" s="678" t="s">
        <v>1256</v>
      </c>
      <c r="D211" s="683" t="s">
        <v>1259</v>
      </c>
      <c r="E211" s="14"/>
      <c r="F211" s="13">
        <v>132914</v>
      </c>
      <c r="G211" s="20"/>
      <c r="H211" s="20"/>
      <c r="I211" s="20"/>
      <c r="J211" s="15"/>
      <c r="K211" s="15"/>
      <c r="L211" s="15">
        <v>11000</v>
      </c>
      <c r="M211" s="15"/>
      <c r="N211" s="15"/>
      <c r="O211" s="20"/>
      <c r="P211" s="20"/>
      <c r="Q211" s="16">
        <f t="shared" si="10"/>
        <v>11000</v>
      </c>
      <c r="R211" s="388" t="s">
        <v>147</v>
      </c>
    </row>
    <row r="212" spans="1:18" ht="12.75">
      <c r="A212" s="183"/>
      <c r="B212" s="183"/>
      <c r="C212" s="678" t="s">
        <v>1257</v>
      </c>
      <c r="D212" s="683" t="s">
        <v>1258</v>
      </c>
      <c r="E212" s="14"/>
      <c r="F212" s="13">
        <v>132915</v>
      </c>
      <c r="G212" s="20"/>
      <c r="H212" s="20"/>
      <c r="I212" s="20"/>
      <c r="J212" s="15"/>
      <c r="K212" s="15"/>
      <c r="L212" s="15">
        <v>9000</v>
      </c>
      <c r="M212" s="15"/>
      <c r="N212" s="15"/>
      <c r="O212" s="20"/>
      <c r="P212" s="20"/>
      <c r="Q212" s="16">
        <f t="shared" si="10"/>
        <v>9000</v>
      </c>
      <c r="R212" s="388" t="s">
        <v>147</v>
      </c>
    </row>
    <row r="213" spans="1:18" ht="12">
      <c r="A213" s="183"/>
      <c r="B213" s="183"/>
      <c r="C213" s="366" t="s">
        <v>629</v>
      </c>
      <c r="D213" s="21" t="s">
        <v>144</v>
      </c>
      <c r="E213" s="14"/>
      <c r="F213" s="13"/>
      <c r="G213" s="20"/>
      <c r="H213" s="20"/>
      <c r="I213" s="20"/>
      <c r="J213" s="15"/>
      <c r="K213" s="15"/>
      <c r="L213" s="15"/>
      <c r="M213" s="20"/>
      <c r="N213" s="15"/>
      <c r="O213" s="15"/>
      <c r="P213" s="20"/>
      <c r="Q213" s="16"/>
      <c r="R213" s="388"/>
    </row>
    <row r="214" spans="1:18" ht="47.25" customHeight="1" hidden="1">
      <c r="A214" s="183"/>
      <c r="B214" s="183"/>
      <c r="C214" s="205" t="s">
        <v>635</v>
      </c>
      <c r="D214" s="128" t="s">
        <v>145</v>
      </c>
      <c r="E214" s="14"/>
      <c r="F214" s="13">
        <v>132940</v>
      </c>
      <c r="G214" s="20"/>
      <c r="H214" s="20"/>
      <c r="I214" s="20"/>
      <c r="J214" s="15"/>
      <c r="K214" s="15"/>
      <c r="L214" s="15"/>
      <c r="M214" s="20"/>
      <c r="N214" s="15"/>
      <c r="O214" s="15"/>
      <c r="P214" s="20"/>
      <c r="Q214" s="16">
        <f>SUM(G214:P214)</f>
        <v>0</v>
      </c>
      <c r="R214" s="388"/>
    </row>
    <row r="215" spans="1:18" ht="12.75">
      <c r="A215" s="183"/>
      <c r="B215" s="183"/>
      <c r="C215" s="205" t="s">
        <v>636</v>
      </c>
      <c r="D215" s="695" t="s">
        <v>197</v>
      </c>
      <c r="E215" s="14"/>
      <c r="F215" s="13">
        <v>134964</v>
      </c>
      <c r="G215" s="20"/>
      <c r="H215" s="20"/>
      <c r="I215" s="20"/>
      <c r="J215" s="15"/>
      <c r="K215" s="15"/>
      <c r="L215" s="15"/>
      <c r="M215" s="15">
        <v>-171</v>
      </c>
      <c r="N215" s="15"/>
      <c r="O215" s="20"/>
      <c r="P215" s="20"/>
      <c r="Q215" s="16">
        <f>SUM(G215:P215)</f>
        <v>-171</v>
      </c>
      <c r="R215" s="388" t="s">
        <v>658</v>
      </c>
    </row>
    <row r="216" spans="1:18" ht="12.75" hidden="1">
      <c r="A216" s="183"/>
      <c r="B216" s="183"/>
      <c r="C216" s="205" t="s">
        <v>637</v>
      </c>
      <c r="D216" s="727" t="s">
        <v>9</v>
      </c>
      <c r="E216" s="14"/>
      <c r="F216" s="13">
        <v>132948</v>
      </c>
      <c r="G216" s="20"/>
      <c r="H216" s="20"/>
      <c r="I216" s="20"/>
      <c r="J216" s="15"/>
      <c r="K216" s="15"/>
      <c r="L216" s="15"/>
      <c r="M216" s="15"/>
      <c r="N216" s="15"/>
      <c r="O216" s="20"/>
      <c r="P216" s="20"/>
      <c r="Q216" s="16">
        <f>SUM(G216:P216)</f>
        <v>0</v>
      </c>
      <c r="R216" s="388"/>
    </row>
    <row r="217" spans="1:18" ht="23.25" customHeight="1" hidden="1">
      <c r="A217" s="183"/>
      <c r="B217" s="183"/>
      <c r="C217" s="205" t="s">
        <v>638</v>
      </c>
      <c r="D217" s="727" t="s">
        <v>432</v>
      </c>
      <c r="E217" s="14"/>
      <c r="F217" s="13">
        <v>134967</v>
      </c>
      <c r="G217" s="20"/>
      <c r="H217" s="20"/>
      <c r="I217" s="20"/>
      <c r="J217" s="15"/>
      <c r="K217" s="15"/>
      <c r="L217" s="15"/>
      <c r="M217" s="15"/>
      <c r="N217" s="15"/>
      <c r="O217" s="20"/>
      <c r="P217" s="20"/>
      <c r="Q217" s="16">
        <f>SUM(G217:P217)</f>
        <v>0</v>
      </c>
      <c r="R217" s="388"/>
    </row>
    <row r="218" spans="1:18" ht="12.75">
      <c r="A218" s="183"/>
      <c r="B218" s="183"/>
      <c r="C218" s="365" t="s">
        <v>630</v>
      </c>
      <c r="D218" s="373" t="s">
        <v>681</v>
      </c>
      <c r="E218" s="14"/>
      <c r="F218" s="13"/>
      <c r="G218" s="20"/>
      <c r="H218" s="20"/>
      <c r="I218" s="20"/>
      <c r="J218" s="15"/>
      <c r="K218" s="15"/>
      <c r="L218" s="15"/>
      <c r="M218" s="15"/>
      <c r="N218" s="15"/>
      <c r="O218" s="20"/>
      <c r="P218" s="20"/>
      <c r="Q218" s="16"/>
      <c r="R218" s="388"/>
    </row>
    <row r="219" spans="1:18" ht="30" customHeight="1" hidden="1">
      <c r="A219" s="183"/>
      <c r="B219" s="183"/>
      <c r="C219" s="205" t="s">
        <v>669</v>
      </c>
      <c r="D219" s="200" t="s">
        <v>420</v>
      </c>
      <c r="E219" s="25"/>
      <c r="F219" s="13">
        <v>132903</v>
      </c>
      <c r="G219" s="374"/>
      <c r="H219" s="374"/>
      <c r="I219" s="374"/>
      <c r="J219" s="374"/>
      <c r="K219" s="374"/>
      <c r="L219" s="375"/>
      <c r="M219" s="375"/>
      <c r="N219" s="375"/>
      <c r="O219" s="374"/>
      <c r="P219" s="374"/>
      <c r="Q219" s="119">
        <f>SUM(G219:P219)</f>
        <v>0</v>
      </c>
      <c r="R219" s="388"/>
    </row>
    <row r="220" spans="1:18" ht="30" customHeight="1">
      <c r="A220" s="183"/>
      <c r="B220" s="183"/>
      <c r="C220" s="678" t="s">
        <v>169</v>
      </c>
      <c r="D220" s="752" t="s">
        <v>170</v>
      </c>
      <c r="E220" s="185"/>
      <c r="F220" s="13">
        <v>132917</v>
      </c>
      <c r="G220" s="374"/>
      <c r="H220" s="374"/>
      <c r="I220" s="374"/>
      <c r="J220" s="374"/>
      <c r="K220" s="374"/>
      <c r="L220" s="375"/>
      <c r="M220" s="375"/>
      <c r="N220" s="375">
        <v>16000</v>
      </c>
      <c r="O220" s="374"/>
      <c r="P220" s="374"/>
      <c r="Q220" s="119">
        <f>SUM(G220:P220)</f>
        <v>16000</v>
      </c>
      <c r="R220" s="388" t="s">
        <v>147</v>
      </c>
    </row>
    <row r="221" spans="1:18" ht="12">
      <c r="A221" s="183"/>
      <c r="B221" s="183"/>
      <c r="C221" s="365" t="s">
        <v>631</v>
      </c>
      <c r="D221" s="16" t="s">
        <v>198</v>
      </c>
      <c r="E221" s="14"/>
      <c r="F221" s="13"/>
      <c r="G221" s="20"/>
      <c r="H221" s="20"/>
      <c r="I221" s="20"/>
      <c r="J221" s="15"/>
      <c r="K221" s="15"/>
      <c r="L221" s="15"/>
      <c r="M221" s="20"/>
      <c r="N221" s="15"/>
      <c r="O221" s="15"/>
      <c r="P221" s="20"/>
      <c r="Q221" s="16"/>
      <c r="R221" s="388"/>
    </row>
    <row r="222" spans="1:18" ht="14.25" customHeight="1" hidden="1">
      <c r="A222" s="183"/>
      <c r="B222" s="183"/>
      <c r="C222" s="205" t="s">
        <v>199</v>
      </c>
      <c r="D222" s="376" t="s">
        <v>1200</v>
      </c>
      <c r="E222" s="14"/>
      <c r="F222" s="13">
        <v>132946</v>
      </c>
      <c r="G222" s="20"/>
      <c r="H222" s="20"/>
      <c r="I222" s="20"/>
      <c r="J222" s="15"/>
      <c r="K222" s="15"/>
      <c r="L222" s="15"/>
      <c r="M222" s="20"/>
      <c r="N222" s="15"/>
      <c r="O222" s="15"/>
      <c r="P222" s="20"/>
      <c r="Q222" s="16">
        <f aca="true" t="shared" si="11" ref="Q222:Q233">SUM(G222:P222)</f>
        <v>0</v>
      </c>
      <c r="R222" s="388"/>
    </row>
    <row r="223" spans="1:18" ht="36" customHeight="1" hidden="1">
      <c r="A223" s="183"/>
      <c r="B223" s="183"/>
      <c r="C223" s="205" t="s">
        <v>200</v>
      </c>
      <c r="D223" s="369" t="s">
        <v>380</v>
      </c>
      <c r="E223" s="14"/>
      <c r="F223" s="13">
        <v>132941</v>
      </c>
      <c r="G223" s="20"/>
      <c r="H223" s="20"/>
      <c r="I223" s="20"/>
      <c r="J223" s="15"/>
      <c r="K223" s="15"/>
      <c r="L223" s="15"/>
      <c r="M223" s="20"/>
      <c r="N223" s="15"/>
      <c r="O223" s="15"/>
      <c r="P223" s="20"/>
      <c r="Q223" s="16">
        <f t="shared" si="11"/>
        <v>0</v>
      </c>
      <c r="R223" s="388"/>
    </row>
    <row r="224" spans="1:18" ht="22.5" customHeight="1" hidden="1">
      <c r="A224" s="183"/>
      <c r="B224" s="183"/>
      <c r="C224" s="205" t="s">
        <v>201</v>
      </c>
      <c r="D224" s="369" t="s">
        <v>746</v>
      </c>
      <c r="E224" s="14"/>
      <c r="F224" s="13">
        <v>132942</v>
      </c>
      <c r="G224" s="20"/>
      <c r="H224" s="20"/>
      <c r="I224" s="20"/>
      <c r="J224" s="15"/>
      <c r="K224" s="15"/>
      <c r="L224" s="15"/>
      <c r="M224" s="20"/>
      <c r="N224" s="15"/>
      <c r="O224" s="15"/>
      <c r="P224" s="20"/>
      <c r="Q224" s="16">
        <f t="shared" si="11"/>
        <v>0</v>
      </c>
      <c r="R224" s="388"/>
    </row>
    <row r="225" spans="1:18" ht="18.75" customHeight="1" hidden="1">
      <c r="A225" s="183"/>
      <c r="B225" s="183"/>
      <c r="C225" s="205" t="s">
        <v>202</v>
      </c>
      <c r="D225" s="133" t="s">
        <v>203</v>
      </c>
      <c r="E225" s="14"/>
      <c r="F225" s="13">
        <v>132911</v>
      </c>
      <c r="G225" s="20"/>
      <c r="H225" s="20"/>
      <c r="I225" s="20"/>
      <c r="J225" s="15"/>
      <c r="K225" s="15"/>
      <c r="L225" s="15"/>
      <c r="M225" s="20"/>
      <c r="N225" s="15"/>
      <c r="O225" s="15"/>
      <c r="P225" s="20"/>
      <c r="Q225" s="16">
        <f t="shared" si="11"/>
        <v>0</v>
      </c>
      <c r="R225" s="388"/>
    </row>
    <row r="226" spans="1:18" ht="36" customHeight="1" hidden="1">
      <c r="A226" s="183"/>
      <c r="B226" s="183"/>
      <c r="C226" s="205" t="s">
        <v>204</v>
      </c>
      <c r="D226" s="377" t="s">
        <v>424</v>
      </c>
      <c r="E226" s="14"/>
      <c r="F226" s="13">
        <v>132923</v>
      </c>
      <c r="G226" s="15"/>
      <c r="H226" s="15"/>
      <c r="I226" s="15"/>
      <c r="J226" s="15"/>
      <c r="K226" s="15"/>
      <c r="L226" s="15"/>
      <c r="M226" s="20"/>
      <c r="N226" s="15"/>
      <c r="O226" s="15"/>
      <c r="P226" s="20"/>
      <c r="Q226" s="16">
        <f t="shared" si="11"/>
        <v>0</v>
      </c>
      <c r="R226" s="388"/>
    </row>
    <row r="227" spans="1:18" ht="12.75" hidden="1">
      <c r="A227" s="183"/>
      <c r="B227" s="183"/>
      <c r="C227" s="205" t="s">
        <v>205</v>
      </c>
      <c r="D227" s="127" t="s">
        <v>1242</v>
      </c>
      <c r="E227" s="14"/>
      <c r="F227" s="13">
        <v>134910</v>
      </c>
      <c r="G227" s="20"/>
      <c r="H227" s="20"/>
      <c r="I227" s="20"/>
      <c r="J227" s="15"/>
      <c r="K227" s="15"/>
      <c r="L227" s="15"/>
      <c r="M227" s="15"/>
      <c r="N227" s="15"/>
      <c r="O227" s="20"/>
      <c r="P227" s="20"/>
      <c r="Q227" s="16">
        <f t="shared" si="11"/>
        <v>0</v>
      </c>
      <c r="R227" s="388"/>
    </row>
    <row r="228" spans="1:18" ht="25.5" customHeight="1" hidden="1">
      <c r="A228" s="183"/>
      <c r="B228" s="183"/>
      <c r="C228" s="205" t="s">
        <v>206</v>
      </c>
      <c r="D228" s="378" t="s">
        <v>1199</v>
      </c>
      <c r="E228" s="14"/>
      <c r="F228" s="13">
        <v>134940</v>
      </c>
      <c r="G228" s="20"/>
      <c r="H228" s="20"/>
      <c r="I228" s="20"/>
      <c r="J228" s="15"/>
      <c r="K228" s="15"/>
      <c r="L228" s="15"/>
      <c r="M228" s="20"/>
      <c r="N228" s="15"/>
      <c r="O228" s="20"/>
      <c r="P228" s="20"/>
      <c r="Q228" s="16">
        <f t="shared" si="11"/>
        <v>0</v>
      </c>
      <c r="R228" s="388"/>
    </row>
    <row r="229" spans="1:18" ht="18.75" customHeight="1">
      <c r="A229" s="183"/>
      <c r="B229" s="183"/>
      <c r="C229" s="205" t="s">
        <v>207</v>
      </c>
      <c r="D229" s="379" t="s">
        <v>567</v>
      </c>
      <c r="E229" s="14"/>
      <c r="F229" s="13">
        <v>132904</v>
      </c>
      <c r="G229" s="20"/>
      <c r="H229" s="20"/>
      <c r="I229" s="20"/>
      <c r="J229" s="15"/>
      <c r="K229" s="15"/>
      <c r="L229" s="15"/>
      <c r="M229" s="15">
        <v>3039</v>
      </c>
      <c r="N229" s="15"/>
      <c r="O229" s="20"/>
      <c r="P229" s="20"/>
      <c r="Q229" s="16">
        <f t="shared" si="11"/>
        <v>3039</v>
      </c>
      <c r="R229" s="388" t="s">
        <v>658</v>
      </c>
    </row>
    <row r="230" spans="1:18" ht="25.5" customHeight="1" hidden="1">
      <c r="A230" s="183"/>
      <c r="B230" s="183"/>
      <c r="C230" s="205" t="s">
        <v>208</v>
      </c>
      <c r="D230" s="380" t="s">
        <v>1243</v>
      </c>
      <c r="E230" s="14"/>
      <c r="F230" s="13">
        <v>134919</v>
      </c>
      <c r="G230" s="20"/>
      <c r="H230" s="20"/>
      <c r="I230" s="20"/>
      <c r="J230" s="15"/>
      <c r="K230" s="15"/>
      <c r="L230" s="15"/>
      <c r="M230" s="15"/>
      <c r="N230" s="15"/>
      <c r="O230" s="20"/>
      <c r="P230" s="20"/>
      <c r="Q230" s="16">
        <f t="shared" si="11"/>
        <v>0</v>
      </c>
      <c r="R230" s="388"/>
    </row>
    <row r="231" spans="1:18" ht="12.75" hidden="1">
      <c r="A231" s="183"/>
      <c r="B231" s="183"/>
      <c r="C231" s="205" t="s">
        <v>209</v>
      </c>
      <c r="D231" s="381" t="s">
        <v>1246</v>
      </c>
      <c r="E231" s="14"/>
      <c r="F231" s="13">
        <v>134930</v>
      </c>
      <c r="G231" s="20"/>
      <c r="H231" s="20"/>
      <c r="I231" s="20"/>
      <c r="J231" s="15"/>
      <c r="K231" s="15"/>
      <c r="L231" s="15"/>
      <c r="M231" s="15"/>
      <c r="N231" s="15"/>
      <c r="O231" s="20"/>
      <c r="P231" s="20"/>
      <c r="Q231" s="16">
        <f t="shared" si="11"/>
        <v>0</v>
      </c>
      <c r="R231" s="388"/>
    </row>
    <row r="232" spans="1:18" ht="22.5" customHeight="1" hidden="1">
      <c r="A232" s="183"/>
      <c r="B232" s="183"/>
      <c r="C232" s="205" t="s">
        <v>210</v>
      </c>
      <c r="D232" s="197" t="s">
        <v>211</v>
      </c>
      <c r="E232" s="14"/>
      <c r="F232" s="13">
        <v>134953</v>
      </c>
      <c r="G232" s="20"/>
      <c r="H232" s="20"/>
      <c r="I232" s="20"/>
      <c r="J232" s="15"/>
      <c r="K232" s="15"/>
      <c r="L232" s="15"/>
      <c r="M232" s="15"/>
      <c r="N232" s="15"/>
      <c r="O232" s="20"/>
      <c r="P232" s="20"/>
      <c r="Q232" s="16">
        <f t="shared" si="11"/>
        <v>0</v>
      </c>
      <c r="R232" s="388"/>
    </row>
    <row r="233" spans="1:18" ht="22.5" customHeight="1">
      <c r="A233" s="183"/>
      <c r="B233" s="183"/>
      <c r="C233" s="680" t="s">
        <v>183</v>
      </c>
      <c r="D233" s="752" t="s">
        <v>184</v>
      </c>
      <c r="E233" s="751"/>
      <c r="F233" s="688">
        <v>132925</v>
      </c>
      <c r="G233" s="20"/>
      <c r="H233" s="20"/>
      <c r="I233" s="20"/>
      <c r="J233" s="15"/>
      <c r="K233" s="15"/>
      <c r="L233" s="15">
        <v>236</v>
      </c>
      <c r="M233" s="15"/>
      <c r="N233" s="15"/>
      <c r="O233" s="20"/>
      <c r="P233" s="20"/>
      <c r="Q233" s="16">
        <f t="shared" si="11"/>
        <v>236</v>
      </c>
      <c r="R233" s="388" t="s">
        <v>147</v>
      </c>
    </row>
    <row r="234" spans="1:18" ht="12.75" customHeight="1">
      <c r="A234" s="17"/>
      <c r="B234" s="17"/>
      <c r="C234" s="346"/>
      <c r="D234" s="318" t="s">
        <v>356</v>
      </c>
      <c r="E234" s="347"/>
      <c r="F234" s="17"/>
      <c r="G234" s="19">
        <f>SUM(G171:G233)</f>
        <v>339</v>
      </c>
      <c r="H234" s="19">
        <f aca="true" t="shared" si="12" ref="H234:Q234">SUM(H171:H233)</f>
        <v>72</v>
      </c>
      <c r="I234" s="19">
        <f t="shared" si="12"/>
        <v>8325</v>
      </c>
      <c r="J234" s="19">
        <f t="shared" si="12"/>
        <v>0</v>
      </c>
      <c r="K234" s="19">
        <f t="shared" si="12"/>
        <v>2035</v>
      </c>
      <c r="L234" s="19">
        <f t="shared" si="12"/>
        <v>31238</v>
      </c>
      <c r="M234" s="19">
        <f t="shared" si="12"/>
        <v>327313</v>
      </c>
      <c r="N234" s="19">
        <f t="shared" si="12"/>
        <v>16060</v>
      </c>
      <c r="O234" s="19">
        <f t="shared" si="12"/>
        <v>0</v>
      </c>
      <c r="P234" s="19">
        <f t="shared" si="12"/>
        <v>0</v>
      </c>
      <c r="Q234" s="19">
        <f t="shared" si="12"/>
        <v>385382</v>
      </c>
      <c r="R234" s="576"/>
    </row>
    <row r="235" spans="1:18" ht="12.75" customHeight="1">
      <c r="A235" s="183">
        <v>1</v>
      </c>
      <c r="B235" s="183">
        <v>14</v>
      </c>
      <c r="C235" s="365"/>
      <c r="D235" s="21" t="s">
        <v>1296</v>
      </c>
      <c r="E235" s="22"/>
      <c r="F235" s="183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1"/>
      <c r="R235" s="388"/>
    </row>
    <row r="236" spans="1:18" ht="12.75" customHeight="1" hidden="1">
      <c r="A236" s="183"/>
      <c r="B236" s="183"/>
      <c r="C236" s="365"/>
      <c r="D236" s="382" t="s">
        <v>360</v>
      </c>
      <c r="E236" s="22"/>
      <c r="F236" s="183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1"/>
      <c r="R236" s="388"/>
    </row>
    <row r="237" spans="1:18" ht="12.75" customHeight="1" hidden="1">
      <c r="A237" s="183"/>
      <c r="B237" s="183"/>
      <c r="C237" s="365"/>
      <c r="D237" s="16" t="s">
        <v>212</v>
      </c>
      <c r="E237" s="15">
        <v>1</v>
      </c>
      <c r="F237" s="13">
        <v>171918</v>
      </c>
      <c r="G237" s="20"/>
      <c r="H237" s="20"/>
      <c r="I237" s="15"/>
      <c r="J237" s="15"/>
      <c r="K237" s="15"/>
      <c r="L237" s="15"/>
      <c r="M237" s="15"/>
      <c r="N237" s="15"/>
      <c r="O237" s="15"/>
      <c r="P237" s="15"/>
      <c r="Q237" s="16">
        <f>SUM(I237:P237)</f>
        <v>0</v>
      </c>
      <c r="R237" s="388"/>
    </row>
    <row r="238" spans="1:18" ht="12.75" customHeight="1" hidden="1">
      <c r="A238" s="183"/>
      <c r="B238" s="183"/>
      <c r="C238" s="365"/>
      <c r="D238" s="16" t="s">
        <v>213</v>
      </c>
      <c r="E238" s="15">
        <v>1</v>
      </c>
      <c r="F238" s="13">
        <v>171926</v>
      </c>
      <c r="G238" s="20"/>
      <c r="H238" s="20"/>
      <c r="I238" s="15"/>
      <c r="J238" s="15"/>
      <c r="K238" s="15"/>
      <c r="L238" s="15"/>
      <c r="M238" s="15"/>
      <c r="N238" s="15"/>
      <c r="O238" s="15"/>
      <c r="P238" s="15"/>
      <c r="Q238" s="16">
        <f>SUM(I238:P238)</f>
        <v>0</v>
      </c>
      <c r="R238" s="388"/>
    </row>
    <row r="239" spans="1:18" ht="12.75" customHeight="1" hidden="1">
      <c r="A239" s="183"/>
      <c r="B239" s="183"/>
      <c r="C239" s="365"/>
      <c r="D239" s="16" t="s">
        <v>214</v>
      </c>
      <c r="E239" s="15">
        <v>1</v>
      </c>
      <c r="F239" s="13">
        <v>171917</v>
      </c>
      <c r="G239" s="20"/>
      <c r="H239" s="20"/>
      <c r="I239" s="15"/>
      <c r="J239" s="15"/>
      <c r="K239" s="15"/>
      <c r="L239" s="15"/>
      <c r="M239" s="15"/>
      <c r="N239" s="15"/>
      <c r="O239" s="15"/>
      <c r="P239" s="15"/>
      <c r="Q239" s="16">
        <f>SUM(I239:P239)</f>
        <v>0</v>
      </c>
      <c r="R239" s="388"/>
    </row>
    <row r="240" spans="1:18" ht="12.75" customHeight="1" hidden="1">
      <c r="A240" s="183"/>
      <c r="B240" s="183"/>
      <c r="C240" s="365"/>
      <c r="D240" s="16" t="s">
        <v>215</v>
      </c>
      <c r="E240" s="14">
        <v>1</v>
      </c>
      <c r="F240" s="13">
        <v>171967</v>
      </c>
      <c r="G240" s="20"/>
      <c r="H240" s="20"/>
      <c r="I240" s="15"/>
      <c r="J240" s="15"/>
      <c r="K240" s="15"/>
      <c r="L240" s="15"/>
      <c r="M240" s="15"/>
      <c r="N240" s="15"/>
      <c r="O240" s="15"/>
      <c r="P240" s="15"/>
      <c r="Q240" s="16">
        <f>SUM(I240:P240)</f>
        <v>0</v>
      </c>
      <c r="R240" s="388"/>
    </row>
    <row r="241" spans="1:18" ht="12.75" customHeight="1">
      <c r="A241" s="17"/>
      <c r="B241" s="17"/>
      <c r="C241" s="346"/>
      <c r="D241" s="18" t="s">
        <v>216</v>
      </c>
      <c r="E241" s="383"/>
      <c r="F241" s="115"/>
      <c r="G241" s="19"/>
      <c r="H241" s="19"/>
      <c r="I241" s="384">
        <f aca="true" t="shared" si="13" ref="I241:Q241">SUM(I237:I240)</f>
        <v>0</v>
      </c>
      <c r="J241" s="384">
        <f t="shared" si="13"/>
        <v>0</v>
      </c>
      <c r="K241" s="384">
        <f t="shared" si="13"/>
        <v>0</v>
      </c>
      <c r="L241" s="384">
        <f t="shared" si="13"/>
        <v>0</v>
      </c>
      <c r="M241" s="384">
        <f t="shared" si="13"/>
        <v>0</v>
      </c>
      <c r="N241" s="384">
        <f t="shared" si="13"/>
        <v>0</v>
      </c>
      <c r="O241" s="384">
        <f t="shared" si="13"/>
        <v>0</v>
      </c>
      <c r="P241" s="384">
        <f t="shared" si="13"/>
        <v>0</v>
      </c>
      <c r="Q241" s="569">
        <f t="shared" si="13"/>
        <v>0</v>
      </c>
      <c r="R241" s="576"/>
    </row>
    <row r="242" spans="1:18" ht="12.75" customHeight="1">
      <c r="A242" s="183"/>
      <c r="B242" s="183"/>
      <c r="C242" s="365"/>
      <c r="D242" s="357" t="s">
        <v>299</v>
      </c>
      <c r="E242" s="14"/>
      <c r="F242" s="13"/>
      <c r="G242" s="20"/>
      <c r="H242" s="20"/>
      <c r="I242" s="15"/>
      <c r="J242" s="15"/>
      <c r="K242" s="15"/>
      <c r="L242" s="15"/>
      <c r="M242" s="15"/>
      <c r="N242" s="15"/>
      <c r="O242" s="15"/>
      <c r="P242" s="15"/>
      <c r="Q242" s="16"/>
      <c r="R242" s="388"/>
    </row>
    <row r="243" spans="1:18" ht="27.75" customHeight="1" hidden="1">
      <c r="A243" s="183"/>
      <c r="B243" s="183"/>
      <c r="C243" s="365" t="s">
        <v>562</v>
      </c>
      <c r="D243" s="385" t="s">
        <v>217</v>
      </c>
      <c r="E243" s="14"/>
      <c r="F243" s="13">
        <v>172915</v>
      </c>
      <c r="G243" s="20"/>
      <c r="H243" s="20"/>
      <c r="I243" s="15"/>
      <c r="J243" s="15"/>
      <c r="K243" s="15"/>
      <c r="L243" s="15"/>
      <c r="M243" s="15"/>
      <c r="N243" s="15"/>
      <c r="O243" s="15"/>
      <c r="P243" s="15"/>
      <c r="Q243" s="16">
        <f>SUM(L243:P243)</f>
        <v>0</v>
      </c>
      <c r="R243" s="388"/>
    </row>
    <row r="244" spans="1:18" ht="26.25" customHeight="1" hidden="1">
      <c r="A244" s="183"/>
      <c r="B244" s="183"/>
      <c r="C244" s="365" t="s">
        <v>626</v>
      </c>
      <c r="D244" s="178" t="s">
        <v>218</v>
      </c>
      <c r="E244" s="14"/>
      <c r="F244" s="13">
        <v>172916</v>
      </c>
      <c r="G244" s="20"/>
      <c r="H244" s="20"/>
      <c r="I244" s="15"/>
      <c r="J244" s="15"/>
      <c r="K244" s="15"/>
      <c r="L244" s="15"/>
      <c r="M244" s="15"/>
      <c r="N244" s="15"/>
      <c r="O244" s="15"/>
      <c r="P244" s="15"/>
      <c r="Q244" s="16">
        <f>SUM(I244:P244)</f>
        <v>0</v>
      </c>
      <c r="R244" s="388"/>
    </row>
    <row r="245" spans="1:18" ht="12.75" customHeight="1">
      <c r="A245" s="183"/>
      <c r="B245" s="183"/>
      <c r="C245" s="365"/>
      <c r="D245" s="16" t="s">
        <v>198</v>
      </c>
      <c r="E245" s="14"/>
      <c r="F245" s="13"/>
      <c r="G245" s="20"/>
      <c r="H245" s="20"/>
      <c r="I245" s="15"/>
      <c r="J245" s="15"/>
      <c r="K245" s="15"/>
      <c r="L245" s="15"/>
      <c r="M245" s="15"/>
      <c r="N245" s="15"/>
      <c r="O245" s="15"/>
      <c r="P245" s="15"/>
      <c r="Q245" s="16"/>
      <c r="R245" s="388"/>
    </row>
    <row r="246" spans="1:18" ht="12.75" customHeight="1">
      <c r="A246" s="183"/>
      <c r="B246" s="183"/>
      <c r="C246" s="205" t="s">
        <v>496</v>
      </c>
      <c r="D246" s="16" t="s">
        <v>561</v>
      </c>
      <c r="E246" s="14"/>
      <c r="F246" s="13">
        <v>162650</v>
      </c>
      <c r="G246" s="20"/>
      <c r="H246" s="20"/>
      <c r="I246" s="15">
        <v>14</v>
      </c>
      <c r="J246" s="15"/>
      <c r="K246" s="15"/>
      <c r="L246" s="15">
        <v>-14</v>
      </c>
      <c r="M246" s="15"/>
      <c r="N246" s="15"/>
      <c r="O246" s="15"/>
      <c r="P246" s="15"/>
      <c r="Q246" s="16">
        <f>SUM(I246:P246)</f>
        <v>0</v>
      </c>
      <c r="R246" s="388" t="s">
        <v>147</v>
      </c>
    </row>
    <row r="247" spans="1:18" ht="12.75" customHeight="1" hidden="1">
      <c r="A247" s="183"/>
      <c r="B247" s="183"/>
      <c r="C247" s="205" t="s">
        <v>534</v>
      </c>
      <c r="D247" s="16" t="s">
        <v>219</v>
      </c>
      <c r="E247" s="14"/>
      <c r="F247" s="13">
        <v>162674</v>
      </c>
      <c r="G247" s="20"/>
      <c r="H247" s="20"/>
      <c r="I247" s="15"/>
      <c r="J247" s="15"/>
      <c r="K247" s="15"/>
      <c r="L247" s="15"/>
      <c r="M247" s="15"/>
      <c r="N247" s="15"/>
      <c r="O247" s="15"/>
      <c r="P247" s="15"/>
      <c r="Q247" s="16">
        <f>SUM(I247:P247)</f>
        <v>0</v>
      </c>
      <c r="R247" s="388"/>
    </row>
    <row r="248" spans="1:18" ht="12.75" customHeight="1" hidden="1">
      <c r="A248" s="183"/>
      <c r="B248" s="183"/>
      <c r="C248" s="205" t="s">
        <v>535</v>
      </c>
      <c r="D248" s="149" t="s">
        <v>697</v>
      </c>
      <c r="E248" s="185"/>
      <c r="F248" s="23">
        <v>164903</v>
      </c>
      <c r="G248" s="25"/>
      <c r="H248" s="298"/>
      <c r="I248" s="25"/>
      <c r="J248" s="25"/>
      <c r="K248" s="25"/>
      <c r="L248" s="25"/>
      <c r="M248" s="25"/>
      <c r="N248" s="25"/>
      <c r="O248" s="25"/>
      <c r="P248" s="25"/>
      <c r="Q248" s="24">
        <f>SUM(G248:P248)</f>
        <v>0</v>
      </c>
      <c r="R248" s="388"/>
    </row>
    <row r="249" spans="1:18" ht="25.5" customHeight="1" hidden="1">
      <c r="A249" s="183"/>
      <c r="B249" s="183"/>
      <c r="C249" s="205" t="s">
        <v>536</v>
      </c>
      <c r="D249" s="386" t="s">
        <v>1161</v>
      </c>
      <c r="E249" s="185"/>
      <c r="F249" s="23">
        <v>162670</v>
      </c>
      <c r="G249" s="25"/>
      <c r="H249" s="298"/>
      <c r="I249" s="25"/>
      <c r="J249" s="25"/>
      <c r="K249" s="25"/>
      <c r="L249" s="25"/>
      <c r="M249" s="25"/>
      <c r="N249" s="25"/>
      <c r="O249" s="25"/>
      <c r="P249" s="25"/>
      <c r="Q249" s="24">
        <f>SUM(G249:P249)</f>
        <v>0</v>
      </c>
      <c r="R249" s="388"/>
    </row>
    <row r="250" spans="1:18" ht="12.75" customHeight="1">
      <c r="A250" s="17"/>
      <c r="B250" s="17"/>
      <c r="C250" s="346"/>
      <c r="D250" s="18" t="s">
        <v>220</v>
      </c>
      <c r="E250" s="383"/>
      <c r="F250" s="115"/>
      <c r="G250" s="19">
        <f aca="true" t="shared" si="14" ref="G250:Q250">SUM(G241:G249)</f>
        <v>0</v>
      </c>
      <c r="H250" s="19">
        <f t="shared" si="14"/>
        <v>0</v>
      </c>
      <c r="I250" s="19">
        <f t="shared" si="14"/>
        <v>14</v>
      </c>
      <c r="J250" s="19">
        <f t="shared" si="14"/>
        <v>0</v>
      </c>
      <c r="K250" s="19">
        <f t="shared" si="14"/>
        <v>0</v>
      </c>
      <c r="L250" s="19">
        <f t="shared" si="14"/>
        <v>-14</v>
      </c>
      <c r="M250" s="19">
        <f t="shared" si="14"/>
        <v>0</v>
      </c>
      <c r="N250" s="19">
        <f t="shared" si="14"/>
        <v>0</v>
      </c>
      <c r="O250" s="19">
        <f t="shared" si="14"/>
        <v>0</v>
      </c>
      <c r="P250" s="19">
        <f t="shared" si="14"/>
        <v>0</v>
      </c>
      <c r="Q250" s="18">
        <f t="shared" si="14"/>
        <v>0</v>
      </c>
      <c r="R250" s="576"/>
    </row>
    <row r="251" spans="1:18" ht="13.5" customHeight="1">
      <c r="A251" s="23">
        <v>1</v>
      </c>
      <c r="B251" s="23">
        <v>15</v>
      </c>
      <c r="C251" s="387"/>
      <c r="D251" s="28" t="s">
        <v>221</v>
      </c>
      <c r="E251" s="185"/>
      <c r="F251" s="23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4"/>
      <c r="R251" s="388"/>
    </row>
    <row r="252" spans="1:18" ht="13.5" customHeight="1">
      <c r="A252" s="23"/>
      <c r="B252" s="23"/>
      <c r="C252" s="387"/>
      <c r="D252" s="118" t="s">
        <v>374</v>
      </c>
      <c r="E252" s="185"/>
      <c r="F252" s="23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4"/>
      <c r="R252" s="388"/>
    </row>
    <row r="253" spans="1:18" ht="13.5" customHeight="1">
      <c r="A253" s="23"/>
      <c r="B253" s="23"/>
      <c r="C253" s="387"/>
      <c r="D253" s="24" t="s">
        <v>705</v>
      </c>
      <c r="E253" s="25">
        <v>1</v>
      </c>
      <c r="F253" s="23">
        <v>151502</v>
      </c>
      <c r="G253" s="25"/>
      <c r="H253" s="25"/>
      <c r="I253" s="25">
        <v>-348</v>
      </c>
      <c r="J253" s="25"/>
      <c r="K253" s="25"/>
      <c r="L253" s="25"/>
      <c r="M253" s="25"/>
      <c r="N253" s="25"/>
      <c r="O253" s="25"/>
      <c r="P253" s="25"/>
      <c r="Q253" s="24">
        <f aca="true" t="shared" si="15" ref="Q253:Q273">SUM(G253:P253)</f>
        <v>-348</v>
      </c>
      <c r="R253" s="388" t="s">
        <v>658</v>
      </c>
    </row>
    <row r="254" spans="1:18" ht="13.5" customHeight="1" hidden="1">
      <c r="A254" s="23"/>
      <c r="B254" s="23"/>
      <c r="C254" s="387"/>
      <c r="D254" s="24" t="s">
        <v>222</v>
      </c>
      <c r="E254" s="25">
        <v>1</v>
      </c>
      <c r="F254" s="23">
        <v>151504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4">
        <f t="shared" si="15"/>
        <v>0</v>
      </c>
      <c r="R254" s="388"/>
    </row>
    <row r="255" spans="1:18" ht="13.5" customHeight="1" hidden="1">
      <c r="A255" s="23"/>
      <c r="B255" s="23"/>
      <c r="C255" s="387"/>
      <c r="D255" s="118" t="s">
        <v>368</v>
      </c>
      <c r="E255" s="25">
        <v>1</v>
      </c>
      <c r="F255" s="23">
        <v>151501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4">
        <f t="shared" si="15"/>
        <v>0</v>
      </c>
      <c r="R255" s="388"/>
    </row>
    <row r="256" spans="1:18" ht="13.5" customHeight="1" hidden="1">
      <c r="A256" s="23"/>
      <c r="B256" s="23"/>
      <c r="C256" s="387"/>
      <c r="D256" s="118" t="s">
        <v>760</v>
      </c>
      <c r="E256" s="25">
        <v>1</v>
      </c>
      <c r="F256" s="23">
        <v>151905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4">
        <f t="shared" si="15"/>
        <v>0</v>
      </c>
      <c r="R256" s="388"/>
    </row>
    <row r="257" spans="1:18" ht="13.5" customHeight="1" hidden="1">
      <c r="A257" s="23"/>
      <c r="B257" s="23"/>
      <c r="C257" s="387"/>
      <c r="D257" s="118" t="s">
        <v>223</v>
      </c>
      <c r="E257" s="25">
        <v>2</v>
      </c>
      <c r="F257" s="23">
        <v>151503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4">
        <f t="shared" si="15"/>
        <v>0</v>
      </c>
      <c r="R257" s="388"/>
    </row>
    <row r="258" spans="1:18" ht="13.5" customHeight="1">
      <c r="A258" s="23"/>
      <c r="B258" s="23"/>
      <c r="C258" s="387"/>
      <c r="D258" s="118" t="s">
        <v>224</v>
      </c>
      <c r="E258" s="25">
        <v>2</v>
      </c>
      <c r="F258" s="23">
        <v>151507</v>
      </c>
      <c r="G258" s="25"/>
      <c r="H258" s="25"/>
      <c r="I258" s="25">
        <v>92</v>
      </c>
      <c r="J258" s="25"/>
      <c r="K258" s="25"/>
      <c r="L258" s="25"/>
      <c r="M258" s="25"/>
      <c r="N258" s="25"/>
      <c r="O258" s="25"/>
      <c r="P258" s="25"/>
      <c r="Q258" s="24">
        <f t="shared" si="15"/>
        <v>92</v>
      </c>
      <c r="R258" s="388" t="s">
        <v>658</v>
      </c>
    </row>
    <row r="259" spans="1:18" ht="13.5" customHeight="1" hidden="1">
      <c r="A259" s="23"/>
      <c r="B259" s="23"/>
      <c r="C259" s="387"/>
      <c r="D259" s="118" t="s">
        <v>1217</v>
      </c>
      <c r="E259" s="25">
        <v>2</v>
      </c>
      <c r="F259" s="23">
        <v>151509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4">
        <f t="shared" si="15"/>
        <v>0</v>
      </c>
      <c r="R259" s="388"/>
    </row>
    <row r="260" spans="1:18" ht="13.5" customHeight="1" hidden="1">
      <c r="A260" s="23"/>
      <c r="B260" s="23"/>
      <c r="C260" s="387"/>
      <c r="D260" s="118" t="s">
        <v>1071</v>
      </c>
      <c r="E260" s="25">
        <v>1</v>
      </c>
      <c r="F260" s="23">
        <v>151510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4">
        <f t="shared" si="15"/>
        <v>0</v>
      </c>
      <c r="R260" s="388"/>
    </row>
    <row r="261" spans="1:18" ht="13.5" customHeight="1" hidden="1">
      <c r="A261" s="23"/>
      <c r="B261" s="23"/>
      <c r="C261" s="387"/>
      <c r="D261" s="118" t="s">
        <v>225</v>
      </c>
      <c r="E261" s="25">
        <v>1</v>
      </c>
      <c r="F261" s="23">
        <v>151512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4">
        <f t="shared" si="15"/>
        <v>0</v>
      </c>
      <c r="R261" s="388"/>
    </row>
    <row r="262" spans="1:18" ht="13.5" customHeight="1" hidden="1">
      <c r="A262" s="23"/>
      <c r="B262" s="23"/>
      <c r="C262" s="387"/>
      <c r="D262" s="118" t="s">
        <v>226</v>
      </c>
      <c r="E262" s="25">
        <v>1</v>
      </c>
      <c r="F262" s="23">
        <v>151519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4">
        <f t="shared" si="15"/>
        <v>0</v>
      </c>
      <c r="R262" s="388"/>
    </row>
    <row r="263" spans="1:18" ht="13.5" customHeight="1" hidden="1">
      <c r="A263" s="23"/>
      <c r="B263" s="23"/>
      <c r="C263" s="387"/>
      <c r="D263" s="118" t="s">
        <v>227</v>
      </c>
      <c r="E263" s="25">
        <v>2</v>
      </c>
      <c r="F263" s="23">
        <v>151511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4">
        <f t="shared" si="15"/>
        <v>0</v>
      </c>
      <c r="R263" s="388"/>
    </row>
    <row r="264" spans="1:18" ht="13.5" customHeight="1">
      <c r="A264" s="23"/>
      <c r="B264" s="23"/>
      <c r="C264" s="387"/>
      <c r="D264" s="118" t="s">
        <v>1218</v>
      </c>
      <c r="E264" s="361">
        <v>2</v>
      </c>
      <c r="F264" s="23">
        <v>151514</v>
      </c>
      <c r="G264" s="25"/>
      <c r="H264" s="25"/>
      <c r="I264" s="25">
        <v>434</v>
      </c>
      <c r="J264" s="25"/>
      <c r="K264" s="25"/>
      <c r="L264" s="25"/>
      <c r="M264" s="25"/>
      <c r="N264" s="25"/>
      <c r="O264" s="25"/>
      <c r="P264" s="25"/>
      <c r="Q264" s="24">
        <f t="shared" si="15"/>
        <v>434</v>
      </c>
      <c r="R264" s="388" t="s">
        <v>147</v>
      </c>
    </row>
    <row r="265" spans="1:18" ht="13.5" customHeight="1" hidden="1">
      <c r="A265" s="23"/>
      <c r="B265" s="23"/>
      <c r="C265" s="387"/>
      <c r="D265" s="118" t="s">
        <v>1219</v>
      </c>
      <c r="E265" s="361">
        <v>2</v>
      </c>
      <c r="F265" s="23">
        <v>151515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4">
        <f t="shared" si="15"/>
        <v>0</v>
      </c>
      <c r="R265" s="388"/>
    </row>
    <row r="266" spans="1:18" ht="13.5" customHeight="1">
      <c r="A266" s="23"/>
      <c r="B266" s="23"/>
      <c r="C266" s="387"/>
      <c r="D266" s="118" t="s">
        <v>228</v>
      </c>
      <c r="E266" s="361">
        <v>1</v>
      </c>
      <c r="F266" s="23">
        <v>151513</v>
      </c>
      <c r="G266" s="25"/>
      <c r="H266" s="25"/>
      <c r="I266" s="25">
        <v>-1500</v>
      </c>
      <c r="J266" s="25"/>
      <c r="K266" s="25"/>
      <c r="L266" s="25"/>
      <c r="M266" s="25"/>
      <c r="N266" s="25"/>
      <c r="O266" s="25"/>
      <c r="P266" s="25"/>
      <c r="Q266" s="24">
        <f t="shared" si="15"/>
        <v>-1500</v>
      </c>
      <c r="R266" s="388" t="s">
        <v>658</v>
      </c>
    </row>
    <row r="267" spans="1:18" ht="13.5" customHeight="1">
      <c r="A267" s="23"/>
      <c r="B267" s="23"/>
      <c r="C267" s="387"/>
      <c r="D267" s="24" t="s">
        <v>358</v>
      </c>
      <c r="E267" s="337"/>
      <c r="F267" s="23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4">
        <f t="shared" si="15"/>
        <v>0</v>
      </c>
      <c r="R267" s="388"/>
    </row>
    <row r="268" spans="1:18" ht="13.5" customHeight="1">
      <c r="A268" s="23"/>
      <c r="B268" s="23"/>
      <c r="C268" s="387"/>
      <c r="D268" s="24" t="s">
        <v>706</v>
      </c>
      <c r="E268" s="25">
        <v>1</v>
      </c>
      <c r="F268" s="23">
        <v>151401</v>
      </c>
      <c r="G268" s="25"/>
      <c r="H268" s="388"/>
      <c r="I268" s="25">
        <v>-25</v>
      </c>
      <c r="J268" s="25">
        <v>25</v>
      </c>
      <c r="K268" s="25"/>
      <c r="L268" s="25"/>
      <c r="M268" s="25"/>
      <c r="N268" s="25"/>
      <c r="O268" s="25"/>
      <c r="P268" s="25"/>
      <c r="Q268" s="24">
        <f t="shared" si="15"/>
        <v>0</v>
      </c>
      <c r="R268" s="388" t="s">
        <v>147</v>
      </c>
    </row>
    <row r="269" spans="1:18" ht="13.5" customHeight="1" hidden="1">
      <c r="A269" s="23"/>
      <c r="B269" s="23"/>
      <c r="C269" s="387"/>
      <c r="D269" s="24" t="s">
        <v>1220</v>
      </c>
      <c r="E269" s="337">
        <v>1</v>
      </c>
      <c r="F269" s="23">
        <v>151402</v>
      </c>
      <c r="G269" s="25"/>
      <c r="H269" s="388"/>
      <c r="I269" s="25"/>
      <c r="J269" s="25"/>
      <c r="K269" s="25"/>
      <c r="L269" s="25"/>
      <c r="M269" s="25"/>
      <c r="N269" s="25"/>
      <c r="O269" s="25"/>
      <c r="P269" s="25"/>
      <c r="Q269" s="24">
        <f t="shared" si="15"/>
        <v>0</v>
      </c>
      <c r="R269" s="388"/>
    </row>
    <row r="270" spans="1:18" ht="13.5" customHeight="1">
      <c r="A270" s="23"/>
      <c r="B270" s="23"/>
      <c r="C270" s="387"/>
      <c r="D270" s="24" t="s">
        <v>1221</v>
      </c>
      <c r="E270" s="337">
        <v>2</v>
      </c>
      <c r="F270" s="23">
        <v>151406</v>
      </c>
      <c r="G270" s="25"/>
      <c r="H270" s="388"/>
      <c r="I270" s="25">
        <v>-695</v>
      </c>
      <c r="J270" s="25"/>
      <c r="K270" s="25"/>
      <c r="L270" s="25"/>
      <c r="M270" s="25"/>
      <c r="N270" s="25"/>
      <c r="O270" s="25"/>
      <c r="P270" s="25"/>
      <c r="Q270" s="24">
        <f t="shared" si="15"/>
        <v>-695</v>
      </c>
      <c r="R270" s="388" t="s">
        <v>658</v>
      </c>
    </row>
    <row r="271" spans="1:18" ht="13.5" customHeight="1">
      <c r="A271" s="23"/>
      <c r="B271" s="23"/>
      <c r="C271" s="387"/>
      <c r="D271" s="24" t="s">
        <v>1222</v>
      </c>
      <c r="E271" s="337">
        <v>2</v>
      </c>
      <c r="F271" s="23">
        <v>151407</v>
      </c>
      <c r="G271" s="25"/>
      <c r="H271" s="388"/>
      <c r="I271" s="25">
        <v>695</v>
      </c>
      <c r="J271" s="25"/>
      <c r="K271" s="25"/>
      <c r="L271" s="25"/>
      <c r="M271" s="25"/>
      <c r="N271" s="25"/>
      <c r="O271" s="25"/>
      <c r="P271" s="25"/>
      <c r="Q271" s="24">
        <f t="shared" si="15"/>
        <v>695</v>
      </c>
      <c r="R271" s="388" t="s">
        <v>658</v>
      </c>
    </row>
    <row r="272" spans="1:18" ht="13.5" customHeight="1" hidden="1">
      <c r="A272" s="23"/>
      <c r="B272" s="23"/>
      <c r="C272" s="387"/>
      <c r="D272" s="24" t="s">
        <v>229</v>
      </c>
      <c r="E272" s="337">
        <v>1</v>
      </c>
      <c r="F272" s="23">
        <v>151403</v>
      </c>
      <c r="G272" s="25"/>
      <c r="H272" s="388"/>
      <c r="I272" s="25"/>
      <c r="J272" s="25"/>
      <c r="K272" s="25"/>
      <c r="L272" s="25"/>
      <c r="M272" s="25"/>
      <c r="N272" s="25"/>
      <c r="O272" s="25"/>
      <c r="P272" s="25"/>
      <c r="Q272" s="24">
        <f t="shared" si="15"/>
        <v>0</v>
      </c>
      <c r="R272" s="388"/>
    </row>
    <row r="273" spans="1:18" ht="13.5" customHeight="1" hidden="1">
      <c r="A273" s="23"/>
      <c r="B273" s="23"/>
      <c r="C273" s="387"/>
      <c r="D273" s="24" t="s">
        <v>230</v>
      </c>
      <c r="E273" s="337">
        <v>2</v>
      </c>
      <c r="F273" s="23">
        <v>151404</v>
      </c>
      <c r="G273" s="25"/>
      <c r="H273" s="388"/>
      <c r="I273" s="25"/>
      <c r="J273" s="25"/>
      <c r="K273" s="25"/>
      <c r="L273" s="25"/>
      <c r="M273" s="25"/>
      <c r="N273" s="25"/>
      <c r="O273" s="25"/>
      <c r="P273" s="25"/>
      <c r="Q273" s="24">
        <f t="shared" si="15"/>
        <v>0</v>
      </c>
      <c r="R273" s="388"/>
    </row>
    <row r="274" spans="1:18" ht="13.5" customHeight="1" hidden="1">
      <c r="A274" s="23"/>
      <c r="B274" s="23"/>
      <c r="C274" s="387"/>
      <c r="D274" s="118" t="s">
        <v>1072</v>
      </c>
      <c r="E274" s="337"/>
      <c r="F274" s="23"/>
      <c r="G274" s="25"/>
      <c r="H274" s="388"/>
      <c r="I274" s="25"/>
      <c r="J274" s="25"/>
      <c r="K274" s="25"/>
      <c r="L274" s="25"/>
      <c r="M274" s="25"/>
      <c r="N274" s="25"/>
      <c r="O274" s="25"/>
      <c r="P274" s="25"/>
      <c r="Q274" s="24"/>
      <c r="R274" s="388"/>
    </row>
    <row r="275" spans="1:18" ht="13.5" customHeight="1" hidden="1">
      <c r="A275" s="25"/>
      <c r="B275" s="25"/>
      <c r="C275" s="25"/>
      <c r="D275" s="24" t="s">
        <v>1223</v>
      </c>
      <c r="E275" s="25">
        <v>1</v>
      </c>
      <c r="F275" s="23">
        <v>151102</v>
      </c>
      <c r="G275" s="25"/>
      <c r="H275" s="388"/>
      <c r="I275" s="25"/>
      <c r="J275" s="25"/>
      <c r="K275" s="25"/>
      <c r="L275" s="25"/>
      <c r="M275" s="25"/>
      <c r="N275" s="25"/>
      <c r="O275" s="25"/>
      <c r="P275" s="25"/>
      <c r="Q275" s="24">
        <f>SUM(G275:P275)</f>
        <v>0</v>
      </c>
      <c r="R275" s="388"/>
    </row>
    <row r="276" spans="1:18" ht="13.5" customHeight="1" hidden="1">
      <c r="A276" s="23"/>
      <c r="B276" s="23"/>
      <c r="C276" s="387"/>
      <c r="D276" s="24" t="s">
        <v>1224</v>
      </c>
      <c r="E276" s="25">
        <v>1</v>
      </c>
      <c r="F276" s="23">
        <v>151103</v>
      </c>
      <c r="G276" s="25"/>
      <c r="H276" s="388"/>
      <c r="I276" s="25"/>
      <c r="J276" s="25"/>
      <c r="K276" s="25"/>
      <c r="L276" s="25"/>
      <c r="M276" s="25"/>
      <c r="N276" s="25"/>
      <c r="O276" s="25"/>
      <c r="P276" s="25"/>
      <c r="Q276" s="24">
        <f>SUM(G276:P276)</f>
        <v>0</v>
      </c>
      <c r="R276" s="388"/>
    </row>
    <row r="277" spans="1:18" ht="13.5" customHeight="1">
      <c r="A277" s="23"/>
      <c r="B277" s="23"/>
      <c r="C277" s="387"/>
      <c r="D277" s="24" t="s">
        <v>791</v>
      </c>
      <c r="E277" s="337"/>
      <c r="F277" s="23"/>
      <c r="G277" s="25"/>
      <c r="H277" s="388"/>
      <c r="I277" s="25"/>
      <c r="J277" s="25"/>
      <c r="K277" s="25"/>
      <c r="L277" s="25"/>
      <c r="M277" s="25"/>
      <c r="N277" s="25"/>
      <c r="O277" s="25"/>
      <c r="P277" s="25"/>
      <c r="Q277" s="24"/>
      <c r="R277" s="388"/>
    </row>
    <row r="278" spans="1:18" ht="13.5" customHeight="1" hidden="1">
      <c r="A278" s="23"/>
      <c r="B278" s="23"/>
      <c r="C278" s="387"/>
      <c r="D278" s="118" t="s">
        <v>236</v>
      </c>
      <c r="E278" s="337">
        <v>1</v>
      </c>
      <c r="F278" s="23">
        <v>151301</v>
      </c>
      <c r="G278" s="25"/>
      <c r="H278" s="388"/>
      <c r="I278" s="25"/>
      <c r="J278" s="25"/>
      <c r="K278" s="25"/>
      <c r="L278" s="25"/>
      <c r="M278" s="25"/>
      <c r="N278" s="25"/>
      <c r="O278" s="25"/>
      <c r="P278" s="25"/>
      <c r="Q278" s="24">
        <f aca="true" t="shared" si="16" ref="Q278:Q304">SUM(G278:P278)</f>
        <v>0</v>
      </c>
      <c r="R278" s="388"/>
    </row>
    <row r="279" spans="1:18" ht="25.5" customHeight="1">
      <c r="A279" s="23"/>
      <c r="B279" s="23"/>
      <c r="C279" s="387"/>
      <c r="D279" s="202" t="s">
        <v>1225</v>
      </c>
      <c r="E279" s="337">
        <v>1</v>
      </c>
      <c r="F279" s="23">
        <v>151305</v>
      </c>
      <c r="G279" s="25"/>
      <c r="H279" s="388"/>
      <c r="I279" s="25">
        <v>13457</v>
      </c>
      <c r="J279" s="25"/>
      <c r="K279" s="25"/>
      <c r="L279" s="25"/>
      <c r="M279" s="25"/>
      <c r="N279" s="25"/>
      <c r="O279" s="25"/>
      <c r="P279" s="25"/>
      <c r="Q279" s="24">
        <f t="shared" si="16"/>
        <v>13457</v>
      </c>
      <c r="R279" s="388" t="s">
        <v>28</v>
      </c>
    </row>
    <row r="280" spans="1:18" ht="25.5" customHeight="1" hidden="1">
      <c r="A280" s="23"/>
      <c r="B280" s="23"/>
      <c r="C280" s="387"/>
      <c r="D280" s="202" t="s">
        <v>239</v>
      </c>
      <c r="E280" s="337">
        <v>1</v>
      </c>
      <c r="F280" s="23">
        <v>151306</v>
      </c>
      <c r="G280" s="25"/>
      <c r="H280" s="388"/>
      <c r="I280" s="25"/>
      <c r="J280" s="25"/>
      <c r="K280" s="25"/>
      <c r="L280" s="25"/>
      <c r="M280" s="25"/>
      <c r="N280" s="25"/>
      <c r="O280" s="25"/>
      <c r="P280" s="25"/>
      <c r="Q280" s="24">
        <f t="shared" si="16"/>
        <v>0</v>
      </c>
      <c r="R280" s="388"/>
    </row>
    <row r="281" spans="1:18" ht="24" customHeight="1" hidden="1">
      <c r="A281" s="23"/>
      <c r="B281" s="23"/>
      <c r="C281" s="387"/>
      <c r="D281" s="202" t="s">
        <v>240</v>
      </c>
      <c r="E281" s="337">
        <v>1</v>
      </c>
      <c r="F281" s="23">
        <v>151308</v>
      </c>
      <c r="G281" s="25"/>
      <c r="H281" s="388"/>
      <c r="I281" s="25"/>
      <c r="J281" s="25"/>
      <c r="K281" s="25"/>
      <c r="L281" s="25"/>
      <c r="M281" s="25"/>
      <c r="N281" s="25"/>
      <c r="O281" s="25"/>
      <c r="P281" s="25"/>
      <c r="Q281" s="24">
        <f t="shared" si="16"/>
        <v>0</v>
      </c>
      <c r="R281" s="388"/>
    </row>
    <row r="282" spans="1:18" ht="24" customHeight="1" hidden="1">
      <c r="A282" s="23"/>
      <c r="B282" s="23"/>
      <c r="C282" s="387"/>
      <c r="D282" s="202" t="s">
        <v>241</v>
      </c>
      <c r="E282" s="353">
        <v>1</v>
      </c>
      <c r="F282" s="652">
        <v>151311</v>
      </c>
      <c r="G282" s="25"/>
      <c r="H282" s="388"/>
      <c r="I282" s="25"/>
      <c r="J282" s="25"/>
      <c r="K282" s="25"/>
      <c r="L282" s="25"/>
      <c r="M282" s="25"/>
      <c r="N282" s="25"/>
      <c r="O282" s="25"/>
      <c r="P282" s="25"/>
      <c r="Q282" s="24">
        <f t="shared" si="16"/>
        <v>0</v>
      </c>
      <c r="R282" s="388"/>
    </row>
    <row r="283" spans="1:18" ht="12" customHeight="1">
      <c r="A283" s="23"/>
      <c r="B283" s="23"/>
      <c r="C283" s="387"/>
      <c r="D283" s="24" t="s">
        <v>242</v>
      </c>
      <c r="E283" s="337">
        <v>1</v>
      </c>
      <c r="F283" s="23">
        <v>151312</v>
      </c>
      <c r="G283" s="25"/>
      <c r="H283" s="388"/>
      <c r="I283" s="25">
        <v>-848</v>
      </c>
      <c r="J283" s="25"/>
      <c r="K283" s="25"/>
      <c r="L283" s="25"/>
      <c r="M283" s="25"/>
      <c r="N283" s="25"/>
      <c r="O283" s="25"/>
      <c r="P283" s="25"/>
      <c r="Q283" s="24">
        <f t="shared" si="16"/>
        <v>-848</v>
      </c>
      <c r="R283" s="388" t="s">
        <v>658</v>
      </c>
    </row>
    <row r="284" spans="1:18" ht="12" customHeight="1">
      <c r="A284" s="23"/>
      <c r="B284" s="23"/>
      <c r="C284" s="387"/>
      <c r="D284" s="24" t="s">
        <v>1226</v>
      </c>
      <c r="E284" s="337">
        <v>1</v>
      </c>
      <c r="F284" s="23">
        <v>151302</v>
      </c>
      <c r="G284" s="25"/>
      <c r="H284" s="388"/>
      <c r="I284" s="25">
        <v>-900</v>
      </c>
      <c r="J284" s="25"/>
      <c r="K284" s="25"/>
      <c r="L284" s="25"/>
      <c r="M284" s="25"/>
      <c r="N284" s="25"/>
      <c r="O284" s="25"/>
      <c r="P284" s="25"/>
      <c r="Q284" s="24">
        <f t="shared" si="16"/>
        <v>-900</v>
      </c>
      <c r="R284" s="388" t="s">
        <v>147</v>
      </c>
    </row>
    <row r="285" spans="1:18" ht="25.5" customHeight="1">
      <c r="A285" s="23"/>
      <c r="B285" s="23"/>
      <c r="C285" s="387"/>
      <c r="D285" s="203" t="s">
        <v>243</v>
      </c>
      <c r="E285" s="337">
        <v>1</v>
      </c>
      <c r="F285" s="23">
        <v>151303</v>
      </c>
      <c r="G285" s="25"/>
      <c r="H285" s="388"/>
      <c r="I285" s="25">
        <v>-2500</v>
      </c>
      <c r="J285" s="25"/>
      <c r="K285" s="25"/>
      <c r="L285" s="25"/>
      <c r="M285" s="25"/>
      <c r="N285" s="25"/>
      <c r="O285" s="25"/>
      <c r="P285" s="25"/>
      <c r="Q285" s="24">
        <f t="shared" si="16"/>
        <v>-2500</v>
      </c>
      <c r="R285" s="388" t="s">
        <v>147</v>
      </c>
    </row>
    <row r="286" spans="1:18" ht="24" customHeight="1">
      <c r="A286" s="23"/>
      <c r="B286" s="23"/>
      <c r="C286" s="387"/>
      <c r="D286" s="202" t="s">
        <v>1227</v>
      </c>
      <c r="E286" s="353">
        <v>2</v>
      </c>
      <c r="F286" s="652">
        <v>151315</v>
      </c>
      <c r="G286" s="25"/>
      <c r="H286" s="388"/>
      <c r="I286" s="25">
        <v>-743</v>
      </c>
      <c r="J286" s="25"/>
      <c r="K286" s="25"/>
      <c r="L286" s="25"/>
      <c r="M286" s="25"/>
      <c r="N286" s="25"/>
      <c r="O286" s="25"/>
      <c r="P286" s="25"/>
      <c r="Q286" s="24">
        <f t="shared" si="16"/>
        <v>-743</v>
      </c>
      <c r="R286" s="388" t="s">
        <v>147</v>
      </c>
    </row>
    <row r="287" spans="1:18" ht="24.75" customHeight="1" hidden="1">
      <c r="A287" s="23"/>
      <c r="B287" s="23"/>
      <c r="C287" s="387"/>
      <c r="D287" s="202" t="s">
        <v>1237</v>
      </c>
      <c r="E287" s="353"/>
      <c r="F287" s="652"/>
      <c r="G287" s="25"/>
      <c r="H287" s="388"/>
      <c r="I287" s="25"/>
      <c r="J287" s="25"/>
      <c r="K287" s="25"/>
      <c r="L287" s="25"/>
      <c r="M287" s="25"/>
      <c r="N287" s="25"/>
      <c r="O287" s="25"/>
      <c r="P287" s="25"/>
      <c r="Q287" s="24">
        <f t="shared" si="16"/>
        <v>0</v>
      </c>
      <c r="R287" s="388"/>
    </row>
    <row r="288" spans="1:18" ht="13.5" customHeight="1" hidden="1">
      <c r="A288" s="23"/>
      <c r="B288" s="23"/>
      <c r="C288" s="387"/>
      <c r="D288" s="24" t="s">
        <v>244</v>
      </c>
      <c r="E288" s="25">
        <v>1</v>
      </c>
      <c r="F288" s="23">
        <v>151703</v>
      </c>
      <c r="G288" s="25"/>
      <c r="H288" s="388"/>
      <c r="I288" s="25"/>
      <c r="J288" s="25"/>
      <c r="K288" s="25"/>
      <c r="L288" s="25"/>
      <c r="M288" s="25"/>
      <c r="N288" s="25"/>
      <c r="O288" s="25"/>
      <c r="P288" s="25"/>
      <c r="Q288" s="24">
        <f t="shared" si="16"/>
        <v>0</v>
      </c>
      <c r="R288" s="388"/>
    </row>
    <row r="289" spans="1:18" ht="13.5" customHeight="1">
      <c r="A289" s="23"/>
      <c r="B289" s="23"/>
      <c r="C289" s="387"/>
      <c r="D289" s="118" t="s">
        <v>359</v>
      </c>
      <c r="E289" s="337"/>
      <c r="F289" s="23"/>
      <c r="G289" s="25"/>
      <c r="H289" s="388"/>
      <c r="I289" s="25"/>
      <c r="J289" s="25"/>
      <c r="K289" s="25"/>
      <c r="L289" s="25"/>
      <c r="M289" s="25"/>
      <c r="N289" s="25"/>
      <c r="O289" s="25"/>
      <c r="P289" s="25"/>
      <c r="Q289" s="24"/>
      <c r="R289" s="388"/>
    </row>
    <row r="290" spans="1:18" ht="13.5" customHeight="1">
      <c r="A290" s="23"/>
      <c r="B290" s="23"/>
      <c r="C290" s="387"/>
      <c r="D290" s="24" t="s">
        <v>245</v>
      </c>
      <c r="E290" s="25">
        <v>1</v>
      </c>
      <c r="F290" s="23">
        <v>151601</v>
      </c>
      <c r="G290" s="25"/>
      <c r="H290" s="388"/>
      <c r="I290" s="25">
        <v>-436</v>
      </c>
      <c r="J290" s="25">
        <v>25</v>
      </c>
      <c r="K290" s="25"/>
      <c r="L290" s="25"/>
      <c r="M290" s="25"/>
      <c r="N290" s="25"/>
      <c r="O290" s="25"/>
      <c r="P290" s="25"/>
      <c r="Q290" s="24">
        <f t="shared" si="16"/>
        <v>-411</v>
      </c>
      <c r="R290" s="388" t="s">
        <v>28</v>
      </c>
    </row>
    <row r="291" spans="1:18" ht="13.5" customHeight="1" hidden="1">
      <c r="A291" s="23"/>
      <c r="B291" s="23"/>
      <c r="C291" s="387"/>
      <c r="D291" s="16" t="s">
        <v>246</v>
      </c>
      <c r="E291" s="15">
        <v>1</v>
      </c>
      <c r="F291" s="13">
        <v>151602</v>
      </c>
      <c r="G291" s="25"/>
      <c r="H291" s="388"/>
      <c r="I291" s="25"/>
      <c r="J291" s="25"/>
      <c r="K291" s="25"/>
      <c r="L291" s="25"/>
      <c r="M291" s="25"/>
      <c r="N291" s="25"/>
      <c r="O291" s="25"/>
      <c r="P291" s="25"/>
      <c r="Q291" s="24">
        <f t="shared" si="16"/>
        <v>0</v>
      </c>
      <c r="R291" s="388"/>
    </row>
    <row r="292" spans="1:18" ht="13.5" customHeight="1">
      <c r="A292" s="23"/>
      <c r="B292" s="23"/>
      <c r="C292" s="387"/>
      <c r="D292" s="24" t="s">
        <v>1073</v>
      </c>
      <c r="E292" s="25">
        <v>1</v>
      </c>
      <c r="F292" s="23">
        <v>151607</v>
      </c>
      <c r="G292" s="25"/>
      <c r="H292" s="388"/>
      <c r="I292" s="25">
        <v>451</v>
      </c>
      <c r="J292" s="25"/>
      <c r="K292" s="25"/>
      <c r="L292" s="25"/>
      <c r="M292" s="25"/>
      <c r="N292" s="25"/>
      <c r="O292" s="25"/>
      <c r="P292" s="25"/>
      <c r="Q292" s="24">
        <f t="shared" si="16"/>
        <v>451</v>
      </c>
      <c r="R292" s="388" t="s">
        <v>28</v>
      </c>
    </row>
    <row r="293" spans="1:18" ht="24" customHeight="1">
      <c r="A293" s="23"/>
      <c r="B293" s="23"/>
      <c r="C293" s="387"/>
      <c r="D293" s="178" t="s">
        <v>166</v>
      </c>
      <c r="E293" s="25">
        <v>2</v>
      </c>
      <c r="F293" s="13">
        <v>151629</v>
      </c>
      <c r="G293" s="25"/>
      <c r="H293" s="388"/>
      <c r="I293" s="25">
        <v>1500</v>
      </c>
      <c r="J293" s="25"/>
      <c r="K293" s="25"/>
      <c r="L293" s="25"/>
      <c r="M293" s="25"/>
      <c r="N293" s="25"/>
      <c r="O293" s="25"/>
      <c r="P293" s="25"/>
      <c r="Q293" s="24">
        <f t="shared" si="16"/>
        <v>1500</v>
      </c>
      <c r="R293" s="388" t="s">
        <v>147</v>
      </c>
    </row>
    <row r="294" spans="1:18" ht="24" customHeight="1">
      <c r="A294" s="23"/>
      <c r="B294" s="23"/>
      <c r="C294" s="387"/>
      <c r="D294" s="178" t="s">
        <v>167</v>
      </c>
      <c r="E294" s="25">
        <v>2</v>
      </c>
      <c r="F294" s="13">
        <v>151630</v>
      </c>
      <c r="G294" s="25"/>
      <c r="H294" s="388"/>
      <c r="I294" s="25">
        <v>1500</v>
      </c>
      <c r="J294" s="25"/>
      <c r="K294" s="25"/>
      <c r="L294" s="25"/>
      <c r="M294" s="25"/>
      <c r="N294" s="25"/>
      <c r="O294" s="25"/>
      <c r="P294" s="25"/>
      <c r="Q294" s="24">
        <f t="shared" si="16"/>
        <v>1500</v>
      </c>
      <c r="R294" s="388" t="s">
        <v>147</v>
      </c>
    </row>
    <row r="295" spans="1:18" ht="13.5" customHeight="1">
      <c r="A295" s="23"/>
      <c r="B295" s="23"/>
      <c r="C295" s="387"/>
      <c r="D295" s="24" t="s">
        <v>1228</v>
      </c>
      <c r="E295" s="25">
        <v>2</v>
      </c>
      <c r="F295" s="23">
        <v>151610</v>
      </c>
      <c r="G295" s="25">
        <v>309</v>
      </c>
      <c r="H295" s="388">
        <v>96</v>
      </c>
      <c r="I295" s="25">
        <v>-425</v>
      </c>
      <c r="J295" s="25"/>
      <c r="K295" s="25">
        <v>20</v>
      </c>
      <c r="L295" s="25"/>
      <c r="M295" s="25"/>
      <c r="N295" s="25"/>
      <c r="O295" s="25"/>
      <c r="P295" s="25"/>
      <c r="Q295" s="24">
        <f t="shared" si="16"/>
        <v>0</v>
      </c>
      <c r="R295" s="388" t="s">
        <v>147</v>
      </c>
    </row>
    <row r="296" spans="1:18" ht="13.5" customHeight="1">
      <c r="A296" s="23" t="s">
        <v>1366</v>
      </c>
      <c r="B296" s="23"/>
      <c r="C296" s="387"/>
      <c r="D296" s="24" t="s">
        <v>1229</v>
      </c>
      <c r="E296" s="337">
        <v>2</v>
      </c>
      <c r="F296" s="23">
        <v>151619</v>
      </c>
      <c r="G296" s="25"/>
      <c r="H296" s="388"/>
      <c r="I296" s="25">
        <v>-414</v>
      </c>
      <c r="J296" s="25"/>
      <c r="K296" s="25"/>
      <c r="L296" s="25"/>
      <c r="M296" s="25"/>
      <c r="N296" s="25"/>
      <c r="O296" s="25"/>
      <c r="P296" s="25"/>
      <c r="Q296" s="24">
        <f t="shared" si="16"/>
        <v>-414</v>
      </c>
      <c r="R296" s="388" t="s">
        <v>658</v>
      </c>
    </row>
    <row r="297" spans="1:18" ht="13.5" customHeight="1" hidden="1">
      <c r="A297" s="23"/>
      <c r="B297" s="23"/>
      <c r="C297" s="387"/>
      <c r="D297" s="118" t="s">
        <v>247</v>
      </c>
      <c r="E297" s="361">
        <v>2</v>
      </c>
      <c r="F297" s="23">
        <v>151626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4">
        <f t="shared" si="16"/>
        <v>0</v>
      </c>
      <c r="R297" s="388"/>
    </row>
    <row r="298" spans="1:18" ht="24.75" customHeight="1" hidden="1">
      <c r="A298" s="23"/>
      <c r="B298" s="23"/>
      <c r="C298" s="387"/>
      <c r="D298" s="203" t="s">
        <v>1230</v>
      </c>
      <c r="E298" s="728">
        <v>2</v>
      </c>
      <c r="F298" s="652">
        <v>151627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4">
        <f t="shared" si="16"/>
        <v>0</v>
      </c>
      <c r="R298" s="388"/>
    </row>
    <row r="299" spans="1:18" ht="13.5" customHeight="1" hidden="1">
      <c r="A299" s="23"/>
      <c r="B299" s="23"/>
      <c r="C299" s="387"/>
      <c r="D299" s="24" t="s">
        <v>248</v>
      </c>
      <c r="E299" s="25">
        <v>1</v>
      </c>
      <c r="F299" s="23">
        <v>151603</v>
      </c>
      <c r="G299" s="25"/>
      <c r="H299" s="388"/>
      <c r="I299" s="15"/>
      <c r="J299" s="25"/>
      <c r="K299" s="25"/>
      <c r="L299" s="25"/>
      <c r="M299" s="25"/>
      <c r="N299" s="25"/>
      <c r="O299" s="25"/>
      <c r="P299" s="25"/>
      <c r="Q299" s="24">
        <f t="shared" si="16"/>
        <v>0</v>
      </c>
      <c r="R299" s="388"/>
    </row>
    <row r="300" spans="1:18" ht="13.5" customHeight="1" hidden="1">
      <c r="A300" s="23"/>
      <c r="B300" s="23"/>
      <c r="C300" s="387"/>
      <c r="D300" s="24" t="s">
        <v>249</v>
      </c>
      <c r="E300" s="25">
        <v>1</v>
      </c>
      <c r="F300" s="23">
        <v>151605</v>
      </c>
      <c r="G300" s="25"/>
      <c r="H300" s="388"/>
      <c r="I300" s="25"/>
      <c r="J300" s="25"/>
      <c r="K300" s="25"/>
      <c r="L300" s="25"/>
      <c r="M300" s="25"/>
      <c r="N300" s="25"/>
      <c r="O300" s="25"/>
      <c r="P300" s="25"/>
      <c r="Q300" s="24">
        <f t="shared" si="16"/>
        <v>0</v>
      </c>
      <c r="R300" s="388"/>
    </row>
    <row r="301" spans="1:18" ht="13.5" customHeight="1" hidden="1">
      <c r="A301" s="23"/>
      <c r="B301" s="23"/>
      <c r="C301" s="387"/>
      <c r="D301" s="24" t="s">
        <v>250</v>
      </c>
      <c r="E301" s="25">
        <v>1</v>
      </c>
      <c r="F301" s="23">
        <v>151608</v>
      </c>
      <c r="G301" s="25"/>
      <c r="H301" s="388"/>
      <c r="I301" s="25"/>
      <c r="J301" s="25"/>
      <c r="K301" s="25"/>
      <c r="L301" s="25"/>
      <c r="M301" s="25"/>
      <c r="N301" s="25"/>
      <c r="O301" s="25"/>
      <c r="P301" s="25"/>
      <c r="Q301" s="24">
        <f t="shared" si="16"/>
        <v>0</v>
      </c>
      <c r="R301" s="388"/>
    </row>
    <row r="302" spans="1:18" ht="13.5" customHeight="1" hidden="1">
      <c r="A302" s="23"/>
      <c r="B302" s="23"/>
      <c r="C302" s="387"/>
      <c r="D302" s="24" t="s">
        <v>1231</v>
      </c>
      <c r="E302" s="25">
        <v>2</v>
      </c>
      <c r="F302" s="23">
        <v>151624</v>
      </c>
      <c r="G302" s="25"/>
      <c r="H302" s="388"/>
      <c r="I302" s="25"/>
      <c r="J302" s="25"/>
      <c r="K302" s="25"/>
      <c r="L302" s="25"/>
      <c r="M302" s="25"/>
      <c r="N302" s="25"/>
      <c r="O302" s="25"/>
      <c r="P302" s="25"/>
      <c r="Q302" s="24">
        <f t="shared" si="16"/>
        <v>0</v>
      </c>
      <c r="R302" s="388"/>
    </row>
    <row r="303" spans="1:18" ht="13.5" customHeight="1" hidden="1">
      <c r="A303" s="23"/>
      <c r="B303" s="23"/>
      <c r="C303" s="387"/>
      <c r="D303" s="24" t="s">
        <v>251</v>
      </c>
      <c r="E303" s="25">
        <v>2</v>
      </c>
      <c r="F303" s="23">
        <v>151621</v>
      </c>
      <c r="G303" s="25"/>
      <c r="H303" s="388"/>
      <c r="I303" s="25"/>
      <c r="J303" s="25"/>
      <c r="K303" s="25"/>
      <c r="L303" s="25"/>
      <c r="M303" s="25"/>
      <c r="N303" s="25"/>
      <c r="O303" s="25"/>
      <c r="P303" s="25"/>
      <c r="Q303" s="24">
        <f t="shared" si="16"/>
        <v>0</v>
      </c>
      <c r="R303" s="388"/>
    </row>
    <row r="304" spans="1:18" ht="13.5" customHeight="1" hidden="1">
      <c r="A304" s="23"/>
      <c r="B304" s="23"/>
      <c r="C304" s="387"/>
      <c r="D304" s="24" t="s">
        <v>589</v>
      </c>
      <c r="E304" s="25">
        <v>2</v>
      </c>
      <c r="F304" s="13">
        <v>151618</v>
      </c>
      <c r="G304" s="25"/>
      <c r="H304" s="388"/>
      <c r="I304" s="25"/>
      <c r="J304" s="25"/>
      <c r="K304" s="25"/>
      <c r="L304" s="25"/>
      <c r="M304" s="25"/>
      <c r="N304" s="25"/>
      <c r="O304" s="25"/>
      <c r="P304" s="25"/>
      <c r="Q304" s="24">
        <f t="shared" si="16"/>
        <v>0</v>
      </c>
      <c r="R304" s="388"/>
    </row>
    <row r="305" spans="1:18" ht="23.25" customHeight="1" hidden="1">
      <c r="A305" s="23"/>
      <c r="B305" s="23"/>
      <c r="C305" s="387"/>
      <c r="D305" s="736" t="s">
        <v>1067</v>
      </c>
      <c r="E305" s="25">
        <v>2</v>
      </c>
      <c r="F305" s="13">
        <v>151706</v>
      </c>
      <c r="G305" s="25"/>
      <c r="H305" s="388"/>
      <c r="I305" s="25"/>
      <c r="J305" s="25"/>
      <c r="K305" s="25"/>
      <c r="L305" s="25"/>
      <c r="M305" s="25"/>
      <c r="N305" s="25"/>
      <c r="O305" s="25"/>
      <c r="P305" s="25"/>
      <c r="Q305" s="24">
        <f>SUM(K305:P305)</f>
        <v>0</v>
      </c>
      <c r="R305" s="438"/>
    </row>
    <row r="306" spans="1:18" ht="12.75" customHeight="1" hidden="1">
      <c r="A306" s="23"/>
      <c r="B306" s="23"/>
      <c r="C306" s="387"/>
      <c r="D306" s="389" t="s">
        <v>252</v>
      </c>
      <c r="E306" s="25"/>
      <c r="F306" s="23"/>
      <c r="G306" s="25"/>
      <c r="H306" s="388"/>
      <c r="I306" s="25"/>
      <c r="J306" s="25"/>
      <c r="K306" s="25"/>
      <c r="L306" s="25"/>
      <c r="M306" s="25"/>
      <c r="N306" s="25"/>
      <c r="O306" s="25"/>
      <c r="P306" s="25"/>
      <c r="Q306" s="24"/>
      <c r="R306" s="388"/>
    </row>
    <row r="307" spans="1:18" ht="12.75" customHeight="1" hidden="1">
      <c r="A307" s="23"/>
      <c r="B307" s="23"/>
      <c r="C307" s="387"/>
      <c r="D307" s="24" t="s">
        <v>253</v>
      </c>
      <c r="E307" s="25">
        <v>1</v>
      </c>
      <c r="F307" s="23">
        <v>151505</v>
      </c>
      <c r="G307" s="25"/>
      <c r="H307" s="388"/>
      <c r="I307" s="25"/>
      <c r="J307" s="25"/>
      <c r="K307" s="25"/>
      <c r="L307" s="25"/>
      <c r="M307" s="25"/>
      <c r="N307" s="25"/>
      <c r="O307" s="25"/>
      <c r="P307" s="25"/>
      <c r="Q307" s="24">
        <f>SUM(G307:P307)</f>
        <v>0</v>
      </c>
      <c r="R307" s="388"/>
    </row>
    <row r="308" spans="1:18" ht="12.75" customHeight="1">
      <c r="A308" s="23"/>
      <c r="B308" s="23"/>
      <c r="C308" s="387"/>
      <c r="D308" s="118" t="s">
        <v>1308</v>
      </c>
      <c r="E308" s="337"/>
      <c r="F308" s="23"/>
      <c r="G308" s="25"/>
      <c r="H308" s="388"/>
      <c r="I308" s="25"/>
      <c r="J308" s="25"/>
      <c r="K308" s="25"/>
      <c r="L308" s="25"/>
      <c r="M308" s="25"/>
      <c r="N308" s="25"/>
      <c r="O308" s="25"/>
      <c r="P308" s="25"/>
      <c r="Q308" s="24"/>
      <c r="R308" s="388"/>
    </row>
    <row r="309" spans="1:18" ht="13.5" customHeight="1" hidden="1">
      <c r="A309" s="23"/>
      <c r="B309" s="23"/>
      <c r="C309" s="23"/>
      <c r="D309" s="24" t="s">
        <v>1309</v>
      </c>
      <c r="E309" s="25">
        <v>2</v>
      </c>
      <c r="F309" s="23">
        <v>151906</v>
      </c>
      <c r="G309" s="25"/>
      <c r="H309" s="388"/>
      <c r="I309" s="25"/>
      <c r="J309" s="25"/>
      <c r="K309" s="25"/>
      <c r="L309" s="25"/>
      <c r="M309" s="25"/>
      <c r="N309" s="25"/>
      <c r="O309" s="25"/>
      <c r="P309" s="25"/>
      <c r="Q309" s="24">
        <f>SUM(G309:P309)</f>
        <v>0</v>
      </c>
      <c r="R309" s="388"/>
    </row>
    <row r="310" spans="1:18" ht="13.5" customHeight="1" hidden="1">
      <c r="A310" s="23"/>
      <c r="B310" s="23"/>
      <c r="C310" s="387"/>
      <c r="D310" s="24" t="s">
        <v>254</v>
      </c>
      <c r="E310" s="25">
        <v>2</v>
      </c>
      <c r="F310" s="23">
        <v>151915</v>
      </c>
      <c r="G310" s="25"/>
      <c r="H310" s="388"/>
      <c r="I310" s="25"/>
      <c r="J310" s="25"/>
      <c r="K310" s="25"/>
      <c r="L310" s="25"/>
      <c r="M310" s="25"/>
      <c r="N310" s="25"/>
      <c r="O310" s="25"/>
      <c r="P310" s="25"/>
      <c r="Q310" s="24">
        <f>SUM(G310:P310)</f>
        <v>0</v>
      </c>
      <c r="R310" s="388"/>
    </row>
    <row r="311" spans="1:18" ht="13.5" customHeight="1">
      <c r="A311" s="23"/>
      <c r="B311" s="23"/>
      <c r="C311" s="387"/>
      <c r="D311" s="24" t="s">
        <v>1310</v>
      </c>
      <c r="E311" s="25">
        <v>2</v>
      </c>
      <c r="F311" s="23">
        <v>151907</v>
      </c>
      <c r="G311" s="25"/>
      <c r="H311" s="388"/>
      <c r="I311" s="25">
        <v>-10947</v>
      </c>
      <c r="J311" s="25"/>
      <c r="K311" s="25"/>
      <c r="L311" s="25"/>
      <c r="M311" s="25"/>
      <c r="N311" s="25"/>
      <c r="O311" s="25"/>
      <c r="P311" s="25"/>
      <c r="Q311" s="24">
        <f>SUM(G311:P311)</f>
        <v>-10947</v>
      </c>
      <c r="R311" s="388" t="s">
        <v>147</v>
      </c>
    </row>
    <row r="312" spans="1:18" ht="13.5" customHeight="1" hidden="1">
      <c r="A312" s="23"/>
      <c r="B312" s="23"/>
      <c r="C312" s="387"/>
      <c r="D312" s="24" t="s">
        <v>255</v>
      </c>
      <c r="E312" s="25">
        <v>2</v>
      </c>
      <c r="F312" s="23">
        <v>151914</v>
      </c>
      <c r="G312" s="25"/>
      <c r="H312" s="388"/>
      <c r="I312" s="25"/>
      <c r="J312" s="25"/>
      <c r="K312" s="25"/>
      <c r="L312" s="25"/>
      <c r="M312" s="25"/>
      <c r="N312" s="25"/>
      <c r="O312" s="25"/>
      <c r="P312" s="25"/>
      <c r="Q312" s="24">
        <f>SUM(G312:P312)</f>
        <v>0</v>
      </c>
      <c r="R312" s="388"/>
    </row>
    <row r="313" spans="1:18" ht="13.5" customHeight="1">
      <c r="A313" s="23"/>
      <c r="B313" s="23"/>
      <c r="C313" s="387"/>
      <c r="D313" s="16" t="s">
        <v>173</v>
      </c>
      <c r="E313" s="751">
        <v>2</v>
      </c>
      <c r="F313" s="688">
        <v>151909</v>
      </c>
      <c r="G313" s="25"/>
      <c r="H313" s="388"/>
      <c r="I313" s="25"/>
      <c r="J313" s="25"/>
      <c r="K313" s="25">
        <v>2657</v>
      </c>
      <c r="L313" s="25"/>
      <c r="M313" s="25"/>
      <c r="N313" s="25"/>
      <c r="O313" s="25"/>
      <c r="P313" s="25"/>
      <c r="Q313" s="24">
        <f>SUM(G313:P313)</f>
        <v>2657</v>
      </c>
      <c r="R313" s="388" t="s">
        <v>147</v>
      </c>
    </row>
    <row r="314" spans="1:18" ht="13.5" customHeight="1">
      <c r="A314" s="23"/>
      <c r="B314" s="23"/>
      <c r="C314" s="387"/>
      <c r="D314" s="118" t="s">
        <v>342</v>
      </c>
      <c r="E314" s="337"/>
      <c r="F314" s="23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4"/>
      <c r="R314" s="388"/>
    </row>
    <row r="315" spans="1:18" ht="13.5" customHeight="1">
      <c r="A315" s="23"/>
      <c r="B315" s="23"/>
      <c r="C315" s="387"/>
      <c r="D315" s="118" t="s">
        <v>1232</v>
      </c>
      <c r="E315" s="337">
        <v>1</v>
      </c>
      <c r="F315" s="23">
        <v>151801</v>
      </c>
      <c r="G315" s="25"/>
      <c r="H315" s="25"/>
      <c r="I315" s="25">
        <v>1076</v>
      </c>
      <c r="J315" s="15"/>
      <c r="K315" s="25">
        <v>4938</v>
      </c>
      <c r="L315" s="25"/>
      <c r="M315" s="25"/>
      <c r="N315" s="25"/>
      <c r="O315" s="25"/>
      <c r="P315" s="25"/>
      <c r="Q315" s="24">
        <f aca="true" t="shared" si="17" ref="Q315:Q324">SUM(G315:P315)</f>
        <v>6014</v>
      </c>
      <c r="R315" s="388" t="s">
        <v>147</v>
      </c>
    </row>
    <row r="316" spans="1:18" ht="13.5" customHeight="1">
      <c r="A316" s="23"/>
      <c r="B316" s="23"/>
      <c r="C316" s="387"/>
      <c r="D316" s="118" t="s">
        <v>256</v>
      </c>
      <c r="E316" s="337">
        <v>1</v>
      </c>
      <c r="F316" s="23">
        <v>151803</v>
      </c>
      <c r="G316" s="25"/>
      <c r="H316" s="25"/>
      <c r="I316" s="25">
        <v>-500</v>
      </c>
      <c r="J316" s="25"/>
      <c r="K316" s="25"/>
      <c r="L316" s="25"/>
      <c r="M316" s="25"/>
      <c r="N316" s="25"/>
      <c r="O316" s="25"/>
      <c r="P316" s="25"/>
      <c r="Q316" s="24">
        <f t="shared" si="17"/>
        <v>-500</v>
      </c>
      <c r="R316" s="388"/>
    </row>
    <row r="317" spans="1:18" ht="13.5" customHeight="1" hidden="1">
      <c r="A317" s="23"/>
      <c r="B317" s="23"/>
      <c r="C317" s="387"/>
      <c r="D317" s="118" t="s">
        <v>1233</v>
      </c>
      <c r="E317" s="337">
        <v>1</v>
      </c>
      <c r="F317" s="23">
        <v>151802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4">
        <f t="shared" si="17"/>
        <v>0</v>
      </c>
      <c r="R317" s="388"/>
    </row>
    <row r="318" spans="1:18" ht="13.5" customHeight="1">
      <c r="A318" s="23"/>
      <c r="B318" s="23"/>
      <c r="C318" s="387"/>
      <c r="D318" s="118" t="s">
        <v>1074</v>
      </c>
      <c r="E318" s="337"/>
      <c r="F318" s="23"/>
      <c r="G318" s="25"/>
      <c r="H318" s="388"/>
      <c r="I318" s="25"/>
      <c r="J318" s="25"/>
      <c r="K318" s="25"/>
      <c r="L318" s="25"/>
      <c r="M318" s="25"/>
      <c r="N318" s="25"/>
      <c r="O318" s="25"/>
      <c r="P318" s="25"/>
      <c r="Q318" s="24">
        <f t="shared" si="17"/>
        <v>0</v>
      </c>
      <c r="R318" s="388"/>
    </row>
    <row r="319" spans="1:18" ht="13.5" customHeight="1" hidden="1">
      <c r="A319" s="23"/>
      <c r="B319" s="23"/>
      <c r="C319" s="387"/>
      <c r="D319" s="118" t="s">
        <v>257</v>
      </c>
      <c r="E319" s="25">
        <v>1</v>
      </c>
      <c r="F319" s="23">
        <v>151201</v>
      </c>
      <c r="G319" s="25"/>
      <c r="H319" s="388"/>
      <c r="I319" s="15"/>
      <c r="J319" s="25"/>
      <c r="K319" s="25"/>
      <c r="L319" s="25"/>
      <c r="M319" s="25"/>
      <c r="N319" s="25"/>
      <c r="O319" s="25"/>
      <c r="P319" s="25"/>
      <c r="Q319" s="24">
        <f t="shared" si="17"/>
        <v>0</v>
      </c>
      <c r="R319" s="388"/>
    </row>
    <row r="320" spans="1:18" ht="13.5" customHeight="1">
      <c r="A320" s="23"/>
      <c r="B320" s="23"/>
      <c r="C320" s="387"/>
      <c r="D320" s="118" t="s">
        <v>258</v>
      </c>
      <c r="E320" s="25">
        <v>2</v>
      </c>
      <c r="F320" s="23">
        <v>151203</v>
      </c>
      <c r="G320" s="25"/>
      <c r="H320" s="388"/>
      <c r="I320" s="25">
        <v>-394</v>
      </c>
      <c r="J320" s="25"/>
      <c r="K320" s="25"/>
      <c r="L320" s="25">
        <v>394</v>
      </c>
      <c r="M320" s="25"/>
      <c r="N320" s="25"/>
      <c r="O320" s="25"/>
      <c r="P320" s="25"/>
      <c r="Q320" s="24">
        <f t="shared" si="17"/>
        <v>0</v>
      </c>
      <c r="R320" s="388" t="s">
        <v>147</v>
      </c>
    </row>
    <row r="321" spans="1:18" ht="13.5" customHeight="1" hidden="1">
      <c r="A321" s="23"/>
      <c r="B321" s="23"/>
      <c r="C321" s="387"/>
      <c r="D321" s="118" t="s">
        <v>1234</v>
      </c>
      <c r="E321" s="337">
        <v>1</v>
      </c>
      <c r="F321" s="23">
        <v>151204</v>
      </c>
      <c r="G321" s="25"/>
      <c r="H321" s="388"/>
      <c r="I321" s="25"/>
      <c r="J321" s="25"/>
      <c r="K321" s="25"/>
      <c r="L321" s="25"/>
      <c r="M321" s="25"/>
      <c r="N321" s="25"/>
      <c r="O321" s="25"/>
      <c r="P321" s="25"/>
      <c r="Q321" s="24">
        <f t="shared" si="17"/>
        <v>0</v>
      </c>
      <c r="R321" s="388"/>
    </row>
    <row r="322" spans="1:18" ht="13.5" customHeight="1" hidden="1">
      <c r="A322" s="23"/>
      <c r="B322" s="23"/>
      <c r="C322" s="387"/>
      <c r="D322" s="118" t="s">
        <v>259</v>
      </c>
      <c r="E322" s="337">
        <v>1</v>
      </c>
      <c r="F322" s="23">
        <v>151202</v>
      </c>
      <c r="G322" s="25"/>
      <c r="H322" s="388"/>
      <c r="I322" s="25"/>
      <c r="J322" s="25"/>
      <c r="K322" s="25"/>
      <c r="L322" s="25"/>
      <c r="M322" s="25"/>
      <c r="N322" s="25"/>
      <c r="O322" s="25"/>
      <c r="P322" s="25"/>
      <c r="Q322" s="24">
        <f t="shared" si="17"/>
        <v>0</v>
      </c>
      <c r="R322" s="388"/>
    </row>
    <row r="323" spans="1:18" ht="13.5" customHeight="1" hidden="1">
      <c r="A323" s="23"/>
      <c r="B323" s="23"/>
      <c r="C323" s="387"/>
      <c r="D323" s="118" t="s">
        <v>1235</v>
      </c>
      <c r="E323" s="337">
        <v>1</v>
      </c>
      <c r="F323" s="23">
        <v>151205</v>
      </c>
      <c r="G323" s="25"/>
      <c r="H323" s="388"/>
      <c r="I323" s="25"/>
      <c r="J323" s="25"/>
      <c r="K323" s="25"/>
      <c r="L323" s="25"/>
      <c r="M323" s="25"/>
      <c r="N323" s="25"/>
      <c r="O323" s="25"/>
      <c r="P323" s="25"/>
      <c r="Q323" s="24">
        <f t="shared" si="17"/>
        <v>0</v>
      </c>
      <c r="R323" s="388"/>
    </row>
    <row r="324" spans="1:18" ht="13.5" customHeight="1">
      <c r="A324" s="23"/>
      <c r="B324" s="23"/>
      <c r="C324" s="387"/>
      <c r="D324" s="118" t="s">
        <v>369</v>
      </c>
      <c r="E324" s="337">
        <v>1</v>
      </c>
      <c r="F324" s="23">
        <v>151902</v>
      </c>
      <c r="G324" s="15"/>
      <c r="H324" s="15"/>
      <c r="I324" s="15">
        <v>500</v>
      </c>
      <c r="J324" s="15"/>
      <c r="K324" s="15"/>
      <c r="L324" s="25"/>
      <c r="M324" s="25"/>
      <c r="N324" s="25"/>
      <c r="O324" s="25"/>
      <c r="P324" s="25"/>
      <c r="Q324" s="24">
        <f t="shared" si="17"/>
        <v>500</v>
      </c>
      <c r="R324" s="388" t="s">
        <v>658</v>
      </c>
    </row>
    <row r="325" spans="1:18" ht="15" customHeight="1">
      <c r="A325" s="23"/>
      <c r="B325" s="23"/>
      <c r="C325" s="387"/>
      <c r="D325" s="178" t="s">
        <v>1315</v>
      </c>
      <c r="E325" s="359"/>
      <c r="F325" s="653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4"/>
      <c r="R325" s="388"/>
    </row>
    <row r="326" spans="1:19" ht="24.75" customHeight="1">
      <c r="A326" s="23"/>
      <c r="B326" s="23"/>
      <c r="C326" s="387"/>
      <c r="D326" s="178" t="s">
        <v>260</v>
      </c>
      <c r="E326" s="360">
        <v>2</v>
      </c>
      <c r="F326" s="653">
        <v>151910</v>
      </c>
      <c r="G326" s="25"/>
      <c r="H326" s="25"/>
      <c r="I326" s="25">
        <v>7620</v>
      </c>
      <c r="J326" s="25"/>
      <c r="K326" s="25"/>
      <c r="L326" s="25"/>
      <c r="M326" s="25"/>
      <c r="N326" s="25"/>
      <c r="O326" s="25"/>
      <c r="P326" s="25"/>
      <c r="Q326" s="24">
        <f>SUM(G326:P326)</f>
        <v>7620</v>
      </c>
      <c r="R326" s="438" t="s">
        <v>147</v>
      </c>
      <c r="S326" s="30"/>
    </row>
    <row r="327" spans="1:19" ht="15" customHeight="1">
      <c r="A327" s="23"/>
      <c r="B327" s="23"/>
      <c r="C327" s="387"/>
      <c r="D327" s="178" t="s">
        <v>1358</v>
      </c>
      <c r="E327" s="360"/>
      <c r="F327" s="653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4"/>
      <c r="R327" s="438"/>
      <c r="S327" s="30"/>
    </row>
    <row r="328" spans="1:19" ht="24.75" customHeight="1">
      <c r="A328" s="23"/>
      <c r="B328" s="23"/>
      <c r="C328" s="387"/>
      <c r="D328" s="178" t="s">
        <v>261</v>
      </c>
      <c r="E328" s="360">
        <v>1</v>
      </c>
      <c r="F328" s="653">
        <v>152915</v>
      </c>
      <c r="G328" s="25"/>
      <c r="H328" s="25"/>
      <c r="I328" s="25">
        <v>255</v>
      </c>
      <c r="J328" s="25"/>
      <c r="K328" s="25"/>
      <c r="L328" s="25"/>
      <c r="M328" s="25"/>
      <c r="N328" s="25"/>
      <c r="O328" s="25"/>
      <c r="P328" s="25"/>
      <c r="Q328" s="24">
        <f>SUM(G328:P328)</f>
        <v>255</v>
      </c>
      <c r="R328" s="438" t="s">
        <v>658</v>
      </c>
      <c r="S328" s="30"/>
    </row>
    <row r="329" spans="1:18" ht="13.5" customHeight="1" hidden="1">
      <c r="A329" s="23"/>
      <c r="B329" s="23"/>
      <c r="C329" s="387"/>
      <c r="D329" s="118" t="s">
        <v>262</v>
      </c>
      <c r="E329" s="337"/>
      <c r="F329" s="23"/>
      <c r="G329" s="25"/>
      <c r="H329" s="388"/>
      <c r="I329" s="25"/>
      <c r="J329" s="25"/>
      <c r="K329" s="25"/>
      <c r="L329" s="25"/>
      <c r="M329" s="25"/>
      <c r="N329" s="25"/>
      <c r="O329" s="25"/>
      <c r="P329" s="25"/>
      <c r="Q329" s="24"/>
      <c r="R329" s="388"/>
    </row>
    <row r="330" spans="1:18" ht="13.5" customHeight="1" hidden="1">
      <c r="A330" s="23"/>
      <c r="B330" s="23"/>
      <c r="C330" s="387"/>
      <c r="D330" s="118" t="s">
        <v>263</v>
      </c>
      <c r="E330" s="25">
        <v>1</v>
      </c>
      <c r="F330" s="23">
        <v>151704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4">
        <f>SUM(G330:P330)</f>
        <v>0</v>
      </c>
      <c r="R330" s="388"/>
    </row>
    <row r="331" spans="1:18" ht="13.5" customHeight="1">
      <c r="A331" s="23"/>
      <c r="B331" s="23"/>
      <c r="C331" s="387"/>
      <c r="D331" s="118" t="s">
        <v>359</v>
      </c>
      <c r="E331" s="25"/>
      <c r="F331" s="23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4"/>
      <c r="R331" s="388"/>
    </row>
    <row r="332" spans="1:18" ht="13.5" customHeight="1">
      <c r="A332" s="23"/>
      <c r="B332" s="23"/>
      <c r="C332" s="387"/>
      <c r="D332" s="16" t="s">
        <v>181</v>
      </c>
      <c r="E332" s="25"/>
      <c r="F332" s="13">
        <v>151804</v>
      </c>
      <c r="G332" s="25"/>
      <c r="H332" s="25"/>
      <c r="I332" s="25">
        <v>1314</v>
      </c>
      <c r="J332" s="25"/>
      <c r="K332" s="25"/>
      <c r="L332" s="25"/>
      <c r="M332" s="25"/>
      <c r="N332" s="25"/>
      <c r="O332" s="25"/>
      <c r="P332" s="25"/>
      <c r="Q332" s="24">
        <f>SUM(G332:P332)</f>
        <v>1314</v>
      </c>
      <c r="R332" s="388" t="s">
        <v>147</v>
      </c>
    </row>
    <row r="333" spans="1:18" ht="13.5" customHeight="1">
      <c r="A333" s="23"/>
      <c r="B333" s="23"/>
      <c r="C333" s="387"/>
      <c r="D333" s="16" t="s">
        <v>36</v>
      </c>
      <c r="E333" s="25">
        <v>2</v>
      </c>
      <c r="F333" s="13">
        <v>151606</v>
      </c>
      <c r="G333" s="25"/>
      <c r="H333" s="25"/>
      <c r="I333" s="25"/>
      <c r="J333" s="25"/>
      <c r="K333" s="25">
        <v>-200</v>
      </c>
      <c r="L333" s="25"/>
      <c r="M333" s="25"/>
      <c r="N333" s="25">
        <v>200</v>
      </c>
      <c r="O333" s="25"/>
      <c r="P333" s="25"/>
      <c r="Q333" s="24">
        <f>SUM(G333:P333)</f>
        <v>0</v>
      </c>
      <c r="R333" s="388" t="s">
        <v>147</v>
      </c>
    </row>
    <row r="334" spans="1:18" ht="12.75" customHeight="1">
      <c r="A334" s="17"/>
      <c r="B334" s="17"/>
      <c r="C334" s="346"/>
      <c r="D334" s="390" t="s">
        <v>264</v>
      </c>
      <c r="E334" s="347"/>
      <c r="F334" s="17"/>
      <c r="G334" s="19">
        <f>SUM(G251:G333)</f>
        <v>309</v>
      </c>
      <c r="H334" s="19">
        <f aca="true" t="shared" si="18" ref="H334:Q334">SUM(H251:H333)</f>
        <v>96</v>
      </c>
      <c r="I334" s="19">
        <f t="shared" si="18"/>
        <v>8219</v>
      </c>
      <c r="J334" s="19">
        <f t="shared" si="18"/>
        <v>50</v>
      </c>
      <c r="K334" s="19">
        <f t="shared" si="18"/>
        <v>7415</v>
      </c>
      <c r="L334" s="19">
        <f t="shared" si="18"/>
        <v>394</v>
      </c>
      <c r="M334" s="19">
        <f t="shared" si="18"/>
        <v>0</v>
      </c>
      <c r="N334" s="19">
        <f t="shared" si="18"/>
        <v>200</v>
      </c>
      <c r="O334" s="19">
        <f t="shared" si="18"/>
        <v>0</v>
      </c>
      <c r="P334" s="19">
        <f t="shared" si="18"/>
        <v>0</v>
      </c>
      <c r="Q334" s="19">
        <f t="shared" si="18"/>
        <v>16683</v>
      </c>
      <c r="R334" s="576"/>
    </row>
    <row r="335" spans="1:18" ht="12.75" customHeight="1">
      <c r="A335" s="391"/>
      <c r="B335" s="391"/>
      <c r="C335" s="391"/>
      <c r="D335" s="533" t="s">
        <v>1402</v>
      </c>
      <c r="E335" s="185"/>
      <c r="F335" s="23"/>
      <c r="G335" s="374"/>
      <c r="H335" s="374"/>
      <c r="I335" s="374"/>
      <c r="J335" s="374"/>
      <c r="K335" s="374"/>
      <c r="L335" s="375"/>
      <c r="M335" s="375"/>
      <c r="N335" s="375"/>
      <c r="O335" s="374"/>
      <c r="P335" s="374"/>
      <c r="Q335" s="119"/>
      <c r="R335" s="388"/>
    </row>
    <row r="336" spans="1:18" ht="12.75" customHeight="1">
      <c r="A336" s="391"/>
      <c r="B336" s="391"/>
      <c r="C336" s="391" t="s">
        <v>562</v>
      </c>
      <c r="D336" s="145" t="s">
        <v>507</v>
      </c>
      <c r="E336" s="185"/>
      <c r="F336" s="23"/>
      <c r="G336" s="374"/>
      <c r="H336" s="374"/>
      <c r="I336" s="374"/>
      <c r="J336" s="374"/>
      <c r="K336" s="374"/>
      <c r="L336" s="375"/>
      <c r="M336" s="375"/>
      <c r="N336" s="375"/>
      <c r="O336" s="374"/>
      <c r="P336" s="374"/>
      <c r="Q336" s="119"/>
      <c r="R336" s="388"/>
    </row>
    <row r="337" spans="1:18" ht="12.75" customHeight="1" hidden="1">
      <c r="A337" s="391"/>
      <c r="B337" s="391"/>
      <c r="C337" s="182" t="s">
        <v>623</v>
      </c>
      <c r="D337" s="392" t="s">
        <v>762</v>
      </c>
      <c r="E337" s="185"/>
      <c r="F337" s="23">
        <v>152116</v>
      </c>
      <c r="G337" s="374"/>
      <c r="H337" s="374"/>
      <c r="I337" s="374"/>
      <c r="J337" s="374"/>
      <c r="K337" s="374"/>
      <c r="L337" s="375"/>
      <c r="M337" s="375"/>
      <c r="N337" s="375"/>
      <c r="O337" s="374"/>
      <c r="P337" s="374"/>
      <c r="Q337" s="119">
        <f aca="true" t="shared" si="19" ref="Q337:Q347">SUM(G337:P337)</f>
        <v>0</v>
      </c>
      <c r="R337" s="388"/>
    </row>
    <row r="338" spans="1:18" ht="21.75" customHeight="1" hidden="1">
      <c r="A338" s="391"/>
      <c r="B338" s="391"/>
      <c r="C338" s="182" t="s">
        <v>624</v>
      </c>
      <c r="D338" s="393" t="s">
        <v>265</v>
      </c>
      <c r="E338" s="185"/>
      <c r="F338" s="23">
        <v>152122</v>
      </c>
      <c r="G338" s="374"/>
      <c r="H338" s="374"/>
      <c r="I338" s="374"/>
      <c r="J338" s="374"/>
      <c r="K338" s="374"/>
      <c r="L338" s="375"/>
      <c r="M338" s="375"/>
      <c r="N338" s="375"/>
      <c r="O338" s="374"/>
      <c r="P338" s="374"/>
      <c r="Q338" s="119">
        <f t="shared" si="19"/>
        <v>0</v>
      </c>
      <c r="R338" s="388"/>
    </row>
    <row r="339" spans="1:18" ht="24.75" customHeight="1" hidden="1">
      <c r="A339" s="391"/>
      <c r="B339" s="391"/>
      <c r="C339" s="182" t="s">
        <v>625</v>
      </c>
      <c r="D339" s="393" t="s">
        <v>266</v>
      </c>
      <c r="E339" s="185"/>
      <c r="F339" s="23">
        <v>152114</v>
      </c>
      <c r="G339" s="374"/>
      <c r="H339" s="374"/>
      <c r="I339" s="374"/>
      <c r="J339" s="374"/>
      <c r="K339" s="374"/>
      <c r="L339" s="375"/>
      <c r="M339" s="375"/>
      <c r="N339" s="375"/>
      <c r="O339" s="374"/>
      <c r="P339" s="374"/>
      <c r="Q339" s="119">
        <f t="shared" si="19"/>
        <v>0</v>
      </c>
      <c r="R339" s="388"/>
    </row>
    <row r="340" spans="1:18" ht="12.75" customHeight="1" hidden="1">
      <c r="A340" s="391"/>
      <c r="B340" s="391"/>
      <c r="C340" s="182" t="s">
        <v>612</v>
      </c>
      <c r="D340" s="394" t="s">
        <v>276</v>
      </c>
      <c r="E340" s="185"/>
      <c r="F340" s="23">
        <v>152109</v>
      </c>
      <c r="G340" s="374"/>
      <c r="H340" s="374"/>
      <c r="I340" s="374"/>
      <c r="J340" s="374"/>
      <c r="K340" s="374"/>
      <c r="L340" s="375"/>
      <c r="M340" s="375"/>
      <c r="N340" s="375"/>
      <c r="O340" s="374"/>
      <c r="P340" s="374"/>
      <c r="Q340" s="119">
        <f t="shared" si="19"/>
        <v>0</v>
      </c>
      <c r="R340" s="388"/>
    </row>
    <row r="341" spans="1:18" ht="12.75" customHeight="1">
      <c r="A341" s="391"/>
      <c r="B341" s="391"/>
      <c r="C341" s="182" t="s">
        <v>613</v>
      </c>
      <c r="D341" s="199" t="s">
        <v>752</v>
      </c>
      <c r="E341" s="185"/>
      <c r="F341" s="23">
        <v>152103</v>
      </c>
      <c r="G341" s="374"/>
      <c r="H341" s="374"/>
      <c r="I341" s="374"/>
      <c r="J341" s="374"/>
      <c r="K341" s="374"/>
      <c r="L341" s="375">
        <v>-2000</v>
      </c>
      <c r="M341" s="375"/>
      <c r="N341" s="375"/>
      <c r="O341" s="374"/>
      <c r="P341" s="374"/>
      <c r="Q341" s="119">
        <f t="shared" si="19"/>
        <v>-2000</v>
      </c>
      <c r="R341" s="388" t="s">
        <v>147</v>
      </c>
    </row>
    <row r="342" spans="1:18" ht="12.75" customHeight="1">
      <c r="A342" s="391"/>
      <c r="B342" s="391"/>
      <c r="C342" s="182" t="s">
        <v>287</v>
      </c>
      <c r="D342" s="199" t="s">
        <v>267</v>
      </c>
      <c r="E342" s="185"/>
      <c r="F342" s="23">
        <v>152123</v>
      </c>
      <c r="G342" s="374"/>
      <c r="H342" s="374"/>
      <c r="I342" s="374"/>
      <c r="J342" s="374"/>
      <c r="K342" s="374"/>
      <c r="L342" s="375">
        <v>-667</v>
      </c>
      <c r="M342" s="375"/>
      <c r="N342" s="375"/>
      <c r="O342" s="374"/>
      <c r="P342" s="374"/>
      <c r="Q342" s="119">
        <f t="shared" si="19"/>
        <v>-667</v>
      </c>
      <c r="R342" s="388" t="s">
        <v>658</v>
      </c>
    </row>
    <row r="343" spans="1:18" ht="24.75" customHeight="1">
      <c r="A343" s="391"/>
      <c r="B343" s="391"/>
      <c r="C343" s="182" t="s">
        <v>288</v>
      </c>
      <c r="D343" s="395" t="s">
        <v>268</v>
      </c>
      <c r="E343" s="185"/>
      <c r="F343" s="23">
        <v>154114</v>
      </c>
      <c r="G343" s="374"/>
      <c r="H343" s="374"/>
      <c r="I343" s="374"/>
      <c r="J343" s="374"/>
      <c r="K343" s="374"/>
      <c r="L343" s="375"/>
      <c r="M343" s="375">
        <v>-4000</v>
      </c>
      <c r="N343" s="375"/>
      <c r="O343" s="374"/>
      <c r="P343" s="374"/>
      <c r="Q343" s="119">
        <f t="shared" si="19"/>
        <v>-4000</v>
      </c>
      <c r="R343" s="388" t="s">
        <v>147</v>
      </c>
    </row>
    <row r="344" spans="1:18" ht="21.75" customHeight="1" hidden="1">
      <c r="A344" s="391"/>
      <c r="B344" s="391"/>
      <c r="C344" s="182" t="s">
        <v>284</v>
      </c>
      <c r="D344" s="396" t="s">
        <v>1247</v>
      </c>
      <c r="E344" s="185"/>
      <c r="F344" s="23">
        <v>154112</v>
      </c>
      <c r="G344" s="25"/>
      <c r="H344" s="298"/>
      <c r="I344" s="25"/>
      <c r="J344" s="25"/>
      <c r="K344" s="25"/>
      <c r="L344" s="25"/>
      <c r="M344" s="25"/>
      <c r="N344" s="25"/>
      <c r="O344" s="25"/>
      <c r="P344" s="25"/>
      <c r="Q344" s="24">
        <f t="shared" si="19"/>
        <v>0</v>
      </c>
      <c r="R344" s="388"/>
    </row>
    <row r="345" spans="1:18" ht="12.75" customHeight="1" hidden="1">
      <c r="A345" s="391"/>
      <c r="B345" s="391"/>
      <c r="C345" s="182" t="s">
        <v>761</v>
      </c>
      <c r="D345" s="392" t="s">
        <v>269</v>
      </c>
      <c r="E345" s="185"/>
      <c r="F345" s="23">
        <v>154115</v>
      </c>
      <c r="G345" s="25"/>
      <c r="H345" s="298"/>
      <c r="I345" s="25"/>
      <c r="J345" s="25"/>
      <c r="K345" s="25"/>
      <c r="L345" s="25"/>
      <c r="M345" s="25"/>
      <c r="N345" s="25"/>
      <c r="O345" s="25"/>
      <c r="P345" s="25"/>
      <c r="Q345" s="24">
        <f t="shared" si="19"/>
        <v>0</v>
      </c>
      <c r="R345" s="388"/>
    </row>
    <row r="346" spans="1:18" ht="22.5" customHeight="1" hidden="1">
      <c r="A346" s="391"/>
      <c r="B346" s="391"/>
      <c r="C346" s="182" t="s">
        <v>413</v>
      </c>
      <c r="D346" s="392" t="s">
        <v>270</v>
      </c>
      <c r="E346" s="185"/>
      <c r="F346" s="23">
        <v>154113</v>
      </c>
      <c r="G346" s="25"/>
      <c r="H346" s="298"/>
      <c r="I346" s="25"/>
      <c r="J346" s="25"/>
      <c r="K346" s="25"/>
      <c r="L346" s="25"/>
      <c r="M346" s="25"/>
      <c r="N346" s="25"/>
      <c r="O346" s="25"/>
      <c r="P346" s="25"/>
      <c r="Q346" s="24">
        <f t="shared" si="19"/>
        <v>0</v>
      </c>
      <c r="R346" s="388"/>
    </row>
    <row r="347" spans="1:18" ht="24" customHeight="1" hidden="1">
      <c r="A347" s="391"/>
      <c r="B347" s="391"/>
      <c r="C347" s="182" t="s">
        <v>379</v>
      </c>
      <c r="D347" s="397" t="s">
        <v>795</v>
      </c>
      <c r="E347" s="185"/>
      <c r="F347" s="23">
        <v>154116</v>
      </c>
      <c r="G347" s="374"/>
      <c r="H347" s="374"/>
      <c r="I347" s="374"/>
      <c r="J347" s="374"/>
      <c r="K347" s="374"/>
      <c r="L347" s="375"/>
      <c r="M347" s="375"/>
      <c r="N347" s="375"/>
      <c r="O347" s="374"/>
      <c r="P347" s="374"/>
      <c r="Q347" s="119">
        <f t="shared" si="19"/>
        <v>0</v>
      </c>
      <c r="R347" s="388"/>
    </row>
    <row r="348" spans="1:18" ht="12.75" customHeight="1">
      <c r="A348" s="391"/>
      <c r="B348" s="391"/>
      <c r="C348" s="182"/>
      <c r="D348" s="398" t="s">
        <v>198</v>
      </c>
      <c r="E348" s="185"/>
      <c r="F348" s="23"/>
      <c r="G348" s="374"/>
      <c r="H348" s="374"/>
      <c r="I348" s="374"/>
      <c r="J348" s="374"/>
      <c r="K348" s="374"/>
      <c r="L348" s="375"/>
      <c r="M348" s="375"/>
      <c r="N348" s="375"/>
      <c r="O348" s="374"/>
      <c r="P348" s="374"/>
      <c r="Q348" s="119"/>
      <c r="R348" s="388"/>
    </row>
    <row r="349" spans="1:18" ht="15.75" customHeight="1">
      <c r="A349" s="391"/>
      <c r="B349" s="391"/>
      <c r="C349" s="182" t="s">
        <v>496</v>
      </c>
      <c r="D349" s="297" t="s">
        <v>1201</v>
      </c>
      <c r="E349" s="185"/>
      <c r="F349" s="23">
        <v>152120</v>
      </c>
      <c r="G349" s="374"/>
      <c r="H349" s="374"/>
      <c r="I349" s="375">
        <v>3174</v>
      </c>
      <c r="J349" s="374"/>
      <c r="K349" s="374"/>
      <c r="L349" s="375">
        <v>-3174</v>
      </c>
      <c r="M349" s="375"/>
      <c r="N349" s="375"/>
      <c r="O349" s="374"/>
      <c r="P349" s="374"/>
      <c r="Q349" s="119">
        <f aca="true" t="shared" si="20" ref="Q349:Q362">SUM(G349:P349)</f>
        <v>0</v>
      </c>
      <c r="R349" s="388" t="s">
        <v>147</v>
      </c>
    </row>
    <row r="350" spans="1:18" ht="15" customHeight="1" hidden="1">
      <c r="A350" s="391"/>
      <c r="B350" s="391"/>
      <c r="C350" s="182" t="s">
        <v>534</v>
      </c>
      <c r="D350" s="297" t="s">
        <v>362</v>
      </c>
      <c r="E350" s="185"/>
      <c r="F350" s="23">
        <v>152121</v>
      </c>
      <c r="G350" s="374"/>
      <c r="H350" s="374"/>
      <c r="I350" s="374"/>
      <c r="J350" s="374"/>
      <c r="K350" s="374"/>
      <c r="L350" s="375"/>
      <c r="M350" s="375"/>
      <c r="N350" s="375"/>
      <c r="O350" s="374"/>
      <c r="P350" s="374"/>
      <c r="Q350" s="119">
        <f t="shared" si="20"/>
        <v>0</v>
      </c>
      <c r="R350" s="388"/>
    </row>
    <row r="351" spans="1:18" ht="25.5" customHeight="1" hidden="1">
      <c r="A351" s="391"/>
      <c r="B351" s="391"/>
      <c r="C351" s="182" t="s">
        <v>535</v>
      </c>
      <c r="D351" s="399" t="s">
        <v>763</v>
      </c>
      <c r="E351" s="185"/>
      <c r="F351" s="23">
        <v>152105</v>
      </c>
      <c r="G351" s="374"/>
      <c r="H351" s="374"/>
      <c r="I351" s="374"/>
      <c r="J351" s="374"/>
      <c r="K351" s="374"/>
      <c r="L351" s="375"/>
      <c r="M351" s="375"/>
      <c r="N351" s="375"/>
      <c r="O351" s="374"/>
      <c r="P351" s="374"/>
      <c r="Q351" s="119">
        <f t="shared" si="20"/>
        <v>0</v>
      </c>
      <c r="R351" s="388"/>
    </row>
    <row r="352" spans="1:18" ht="16.5" customHeight="1" hidden="1">
      <c r="A352" s="391"/>
      <c r="B352" s="391"/>
      <c r="C352" s="182" t="s">
        <v>536</v>
      </c>
      <c r="D352" s="400" t="s">
        <v>457</v>
      </c>
      <c r="E352" s="185"/>
      <c r="F352" s="23">
        <v>154108</v>
      </c>
      <c r="G352" s="374"/>
      <c r="H352" s="374"/>
      <c r="I352" s="374"/>
      <c r="J352" s="374"/>
      <c r="K352" s="374"/>
      <c r="L352" s="375"/>
      <c r="M352" s="375"/>
      <c r="N352" s="375"/>
      <c r="O352" s="374"/>
      <c r="P352" s="374"/>
      <c r="Q352" s="119">
        <f t="shared" si="20"/>
        <v>0</v>
      </c>
      <c r="R352" s="388"/>
    </row>
    <row r="353" spans="1:18" ht="16.5" customHeight="1" hidden="1">
      <c r="A353" s="391"/>
      <c r="B353" s="391"/>
      <c r="C353" s="182" t="s">
        <v>425</v>
      </c>
      <c r="D353" s="401" t="s">
        <v>456</v>
      </c>
      <c r="E353" s="185"/>
      <c r="F353" s="23">
        <v>154107</v>
      </c>
      <c r="G353" s="374"/>
      <c r="H353" s="374"/>
      <c r="I353" s="374"/>
      <c r="J353" s="374"/>
      <c r="K353" s="374"/>
      <c r="L353" s="375"/>
      <c r="M353" s="375"/>
      <c r="N353" s="375"/>
      <c r="O353" s="374"/>
      <c r="P353" s="374"/>
      <c r="Q353" s="119">
        <f t="shared" si="20"/>
        <v>0</v>
      </c>
      <c r="R353" s="388"/>
    </row>
    <row r="354" spans="1:18" ht="27" customHeight="1">
      <c r="A354" s="391"/>
      <c r="B354" s="391"/>
      <c r="C354" s="182" t="s">
        <v>426</v>
      </c>
      <c r="D354" s="137" t="s">
        <v>797</v>
      </c>
      <c r="E354" s="185"/>
      <c r="F354" s="23">
        <v>152108</v>
      </c>
      <c r="G354" s="25"/>
      <c r="H354" s="298"/>
      <c r="I354" s="25"/>
      <c r="J354" s="25"/>
      <c r="K354" s="25"/>
      <c r="L354" s="25">
        <v>-2000</v>
      </c>
      <c r="M354" s="25"/>
      <c r="N354" s="25"/>
      <c r="O354" s="25"/>
      <c r="P354" s="25"/>
      <c r="Q354" s="24">
        <f t="shared" si="20"/>
        <v>-2000</v>
      </c>
      <c r="R354" s="388" t="s">
        <v>147</v>
      </c>
    </row>
    <row r="355" spans="1:18" ht="37.5" customHeight="1" hidden="1">
      <c r="A355" s="391"/>
      <c r="B355" s="391"/>
      <c r="C355" s="182" t="s">
        <v>796</v>
      </c>
      <c r="D355" s="200" t="s">
        <v>799</v>
      </c>
      <c r="E355" s="185"/>
      <c r="F355" s="23">
        <v>152117</v>
      </c>
      <c r="G355" s="374"/>
      <c r="H355" s="374"/>
      <c r="I355" s="374"/>
      <c r="J355" s="374"/>
      <c r="K355" s="374"/>
      <c r="L355" s="375"/>
      <c r="M355" s="375"/>
      <c r="N355" s="375"/>
      <c r="O355" s="374"/>
      <c r="P355" s="374"/>
      <c r="Q355" s="119">
        <f t="shared" si="20"/>
        <v>0</v>
      </c>
      <c r="R355" s="388"/>
    </row>
    <row r="356" spans="1:18" ht="36" customHeight="1" hidden="1">
      <c r="A356" s="391"/>
      <c r="B356" s="391"/>
      <c r="C356" s="182" t="s">
        <v>798</v>
      </c>
      <c r="D356" s="200" t="s">
        <v>800</v>
      </c>
      <c r="E356" s="185"/>
      <c r="F356" s="23">
        <v>152117</v>
      </c>
      <c r="G356" s="374"/>
      <c r="H356" s="374"/>
      <c r="I356" s="374"/>
      <c r="J356" s="374"/>
      <c r="K356" s="374"/>
      <c r="L356" s="375"/>
      <c r="M356" s="375"/>
      <c r="N356" s="375"/>
      <c r="O356" s="374"/>
      <c r="P356" s="374"/>
      <c r="Q356" s="119">
        <f t="shared" si="20"/>
        <v>0</v>
      </c>
      <c r="R356" s="388"/>
    </row>
    <row r="357" spans="1:18" ht="12.75" customHeight="1">
      <c r="A357" s="391"/>
      <c r="B357" s="391"/>
      <c r="C357" s="391">
        <v>2</v>
      </c>
      <c r="D357" s="402" t="s">
        <v>801</v>
      </c>
      <c r="E357" s="185"/>
      <c r="F357" s="23"/>
      <c r="G357" s="374"/>
      <c r="H357" s="374"/>
      <c r="I357" s="374"/>
      <c r="J357" s="374"/>
      <c r="K357" s="374"/>
      <c r="L357" s="375"/>
      <c r="M357" s="375"/>
      <c r="N357" s="375"/>
      <c r="O357" s="374"/>
      <c r="P357" s="374"/>
      <c r="Q357" s="119"/>
      <c r="R357" s="388"/>
    </row>
    <row r="358" spans="1:18" ht="12.75" customHeight="1">
      <c r="A358" s="391"/>
      <c r="B358" s="391"/>
      <c r="C358" s="182" t="s">
        <v>627</v>
      </c>
      <c r="D358" s="392" t="s">
        <v>475</v>
      </c>
      <c r="E358" s="185"/>
      <c r="F358" s="23">
        <v>152201</v>
      </c>
      <c r="G358" s="374"/>
      <c r="H358" s="374"/>
      <c r="I358" s="374"/>
      <c r="J358" s="374"/>
      <c r="K358" s="374"/>
      <c r="L358" s="375">
        <v>-2000</v>
      </c>
      <c r="M358" s="375"/>
      <c r="N358" s="375"/>
      <c r="O358" s="374"/>
      <c r="P358" s="374"/>
      <c r="Q358" s="119">
        <f t="shared" si="20"/>
        <v>-2000</v>
      </c>
      <c r="R358" s="388" t="s">
        <v>147</v>
      </c>
    </row>
    <row r="359" spans="1:18" ht="12.75" customHeight="1">
      <c r="A359" s="391"/>
      <c r="B359" s="391"/>
      <c r="C359" s="182" t="s">
        <v>474</v>
      </c>
      <c r="D359" s="392" t="s">
        <v>802</v>
      </c>
      <c r="E359" s="185"/>
      <c r="F359" s="23">
        <v>152205</v>
      </c>
      <c r="G359" s="374"/>
      <c r="H359" s="374"/>
      <c r="I359" s="374"/>
      <c r="J359" s="374"/>
      <c r="K359" s="374"/>
      <c r="L359" s="375">
        <v>1383</v>
      </c>
      <c r="M359" s="375"/>
      <c r="N359" s="375"/>
      <c r="O359" s="374"/>
      <c r="P359" s="374"/>
      <c r="Q359" s="119">
        <f t="shared" si="20"/>
        <v>1383</v>
      </c>
      <c r="R359" s="388" t="s">
        <v>147</v>
      </c>
    </row>
    <row r="360" spans="1:18" ht="12.75" customHeight="1" hidden="1">
      <c r="A360" s="391"/>
      <c r="B360" s="391"/>
      <c r="C360" s="391"/>
      <c r="D360" s="398" t="s">
        <v>198</v>
      </c>
      <c r="E360" s="185"/>
      <c r="F360" s="23"/>
      <c r="G360" s="374"/>
      <c r="H360" s="374"/>
      <c r="I360" s="374"/>
      <c r="J360" s="374"/>
      <c r="K360" s="374"/>
      <c r="L360" s="375"/>
      <c r="M360" s="375"/>
      <c r="N360" s="375"/>
      <c r="O360" s="374"/>
      <c r="P360" s="374"/>
      <c r="Q360" s="119">
        <f t="shared" si="20"/>
        <v>0</v>
      </c>
      <c r="R360" s="388"/>
    </row>
    <row r="361" spans="1:18" ht="25.5" customHeight="1" hidden="1">
      <c r="A361" s="391"/>
      <c r="B361" s="391"/>
      <c r="C361" s="182" t="s">
        <v>803</v>
      </c>
      <c r="D361" s="200" t="s">
        <v>804</v>
      </c>
      <c r="E361" s="185"/>
      <c r="F361" s="23">
        <v>152203</v>
      </c>
      <c r="G361" s="374"/>
      <c r="H361" s="374"/>
      <c r="I361" s="374"/>
      <c r="J361" s="374"/>
      <c r="K361" s="374"/>
      <c r="L361" s="375"/>
      <c r="M361" s="375"/>
      <c r="N361" s="375"/>
      <c r="O361" s="374"/>
      <c r="P361" s="374"/>
      <c r="Q361" s="119">
        <f t="shared" si="20"/>
        <v>0</v>
      </c>
      <c r="R361" s="388"/>
    </row>
    <row r="362" spans="1:18" ht="23.25" customHeight="1" hidden="1">
      <c r="A362" s="391"/>
      <c r="B362" s="391"/>
      <c r="C362" s="182" t="s">
        <v>805</v>
      </c>
      <c r="D362" s="200" t="s">
        <v>703</v>
      </c>
      <c r="E362" s="185"/>
      <c r="F362" s="23">
        <v>152204</v>
      </c>
      <c r="G362" s="374"/>
      <c r="H362" s="374"/>
      <c r="I362" s="374"/>
      <c r="J362" s="374"/>
      <c r="K362" s="374"/>
      <c r="L362" s="375"/>
      <c r="M362" s="375"/>
      <c r="N362" s="375"/>
      <c r="O362" s="374"/>
      <c r="P362" s="374"/>
      <c r="Q362" s="119">
        <f t="shared" si="20"/>
        <v>0</v>
      </c>
      <c r="R362" s="388"/>
    </row>
    <row r="363" spans="1:18" ht="12.75" customHeight="1">
      <c r="A363" s="391"/>
      <c r="B363" s="391"/>
      <c r="C363" s="391" t="s">
        <v>628</v>
      </c>
      <c r="D363" s="403" t="s">
        <v>806</v>
      </c>
      <c r="E363" s="185"/>
      <c r="F363" s="23"/>
      <c r="G363" s="374"/>
      <c r="H363" s="374"/>
      <c r="I363" s="374"/>
      <c r="J363" s="374"/>
      <c r="K363" s="374"/>
      <c r="L363" s="375"/>
      <c r="M363" s="375"/>
      <c r="N363" s="375"/>
      <c r="O363" s="374"/>
      <c r="P363" s="374"/>
      <c r="Q363" s="119"/>
      <c r="R363" s="388"/>
    </row>
    <row r="364" spans="1:18" ht="12.75" customHeight="1" hidden="1">
      <c r="A364" s="391"/>
      <c r="B364" s="391"/>
      <c r="C364" s="182" t="s">
        <v>632</v>
      </c>
      <c r="D364" s="404" t="s">
        <v>807</v>
      </c>
      <c r="E364" s="185"/>
      <c r="F364" s="23">
        <v>152316</v>
      </c>
      <c r="G364" s="374"/>
      <c r="H364" s="374"/>
      <c r="I364" s="374"/>
      <c r="J364" s="374"/>
      <c r="K364" s="374"/>
      <c r="L364" s="375"/>
      <c r="M364" s="375"/>
      <c r="N364" s="375"/>
      <c r="O364" s="374"/>
      <c r="P364" s="374"/>
      <c r="Q364" s="119">
        <f aca="true" t="shared" si="21" ref="Q364:Q370">SUM(G364:P364)</f>
        <v>0</v>
      </c>
      <c r="R364" s="388"/>
    </row>
    <row r="365" spans="1:18" ht="12.75" customHeight="1">
      <c r="A365" s="391"/>
      <c r="B365" s="391"/>
      <c r="C365" s="182" t="s">
        <v>633</v>
      </c>
      <c r="D365" s="404" t="s">
        <v>808</v>
      </c>
      <c r="E365" s="185"/>
      <c r="F365" s="23">
        <v>152320</v>
      </c>
      <c r="G365" s="374"/>
      <c r="H365" s="374"/>
      <c r="I365" s="374"/>
      <c r="J365" s="374"/>
      <c r="K365" s="374"/>
      <c r="L365" s="375">
        <v>-150</v>
      </c>
      <c r="M365" s="375"/>
      <c r="N365" s="375"/>
      <c r="O365" s="374"/>
      <c r="P365" s="374"/>
      <c r="Q365" s="119">
        <f t="shared" si="21"/>
        <v>-150</v>
      </c>
      <c r="R365" s="388" t="s">
        <v>658</v>
      </c>
    </row>
    <row r="366" spans="1:18" ht="12.75" customHeight="1" hidden="1">
      <c r="A366" s="391"/>
      <c r="B366" s="391"/>
      <c r="C366" s="182" t="s">
        <v>673</v>
      </c>
      <c r="D366" s="405" t="s">
        <v>809</v>
      </c>
      <c r="E366" s="185"/>
      <c r="F366" s="23">
        <v>152321</v>
      </c>
      <c r="G366" s="374"/>
      <c r="H366" s="374"/>
      <c r="I366" s="374"/>
      <c r="J366" s="374"/>
      <c r="K366" s="374"/>
      <c r="L366" s="375"/>
      <c r="M366" s="375"/>
      <c r="N366" s="375"/>
      <c r="O366" s="374"/>
      <c r="P366" s="374"/>
      <c r="Q366" s="119">
        <f t="shared" si="21"/>
        <v>0</v>
      </c>
      <c r="R366" s="388"/>
    </row>
    <row r="367" spans="1:18" ht="12.75" customHeight="1" hidden="1">
      <c r="A367" s="391"/>
      <c r="B367" s="391"/>
      <c r="C367" s="182" t="s">
        <v>483</v>
      </c>
      <c r="D367" s="406" t="s">
        <v>810</v>
      </c>
      <c r="E367" s="185"/>
      <c r="F367" s="23">
        <v>152322</v>
      </c>
      <c r="G367" s="374"/>
      <c r="H367" s="374"/>
      <c r="I367" s="374"/>
      <c r="J367" s="374"/>
      <c r="K367" s="374"/>
      <c r="L367" s="375"/>
      <c r="M367" s="375"/>
      <c r="N367" s="375"/>
      <c r="O367" s="374"/>
      <c r="P367" s="374"/>
      <c r="Q367" s="119">
        <f t="shared" si="21"/>
        <v>0</v>
      </c>
      <c r="R367" s="388"/>
    </row>
    <row r="368" spans="1:18" ht="12.75" customHeight="1" hidden="1">
      <c r="A368" s="391"/>
      <c r="B368" s="391"/>
      <c r="C368" s="182" t="s">
        <v>318</v>
      </c>
      <c r="D368" s="407" t="s">
        <v>811</v>
      </c>
      <c r="E368" s="185"/>
      <c r="F368" s="23">
        <v>152323</v>
      </c>
      <c r="G368" s="374"/>
      <c r="H368" s="374"/>
      <c r="I368" s="374"/>
      <c r="J368" s="374"/>
      <c r="K368" s="374"/>
      <c r="L368" s="375"/>
      <c r="M368" s="375"/>
      <c r="N368" s="375"/>
      <c r="O368" s="374"/>
      <c r="P368" s="374"/>
      <c r="Q368" s="119">
        <f t="shared" si="21"/>
        <v>0</v>
      </c>
      <c r="R368" s="388"/>
    </row>
    <row r="369" spans="1:18" ht="12.75" customHeight="1">
      <c r="A369" s="391"/>
      <c r="B369" s="391"/>
      <c r="C369" s="182" t="s">
        <v>319</v>
      </c>
      <c r="D369" s="407" t="s">
        <v>812</v>
      </c>
      <c r="E369" s="185"/>
      <c r="F369" s="23">
        <v>152319</v>
      </c>
      <c r="G369" s="374"/>
      <c r="H369" s="374"/>
      <c r="I369" s="374"/>
      <c r="J369" s="374"/>
      <c r="K369" s="374"/>
      <c r="L369" s="375">
        <v>173</v>
      </c>
      <c r="M369" s="375"/>
      <c r="N369" s="375"/>
      <c r="O369" s="374"/>
      <c r="P369" s="374"/>
      <c r="Q369" s="119">
        <f t="shared" si="21"/>
        <v>173</v>
      </c>
      <c r="R369" s="388" t="s">
        <v>147</v>
      </c>
    </row>
    <row r="370" spans="1:18" ht="12.75" customHeight="1" hidden="1">
      <c r="A370" s="391"/>
      <c r="B370" s="391"/>
      <c r="C370" s="182" t="s">
        <v>320</v>
      </c>
      <c r="D370" s="407" t="s">
        <v>813</v>
      </c>
      <c r="E370" s="185"/>
      <c r="F370" s="23">
        <v>152324</v>
      </c>
      <c r="G370" s="374"/>
      <c r="H370" s="374"/>
      <c r="I370" s="374"/>
      <c r="J370" s="374"/>
      <c r="K370" s="374"/>
      <c r="L370" s="375"/>
      <c r="M370" s="375"/>
      <c r="N370" s="375"/>
      <c r="O370" s="374"/>
      <c r="P370" s="374"/>
      <c r="Q370" s="119">
        <f t="shared" si="21"/>
        <v>0</v>
      </c>
      <c r="R370" s="388"/>
    </row>
    <row r="371" spans="1:18" ht="12.75" customHeight="1" hidden="1">
      <c r="A371" s="391"/>
      <c r="B371" s="391"/>
      <c r="C371" s="391"/>
      <c r="D371" s="398" t="s">
        <v>198</v>
      </c>
      <c r="E371" s="185"/>
      <c r="F371" s="23"/>
      <c r="G371" s="374"/>
      <c r="H371" s="374"/>
      <c r="I371" s="374"/>
      <c r="J371" s="374"/>
      <c r="K371" s="374"/>
      <c r="L371" s="375"/>
      <c r="M371" s="375"/>
      <c r="N371" s="375"/>
      <c r="O371" s="374"/>
      <c r="P371" s="374"/>
      <c r="Q371" s="119"/>
      <c r="R371" s="388"/>
    </row>
    <row r="372" spans="1:18" ht="12.75" customHeight="1" hidden="1">
      <c r="A372" s="391"/>
      <c r="B372" s="391"/>
      <c r="C372" s="182" t="s">
        <v>765</v>
      </c>
      <c r="D372" s="297" t="s">
        <v>764</v>
      </c>
      <c r="E372" s="185"/>
      <c r="F372" s="23">
        <v>152315</v>
      </c>
      <c r="G372" s="374"/>
      <c r="H372" s="374"/>
      <c r="I372" s="374"/>
      <c r="J372" s="374"/>
      <c r="K372" s="374"/>
      <c r="L372" s="375"/>
      <c r="M372" s="375"/>
      <c r="N372" s="375"/>
      <c r="O372" s="374"/>
      <c r="P372" s="374"/>
      <c r="Q372" s="119">
        <f>SUM(G372:P372)</f>
        <v>0</v>
      </c>
      <c r="R372" s="388"/>
    </row>
    <row r="373" spans="1:18" ht="12.75" customHeight="1">
      <c r="A373" s="391"/>
      <c r="B373" s="391"/>
      <c r="C373" s="391" t="s">
        <v>629</v>
      </c>
      <c r="D373" s="131" t="s">
        <v>814</v>
      </c>
      <c r="E373" s="185"/>
      <c r="F373" s="23"/>
      <c r="G373" s="374"/>
      <c r="H373" s="374"/>
      <c r="I373" s="374"/>
      <c r="J373" s="374"/>
      <c r="K373" s="374"/>
      <c r="L373" s="375"/>
      <c r="M373" s="375"/>
      <c r="N373" s="375"/>
      <c r="O373" s="374"/>
      <c r="P373" s="374"/>
      <c r="Q373" s="119"/>
      <c r="R373" s="388"/>
    </row>
    <row r="374" spans="1:18" ht="12.75" customHeight="1" hidden="1">
      <c r="A374" s="391"/>
      <c r="B374" s="391"/>
      <c r="C374" s="182" t="s">
        <v>635</v>
      </c>
      <c r="D374" s="397" t="s">
        <v>815</v>
      </c>
      <c r="E374" s="185"/>
      <c r="F374" s="23">
        <v>152443</v>
      </c>
      <c r="G374" s="374"/>
      <c r="H374" s="374"/>
      <c r="I374" s="374"/>
      <c r="J374" s="374"/>
      <c r="K374" s="374"/>
      <c r="L374" s="375"/>
      <c r="M374" s="375"/>
      <c r="N374" s="375"/>
      <c r="O374" s="374"/>
      <c r="P374" s="374"/>
      <c r="Q374" s="119">
        <f aca="true" t="shared" si="22" ref="Q374:Q424">SUM(G374:P374)</f>
        <v>0</v>
      </c>
      <c r="R374" s="388"/>
    </row>
    <row r="375" spans="1:18" ht="12.75" customHeight="1" hidden="1">
      <c r="A375" s="391"/>
      <c r="B375" s="391"/>
      <c r="C375" s="182" t="s">
        <v>636</v>
      </c>
      <c r="D375" s="408" t="s">
        <v>816</v>
      </c>
      <c r="E375" s="185"/>
      <c r="F375" s="23">
        <v>152444</v>
      </c>
      <c r="G375" s="374"/>
      <c r="H375" s="374"/>
      <c r="I375" s="374"/>
      <c r="J375" s="374"/>
      <c r="K375" s="374"/>
      <c r="L375" s="375"/>
      <c r="M375" s="375"/>
      <c r="N375" s="375"/>
      <c r="O375" s="374"/>
      <c r="P375" s="374"/>
      <c r="Q375" s="119">
        <f t="shared" si="22"/>
        <v>0</v>
      </c>
      <c r="R375" s="388"/>
    </row>
    <row r="376" spans="1:18" ht="22.5" customHeight="1">
      <c r="A376" s="391"/>
      <c r="B376" s="391"/>
      <c r="C376" s="182" t="s">
        <v>637</v>
      </c>
      <c r="D376" s="392" t="s">
        <v>1300</v>
      </c>
      <c r="E376" s="185"/>
      <c r="F376" s="23">
        <v>152445</v>
      </c>
      <c r="G376" s="374"/>
      <c r="H376" s="374"/>
      <c r="I376" s="374"/>
      <c r="J376" s="374"/>
      <c r="K376" s="374"/>
      <c r="L376" s="375"/>
      <c r="M376" s="375"/>
      <c r="N376" s="375"/>
      <c r="O376" s="374"/>
      <c r="P376" s="374"/>
      <c r="Q376" s="119">
        <f t="shared" si="22"/>
        <v>0</v>
      </c>
      <c r="R376" s="388" t="s">
        <v>147</v>
      </c>
    </row>
    <row r="377" spans="1:18" ht="12.75" customHeight="1" hidden="1">
      <c r="A377" s="391"/>
      <c r="B377" s="391"/>
      <c r="C377" s="182" t="s">
        <v>638</v>
      </c>
      <c r="D377" s="297" t="s">
        <v>821</v>
      </c>
      <c r="E377" s="185"/>
      <c r="F377" s="23">
        <v>152446</v>
      </c>
      <c r="G377" s="374"/>
      <c r="H377" s="374"/>
      <c r="I377" s="374"/>
      <c r="J377" s="374"/>
      <c r="K377" s="374"/>
      <c r="L377" s="375"/>
      <c r="M377" s="375"/>
      <c r="N377" s="375"/>
      <c r="O377" s="374"/>
      <c r="P377" s="374"/>
      <c r="Q377" s="119">
        <f t="shared" si="22"/>
        <v>0</v>
      </c>
      <c r="R377" s="388"/>
    </row>
    <row r="378" spans="1:18" ht="12.75" customHeight="1" hidden="1">
      <c r="A378" s="391"/>
      <c r="B378" s="391"/>
      <c r="C378" s="182" t="s">
        <v>639</v>
      </c>
      <c r="D378" s="409" t="s">
        <v>822</v>
      </c>
      <c r="E378" s="185"/>
      <c r="F378" s="23">
        <v>154401</v>
      </c>
      <c r="G378" s="374"/>
      <c r="H378" s="374"/>
      <c r="I378" s="374"/>
      <c r="J378" s="374"/>
      <c r="K378" s="374"/>
      <c r="L378" s="375"/>
      <c r="M378" s="375"/>
      <c r="N378" s="375"/>
      <c r="O378" s="374"/>
      <c r="P378" s="374"/>
      <c r="Q378" s="119">
        <f t="shared" si="22"/>
        <v>0</v>
      </c>
      <c r="R378" s="388"/>
    </row>
    <row r="379" spans="1:18" ht="12.75" customHeight="1" hidden="1">
      <c r="A379" s="391"/>
      <c r="B379" s="391"/>
      <c r="C379" s="182" t="s">
        <v>640</v>
      </c>
      <c r="D379" s="410" t="s">
        <v>823</v>
      </c>
      <c r="E379" s="185"/>
      <c r="F379" s="23">
        <v>154402</v>
      </c>
      <c r="G379" s="374"/>
      <c r="H379" s="374"/>
      <c r="I379" s="374"/>
      <c r="J379" s="374"/>
      <c r="K379" s="374"/>
      <c r="L379" s="375"/>
      <c r="M379" s="375"/>
      <c r="N379" s="375"/>
      <c r="O379" s="374"/>
      <c r="P379" s="374"/>
      <c r="Q379" s="119">
        <f t="shared" si="22"/>
        <v>0</v>
      </c>
      <c r="R379" s="388"/>
    </row>
    <row r="380" spans="1:18" ht="12.75" customHeight="1" hidden="1">
      <c r="A380" s="391"/>
      <c r="B380" s="391"/>
      <c r="C380" s="182" t="s">
        <v>641</v>
      </c>
      <c r="D380" s="411" t="s">
        <v>824</v>
      </c>
      <c r="E380" s="185"/>
      <c r="F380" s="23">
        <v>154403</v>
      </c>
      <c r="G380" s="374"/>
      <c r="H380" s="374"/>
      <c r="I380" s="374"/>
      <c r="J380" s="374"/>
      <c r="K380" s="374"/>
      <c r="L380" s="375"/>
      <c r="M380" s="375"/>
      <c r="N380" s="375"/>
      <c r="O380" s="374"/>
      <c r="P380" s="374"/>
      <c r="Q380" s="119">
        <f t="shared" si="22"/>
        <v>0</v>
      </c>
      <c r="R380" s="388"/>
    </row>
    <row r="381" spans="1:18" ht="12.75" customHeight="1" hidden="1">
      <c r="A381" s="391"/>
      <c r="B381" s="391"/>
      <c r="C381" s="182" t="s">
        <v>661</v>
      </c>
      <c r="D381" s="410" t="s">
        <v>825</v>
      </c>
      <c r="E381" s="185"/>
      <c r="F381" s="23">
        <v>154404</v>
      </c>
      <c r="G381" s="374"/>
      <c r="H381" s="374"/>
      <c r="I381" s="374"/>
      <c r="J381" s="374"/>
      <c r="K381" s="374"/>
      <c r="L381" s="375"/>
      <c r="M381" s="375"/>
      <c r="N381" s="375"/>
      <c r="O381" s="374"/>
      <c r="P381" s="374"/>
      <c r="Q381" s="119">
        <f t="shared" si="22"/>
        <v>0</v>
      </c>
      <c r="R381" s="388"/>
    </row>
    <row r="382" spans="1:18" ht="12.75" customHeight="1" hidden="1">
      <c r="A382" s="391"/>
      <c r="B382" s="391"/>
      <c r="C382" s="182" t="s">
        <v>662</v>
      </c>
      <c r="D382" s="410" t="s">
        <v>826</v>
      </c>
      <c r="E382" s="185"/>
      <c r="F382" s="23">
        <v>154405</v>
      </c>
      <c r="G382" s="374"/>
      <c r="H382" s="374"/>
      <c r="I382" s="374"/>
      <c r="J382" s="374"/>
      <c r="K382" s="374"/>
      <c r="L382" s="375"/>
      <c r="M382" s="375"/>
      <c r="N382" s="375"/>
      <c r="O382" s="374"/>
      <c r="P382" s="374"/>
      <c r="Q382" s="119">
        <f t="shared" si="22"/>
        <v>0</v>
      </c>
      <c r="R382" s="388"/>
    </row>
    <row r="383" spans="1:18" ht="12.75" customHeight="1" hidden="1">
      <c r="A383" s="391"/>
      <c r="B383" s="391"/>
      <c r="C383" s="182" t="s">
        <v>663</v>
      </c>
      <c r="D383" s="410" t="s">
        <v>827</v>
      </c>
      <c r="E383" s="185"/>
      <c r="F383" s="23">
        <v>154406</v>
      </c>
      <c r="G383" s="374"/>
      <c r="H383" s="374"/>
      <c r="I383" s="374"/>
      <c r="J383" s="374"/>
      <c r="K383" s="374"/>
      <c r="L383" s="375"/>
      <c r="M383" s="375"/>
      <c r="N383" s="375"/>
      <c r="O383" s="374"/>
      <c r="P383" s="374"/>
      <c r="Q383" s="119">
        <f t="shared" si="22"/>
        <v>0</v>
      </c>
      <c r="R383" s="388"/>
    </row>
    <row r="384" spans="1:18" ht="21" customHeight="1" hidden="1">
      <c r="A384" s="391"/>
      <c r="B384" s="391"/>
      <c r="C384" s="182" t="s">
        <v>664</v>
      </c>
      <c r="D384" s="410" t="s">
        <v>828</v>
      </c>
      <c r="E384" s="185"/>
      <c r="F384" s="23">
        <v>154407</v>
      </c>
      <c r="G384" s="374"/>
      <c r="H384" s="374"/>
      <c r="I384" s="374"/>
      <c r="J384" s="374"/>
      <c r="K384" s="374"/>
      <c r="L384" s="375"/>
      <c r="M384" s="375"/>
      <c r="N384" s="375"/>
      <c r="O384" s="374"/>
      <c r="P384" s="374"/>
      <c r="Q384" s="119">
        <f t="shared" si="22"/>
        <v>0</v>
      </c>
      <c r="R384" s="388"/>
    </row>
    <row r="385" spans="1:18" ht="12.75" customHeight="1" hidden="1">
      <c r="A385" s="391"/>
      <c r="B385" s="391"/>
      <c r="C385" s="182" t="s">
        <v>665</v>
      </c>
      <c r="D385" s="410" t="s">
        <v>832</v>
      </c>
      <c r="E385" s="185"/>
      <c r="F385" s="23">
        <v>154408</v>
      </c>
      <c r="G385" s="374"/>
      <c r="H385" s="374"/>
      <c r="I385" s="374"/>
      <c r="J385" s="374"/>
      <c r="K385" s="374"/>
      <c r="L385" s="375"/>
      <c r="M385" s="375"/>
      <c r="N385" s="375"/>
      <c r="O385" s="374"/>
      <c r="P385" s="374"/>
      <c r="Q385" s="119">
        <f t="shared" si="22"/>
        <v>0</v>
      </c>
      <c r="R385" s="388"/>
    </row>
    <row r="386" spans="1:18" ht="12.75" customHeight="1" hidden="1">
      <c r="A386" s="391"/>
      <c r="B386" s="391"/>
      <c r="C386" s="182" t="s">
        <v>666</v>
      </c>
      <c r="D386" s="410" t="s">
        <v>833</v>
      </c>
      <c r="E386" s="185"/>
      <c r="F386" s="23">
        <v>154409</v>
      </c>
      <c r="G386" s="374"/>
      <c r="H386" s="374"/>
      <c r="I386" s="374"/>
      <c r="J386" s="374"/>
      <c r="K386" s="374"/>
      <c r="L386" s="375"/>
      <c r="M386" s="375"/>
      <c r="N386" s="375"/>
      <c r="O386" s="374"/>
      <c r="P386" s="374"/>
      <c r="Q386" s="119">
        <f t="shared" si="22"/>
        <v>0</v>
      </c>
      <c r="R386" s="388"/>
    </row>
    <row r="387" spans="1:18" ht="12.75" customHeight="1">
      <c r="A387" s="391"/>
      <c r="B387" s="391"/>
      <c r="C387" s="182" t="s">
        <v>667</v>
      </c>
      <c r="D387" s="410" t="s">
        <v>560</v>
      </c>
      <c r="E387" s="185"/>
      <c r="F387" s="23">
        <v>154485</v>
      </c>
      <c r="G387" s="374"/>
      <c r="H387" s="374"/>
      <c r="I387" s="374"/>
      <c r="J387" s="374"/>
      <c r="K387" s="374"/>
      <c r="L387" s="375"/>
      <c r="M387" s="375">
        <v>-5342</v>
      </c>
      <c r="N387" s="375"/>
      <c r="O387" s="374"/>
      <c r="P387" s="374"/>
      <c r="Q387" s="119">
        <f t="shared" si="22"/>
        <v>-5342</v>
      </c>
      <c r="R387" s="388">
        <v>0</v>
      </c>
    </row>
    <row r="388" spans="1:18" ht="12.75" customHeight="1">
      <c r="A388" s="391"/>
      <c r="B388" s="391"/>
      <c r="C388" s="182" t="s">
        <v>668</v>
      </c>
      <c r="D388" s="412" t="s">
        <v>1250</v>
      </c>
      <c r="E388" s="185"/>
      <c r="F388" s="23">
        <v>154492</v>
      </c>
      <c r="G388" s="374"/>
      <c r="H388" s="374"/>
      <c r="I388" s="374"/>
      <c r="J388" s="374"/>
      <c r="K388" s="374"/>
      <c r="L388" s="375"/>
      <c r="M388" s="375">
        <v>2383</v>
      </c>
      <c r="N388" s="375"/>
      <c r="O388" s="374"/>
      <c r="P388" s="374"/>
      <c r="Q388" s="119">
        <f t="shared" si="22"/>
        <v>2383</v>
      </c>
      <c r="R388" s="388" t="s">
        <v>658</v>
      </c>
    </row>
    <row r="389" spans="1:18" ht="12.75" customHeight="1">
      <c r="A389" s="391"/>
      <c r="B389" s="391"/>
      <c r="C389" s="182" t="s">
        <v>614</v>
      </c>
      <c r="D389" s="413" t="s">
        <v>834</v>
      </c>
      <c r="E389" s="185"/>
      <c r="F389" s="23">
        <v>154410</v>
      </c>
      <c r="G389" s="374"/>
      <c r="H389" s="374"/>
      <c r="I389" s="374"/>
      <c r="J389" s="374"/>
      <c r="K389" s="374"/>
      <c r="L389" s="375"/>
      <c r="M389" s="375">
        <v>500</v>
      </c>
      <c r="N389" s="375"/>
      <c r="O389" s="374"/>
      <c r="P389" s="374"/>
      <c r="Q389" s="119">
        <f t="shared" si="22"/>
        <v>500</v>
      </c>
      <c r="R389" s="388" t="s">
        <v>658</v>
      </c>
    </row>
    <row r="390" spans="1:18" ht="12.75" customHeight="1">
      <c r="A390" s="391"/>
      <c r="B390" s="391"/>
      <c r="C390" s="182" t="s">
        <v>615</v>
      </c>
      <c r="D390" s="413" t="s">
        <v>835</v>
      </c>
      <c r="E390" s="185"/>
      <c r="F390" s="23">
        <v>154411</v>
      </c>
      <c r="G390" s="374"/>
      <c r="H390" s="374"/>
      <c r="I390" s="374"/>
      <c r="J390" s="374"/>
      <c r="K390" s="374"/>
      <c r="L390" s="375"/>
      <c r="M390" s="375">
        <v>-77</v>
      </c>
      <c r="N390" s="375"/>
      <c r="O390" s="374"/>
      <c r="P390" s="374"/>
      <c r="Q390" s="119">
        <f t="shared" si="22"/>
        <v>-77</v>
      </c>
      <c r="R390" s="388" t="s">
        <v>658</v>
      </c>
    </row>
    <row r="391" spans="1:18" ht="15.75" customHeight="1">
      <c r="A391" s="391"/>
      <c r="B391" s="391"/>
      <c r="C391" s="182" t="s">
        <v>616</v>
      </c>
      <c r="D391" s="410" t="s">
        <v>836</v>
      </c>
      <c r="E391" s="185"/>
      <c r="F391" s="23">
        <v>154412</v>
      </c>
      <c r="G391" s="374"/>
      <c r="H391" s="374"/>
      <c r="I391" s="374"/>
      <c r="J391" s="374"/>
      <c r="K391" s="374"/>
      <c r="L391" s="375"/>
      <c r="M391" s="375">
        <v>-2764</v>
      </c>
      <c r="N391" s="375"/>
      <c r="O391" s="374"/>
      <c r="P391" s="374"/>
      <c r="Q391" s="119">
        <f t="shared" si="22"/>
        <v>-2764</v>
      </c>
      <c r="R391" s="388" t="s">
        <v>658</v>
      </c>
    </row>
    <row r="392" spans="1:23" ht="12.75" customHeight="1" hidden="1">
      <c r="A392" s="391"/>
      <c r="B392" s="391"/>
      <c r="C392" s="182" t="s">
        <v>617</v>
      </c>
      <c r="D392" s="414" t="s">
        <v>837</v>
      </c>
      <c r="E392" s="185"/>
      <c r="F392" s="23">
        <v>154413</v>
      </c>
      <c r="G392" s="374"/>
      <c r="H392" s="374"/>
      <c r="I392" s="374"/>
      <c r="J392" s="374"/>
      <c r="K392" s="374"/>
      <c r="L392" s="375"/>
      <c r="M392" s="375"/>
      <c r="N392" s="375"/>
      <c r="O392" s="374"/>
      <c r="P392" s="374"/>
      <c r="Q392" s="119">
        <f t="shared" si="22"/>
        <v>0</v>
      </c>
      <c r="R392" s="388"/>
      <c r="W392" s="375"/>
    </row>
    <row r="393" spans="1:23" ht="12.75" customHeight="1" hidden="1">
      <c r="A393" s="391"/>
      <c r="B393" s="391"/>
      <c r="C393" s="182" t="s">
        <v>618</v>
      </c>
      <c r="D393" s="414" t="s">
        <v>838</v>
      </c>
      <c r="E393" s="185"/>
      <c r="F393" s="23">
        <v>154414</v>
      </c>
      <c r="G393" s="374"/>
      <c r="H393" s="374"/>
      <c r="I393" s="374"/>
      <c r="J393" s="374"/>
      <c r="K393" s="374"/>
      <c r="L393" s="375"/>
      <c r="M393" s="375"/>
      <c r="N393" s="375"/>
      <c r="O393" s="374"/>
      <c r="P393" s="374"/>
      <c r="Q393" s="119">
        <f t="shared" si="22"/>
        <v>0</v>
      </c>
      <c r="R393" s="388"/>
      <c r="W393" s="375"/>
    </row>
    <row r="394" spans="1:23" ht="12.75" customHeight="1" hidden="1">
      <c r="A394" s="391"/>
      <c r="B394" s="391"/>
      <c r="C394" s="182" t="s">
        <v>619</v>
      </c>
      <c r="D394" s="414" t="s">
        <v>839</v>
      </c>
      <c r="E394" s="185"/>
      <c r="F394" s="23">
        <v>154416</v>
      </c>
      <c r="G394" s="374"/>
      <c r="H394" s="374"/>
      <c r="I394" s="374"/>
      <c r="J394" s="374"/>
      <c r="K394" s="374"/>
      <c r="L394" s="375"/>
      <c r="M394" s="375"/>
      <c r="N394" s="375"/>
      <c r="O394" s="374"/>
      <c r="P394" s="374"/>
      <c r="Q394" s="119">
        <f t="shared" si="22"/>
        <v>0</v>
      </c>
      <c r="R394" s="388"/>
      <c r="W394" s="375"/>
    </row>
    <row r="395" spans="1:23" ht="12.75" customHeight="1" hidden="1">
      <c r="A395" s="391"/>
      <c r="B395" s="391"/>
      <c r="C395" s="182" t="s">
        <v>620</v>
      </c>
      <c r="D395" s="414" t="s">
        <v>840</v>
      </c>
      <c r="E395" s="185"/>
      <c r="F395" s="23">
        <v>154417</v>
      </c>
      <c r="G395" s="374"/>
      <c r="H395" s="374"/>
      <c r="I395" s="374"/>
      <c r="J395" s="374"/>
      <c r="K395" s="374"/>
      <c r="L395" s="375"/>
      <c r="M395" s="375"/>
      <c r="N395" s="375"/>
      <c r="O395" s="374"/>
      <c r="P395" s="374"/>
      <c r="Q395" s="119">
        <f t="shared" si="22"/>
        <v>0</v>
      </c>
      <c r="R395" s="388"/>
      <c r="W395" s="375"/>
    </row>
    <row r="396" spans="1:23" ht="21" customHeight="1" hidden="1">
      <c r="A396" s="391"/>
      <c r="B396" s="391"/>
      <c r="C396" s="182" t="s">
        <v>621</v>
      </c>
      <c r="D396" s="414" t="s">
        <v>841</v>
      </c>
      <c r="E396" s="185"/>
      <c r="F396" s="23">
        <v>154418</v>
      </c>
      <c r="G396" s="374"/>
      <c r="H396" s="374"/>
      <c r="I396" s="374"/>
      <c r="J396" s="374"/>
      <c r="K396" s="374"/>
      <c r="L396" s="375"/>
      <c r="M396" s="375"/>
      <c r="N396" s="375"/>
      <c r="O396" s="374"/>
      <c r="P396" s="374"/>
      <c r="Q396" s="119">
        <f t="shared" si="22"/>
        <v>0</v>
      </c>
      <c r="R396" s="388"/>
      <c r="W396" s="375"/>
    </row>
    <row r="397" spans="1:23" ht="12.75" customHeight="1" hidden="1">
      <c r="A397" s="391"/>
      <c r="B397" s="391"/>
      <c r="C397" s="182" t="s">
        <v>622</v>
      </c>
      <c r="D397" s="414" t="s">
        <v>842</v>
      </c>
      <c r="E397" s="185"/>
      <c r="F397" s="23">
        <v>155410</v>
      </c>
      <c r="G397" s="374"/>
      <c r="H397" s="374"/>
      <c r="I397" s="374"/>
      <c r="J397" s="374"/>
      <c r="K397" s="374"/>
      <c r="L397" s="375"/>
      <c r="M397" s="375"/>
      <c r="N397" s="375"/>
      <c r="O397" s="374"/>
      <c r="P397" s="374"/>
      <c r="Q397" s="119">
        <f t="shared" si="22"/>
        <v>0</v>
      </c>
      <c r="R397" s="388"/>
      <c r="W397" s="375"/>
    </row>
    <row r="398" spans="1:23" ht="12.75" customHeight="1">
      <c r="A398" s="391"/>
      <c r="B398" s="391"/>
      <c r="C398" s="182" t="s">
        <v>566</v>
      </c>
      <c r="D398" s="414" t="s">
        <v>843</v>
      </c>
      <c r="E398" s="185"/>
      <c r="F398" s="23">
        <v>154419</v>
      </c>
      <c r="G398" s="374"/>
      <c r="H398" s="374"/>
      <c r="I398" s="374"/>
      <c r="J398" s="374"/>
      <c r="K398" s="374"/>
      <c r="L398" s="375"/>
      <c r="M398" s="375">
        <v>-3000</v>
      </c>
      <c r="N398" s="375"/>
      <c r="O398" s="374"/>
      <c r="P398" s="374"/>
      <c r="Q398" s="119">
        <f t="shared" si="22"/>
        <v>-3000</v>
      </c>
      <c r="R398" s="388" t="s">
        <v>658</v>
      </c>
      <c r="W398" s="375"/>
    </row>
    <row r="399" spans="1:23" ht="12.75" customHeight="1" hidden="1">
      <c r="A399" s="391"/>
      <c r="B399" s="391"/>
      <c r="C399" s="182" t="s">
        <v>569</v>
      </c>
      <c r="D399" s="414" t="s">
        <v>844</v>
      </c>
      <c r="E399" s="185"/>
      <c r="F399" s="23">
        <v>155416</v>
      </c>
      <c r="G399" s="374"/>
      <c r="H399" s="374"/>
      <c r="I399" s="374"/>
      <c r="J399" s="374"/>
      <c r="K399" s="374"/>
      <c r="L399" s="375"/>
      <c r="M399" s="375"/>
      <c r="N399" s="375"/>
      <c r="O399" s="374"/>
      <c r="P399" s="374"/>
      <c r="Q399" s="119">
        <f t="shared" si="22"/>
        <v>0</v>
      </c>
      <c r="R399" s="388"/>
      <c r="W399" s="375"/>
    </row>
    <row r="400" spans="1:23" ht="12.75" customHeight="1">
      <c r="A400" s="391"/>
      <c r="B400" s="391"/>
      <c r="C400" s="182" t="s">
        <v>570</v>
      </c>
      <c r="D400" s="414" t="s">
        <v>845</v>
      </c>
      <c r="E400" s="185"/>
      <c r="F400" s="23">
        <v>154420</v>
      </c>
      <c r="G400" s="374"/>
      <c r="H400" s="374"/>
      <c r="I400" s="374"/>
      <c r="J400" s="374"/>
      <c r="K400" s="374"/>
      <c r="L400" s="375"/>
      <c r="M400" s="375">
        <v>-497</v>
      </c>
      <c r="N400" s="375"/>
      <c r="O400" s="374"/>
      <c r="P400" s="374"/>
      <c r="Q400" s="119">
        <f t="shared" si="22"/>
        <v>-497</v>
      </c>
      <c r="R400" s="388" t="s">
        <v>658</v>
      </c>
      <c r="W400" s="375"/>
    </row>
    <row r="401" spans="1:23" ht="12.75" customHeight="1">
      <c r="A401" s="391"/>
      <c r="B401" s="391"/>
      <c r="C401" s="182" t="s">
        <v>571</v>
      </c>
      <c r="D401" s="413" t="s">
        <v>846</v>
      </c>
      <c r="E401" s="185"/>
      <c r="F401" s="23">
        <v>155436</v>
      </c>
      <c r="G401" s="374"/>
      <c r="H401" s="374"/>
      <c r="I401" s="374"/>
      <c r="J401" s="374"/>
      <c r="K401" s="374"/>
      <c r="L401" s="375"/>
      <c r="M401" s="375">
        <v>667</v>
      </c>
      <c r="N401" s="375"/>
      <c r="O401" s="374"/>
      <c r="P401" s="374"/>
      <c r="Q401" s="119">
        <f t="shared" si="22"/>
        <v>667</v>
      </c>
      <c r="R401" s="388" t="s">
        <v>658</v>
      </c>
      <c r="W401" s="415"/>
    </row>
    <row r="402" spans="1:23" ht="21.75" customHeight="1" hidden="1">
      <c r="A402" s="391"/>
      <c r="B402" s="391"/>
      <c r="C402" s="182" t="s">
        <v>572</v>
      </c>
      <c r="D402" s="410" t="s">
        <v>847</v>
      </c>
      <c r="E402" s="185"/>
      <c r="F402" s="23">
        <v>154421</v>
      </c>
      <c r="G402" s="374"/>
      <c r="H402" s="374"/>
      <c r="I402" s="374"/>
      <c r="J402" s="374"/>
      <c r="K402" s="374"/>
      <c r="L402" s="375"/>
      <c r="M402" s="375"/>
      <c r="N402" s="375"/>
      <c r="O402" s="374"/>
      <c r="P402" s="374"/>
      <c r="Q402" s="119">
        <f t="shared" si="22"/>
        <v>0</v>
      </c>
      <c r="R402" s="388"/>
      <c r="W402" s="415"/>
    </row>
    <row r="403" spans="1:23" ht="12.75" customHeight="1">
      <c r="A403" s="391"/>
      <c r="B403" s="391"/>
      <c r="C403" s="182" t="s">
        <v>573</v>
      </c>
      <c r="D403" s="410" t="s">
        <v>848</v>
      </c>
      <c r="E403" s="185"/>
      <c r="F403" s="23">
        <v>154476</v>
      </c>
      <c r="G403" s="374"/>
      <c r="H403" s="374"/>
      <c r="I403" s="374"/>
      <c r="J403" s="374"/>
      <c r="K403" s="374"/>
      <c r="L403" s="375"/>
      <c r="M403" s="375">
        <v>2764</v>
      </c>
      <c r="N403" s="375"/>
      <c r="O403" s="374"/>
      <c r="P403" s="374"/>
      <c r="Q403" s="119">
        <f t="shared" si="22"/>
        <v>2764</v>
      </c>
      <c r="R403" s="388" t="s">
        <v>658</v>
      </c>
      <c r="W403" s="415"/>
    </row>
    <row r="404" spans="1:23" ht="21.75" customHeight="1" hidden="1">
      <c r="A404" s="391"/>
      <c r="B404" s="391"/>
      <c r="C404" s="182" t="s">
        <v>574</v>
      </c>
      <c r="D404" s="414" t="s">
        <v>849</v>
      </c>
      <c r="E404" s="185"/>
      <c r="F404" s="23">
        <v>154422</v>
      </c>
      <c r="G404" s="374"/>
      <c r="H404" s="374"/>
      <c r="I404" s="374"/>
      <c r="J404" s="374"/>
      <c r="K404" s="374"/>
      <c r="L404" s="375"/>
      <c r="M404" s="375"/>
      <c r="N404" s="375"/>
      <c r="O404" s="374"/>
      <c r="P404" s="374"/>
      <c r="Q404" s="119">
        <f t="shared" si="22"/>
        <v>0</v>
      </c>
      <c r="R404" s="388"/>
      <c r="W404" s="415"/>
    </row>
    <row r="405" spans="1:23" ht="12.75" customHeight="1" hidden="1">
      <c r="A405" s="391"/>
      <c r="B405" s="391"/>
      <c r="C405" s="182" t="s">
        <v>575</v>
      </c>
      <c r="D405" s="414" t="s">
        <v>850</v>
      </c>
      <c r="E405" s="185"/>
      <c r="F405" s="23">
        <v>155420</v>
      </c>
      <c r="G405" s="374"/>
      <c r="H405" s="374"/>
      <c r="I405" s="374"/>
      <c r="J405" s="374"/>
      <c r="K405" s="374"/>
      <c r="L405" s="375"/>
      <c r="M405" s="375"/>
      <c r="N405" s="375"/>
      <c r="O405" s="374"/>
      <c r="P405" s="374"/>
      <c r="Q405" s="119">
        <f t="shared" si="22"/>
        <v>0</v>
      </c>
      <c r="R405" s="388"/>
      <c r="W405" s="415"/>
    </row>
    <row r="406" spans="1:23" ht="12.75" customHeight="1">
      <c r="A406" s="391"/>
      <c r="B406" s="391"/>
      <c r="C406" s="182" t="s">
        <v>576</v>
      </c>
      <c r="D406" s="414" t="s">
        <v>851</v>
      </c>
      <c r="E406" s="185"/>
      <c r="F406" s="23">
        <v>155428</v>
      </c>
      <c r="G406" s="374"/>
      <c r="H406" s="374"/>
      <c r="I406" s="374"/>
      <c r="J406" s="374"/>
      <c r="K406" s="374"/>
      <c r="L406" s="375"/>
      <c r="M406" s="375">
        <v>-1800</v>
      </c>
      <c r="N406" s="375"/>
      <c r="O406" s="374"/>
      <c r="P406" s="374"/>
      <c r="Q406" s="119">
        <f t="shared" si="22"/>
        <v>-1800</v>
      </c>
      <c r="R406" s="388" t="s">
        <v>658</v>
      </c>
      <c r="W406" s="415"/>
    </row>
    <row r="407" spans="1:23" ht="21" customHeight="1">
      <c r="A407" s="391"/>
      <c r="B407" s="391"/>
      <c r="C407" s="182" t="s">
        <v>577</v>
      </c>
      <c r="D407" s="414" t="s">
        <v>852</v>
      </c>
      <c r="E407" s="185"/>
      <c r="F407" s="23">
        <v>155432</v>
      </c>
      <c r="G407" s="374"/>
      <c r="H407" s="374"/>
      <c r="I407" s="374"/>
      <c r="J407" s="374"/>
      <c r="K407" s="374"/>
      <c r="L407" s="375"/>
      <c r="M407" s="375">
        <v>1969</v>
      </c>
      <c r="N407" s="375"/>
      <c r="O407" s="374"/>
      <c r="P407" s="374"/>
      <c r="Q407" s="119">
        <f t="shared" si="22"/>
        <v>1969</v>
      </c>
      <c r="R407" s="388" t="s">
        <v>147</v>
      </c>
      <c r="W407" s="415"/>
    </row>
    <row r="408" spans="1:23" ht="12.75" customHeight="1" hidden="1">
      <c r="A408" s="391"/>
      <c r="B408" s="391"/>
      <c r="C408" s="182" t="s">
        <v>578</v>
      </c>
      <c r="D408" s="414" t="s">
        <v>853</v>
      </c>
      <c r="E408" s="185"/>
      <c r="F408" s="23">
        <v>155435</v>
      </c>
      <c r="G408" s="374"/>
      <c r="H408" s="374"/>
      <c r="I408" s="374"/>
      <c r="J408" s="374"/>
      <c r="K408" s="374"/>
      <c r="L408" s="375"/>
      <c r="M408" s="375"/>
      <c r="N408" s="375"/>
      <c r="O408" s="374"/>
      <c r="P408" s="374"/>
      <c r="Q408" s="119">
        <f t="shared" si="22"/>
        <v>0</v>
      </c>
      <c r="R408" s="388"/>
      <c r="W408" s="415"/>
    </row>
    <row r="409" spans="1:23" ht="20.25" customHeight="1" hidden="1">
      <c r="A409" s="391"/>
      <c r="B409" s="391"/>
      <c r="C409" s="182" t="s">
        <v>579</v>
      </c>
      <c r="D409" s="414" t="s">
        <v>854</v>
      </c>
      <c r="E409" s="185"/>
      <c r="F409" s="23">
        <v>154423</v>
      </c>
      <c r="G409" s="374"/>
      <c r="H409" s="374"/>
      <c r="I409" s="374"/>
      <c r="J409" s="374"/>
      <c r="K409" s="374"/>
      <c r="L409" s="375"/>
      <c r="M409" s="375"/>
      <c r="N409" s="375"/>
      <c r="O409" s="374"/>
      <c r="P409" s="374"/>
      <c r="Q409" s="119">
        <f t="shared" si="22"/>
        <v>0</v>
      </c>
      <c r="R409" s="388"/>
      <c r="W409" s="415"/>
    </row>
    <row r="410" spans="1:23" ht="12.75" customHeight="1">
      <c r="A410" s="391"/>
      <c r="B410" s="391"/>
      <c r="C410" s="182" t="s">
        <v>580</v>
      </c>
      <c r="D410" s="414" t="s">
        <v>855</v>
      </c>
      <c r="E410" s="185"/>
      <c r="F410" s="23">
        <v>154424</v>
      </c>
      <c r="G410" s="374"/>
      <c r="H410" s="374"/>
      <c r="I410" s="374"/>
      <c r="J410" s="374"/>
      <c r="K410" s="374"/>
      <c r="L410" s="375"/>
      <c r="M410" s="375">
        <v>97</v>
      </c>
      <c r="N410" s="375"/>
      <c r="O410" s="374"/>
      <c r="P410" s="374"/>
      <c r="Q410" s="119">
        <f t="shared" si="22"/>
        <v>97</v>
      </c>
      <c r="R410" s="388" t="s">
        <v>658</v>
      </c>
      <c r="W410" s="415"/>
    </row>
    <row r="411" spans="1:23" ht="21" customHeight="1">
      <c r="A411" s="391"/>
      <c r="B411" s="391"/>
      <c r="C411" s="182" t="s">
        <v>581</v>
      </c>
      <c r="D411" s="414" t="s">
        <v>856</v>
      </c>
      <c r="E411" s="185"/>
      <c r="F411" s="23">
        <v>154425</v>
      </c>
      <c r="G411" s="374"/>
      <c r="H411" s="374"/>
      <c r="I411" s="374"/>
      <c r="J411" s="374"/>
      <c r="K411" s="374"/>
      <c r="L411" s="375"/>
      <c r="M411" s="375">
        <v>-1500</v>
      </c>
      <c r="N411" s="375"/>
      <c r="O411" s="374"/>
      <c r="P411" s="374"/>
      <c r="Q411" s="119">
        <f t="shared" si="22"/>
        <v>-1500</v>
      </c>
      <c r="R411" s="388" t="s">
        <v>658</v>
      </c>
      <c r="W411" s="415"/>
    </row>
    <row r="412" spans="1:23" ht="12.75" customHeight="1" hidden="1">
      <c r="A412" s="391"/>
      <c r="B412" s="391"/>
      <c r="C412" s="182" t="s">
        <v>582</v>
      </c>
      <c r="D412" s="414" t="s">
        <v>857</v>
      </c>
      <c r="E412" s="185"/>
      <c r="F412" s="23">
        <v>154426</v>
      </c>
      <c r="G412" s="374"/>
      <c r="H412" s="374"/>
      <c r="I412" s="374"/>
      <c r="J412" s="374"/>
      <c r="K412" s="374"/>
      <c r="L412" s="375"/>
      <c r="M412" s="375"/>
      <c r="N412" s="375"/>
      <c r="O412" s="374"/>
      <c r="P412" s="374"/>
      <c r="Q412" s="119">
        <f t="shared" si="22"/>
        <v>0</v>
      </c>
      <c r="R412" s="388"/>
      <c r="W412" s="415"/>
    </row>
    <row r="413" spans="1:23" ht="12.75" customHeight="1" hidden="1">
      <c r="A413" s="391"/>
      <c r="B413" s="391"/>
      <c r="C413" s="182" t="s">
        <v>583</v>
      </c>
      <c r="D413" s="414" t="s">
        <v>858</v>
      </c>
      <c r="E413" s="185"/>
      <c r="F413" s="23">
        <v>154427</v>
      </c>
      <c r="G413" s="374"/>
      <c r="H413" s="374"/>
      <c r="I413" s="374"/>
      <c r="J413" s="374"/>
      <c r="K413" s="374"/>
      <c r="L413" s="375"/>
      <c r="M413" s="375"/>
      <c r="N413" s="375"/>
      <c r="O413" s="374"/>
      <c r="P413" s="374"/>
      <c r="Q413" s="119">
        <f t="shared" si="22"/>
        <v>0</v>
      </c>
      <c r="R413" s="388"/>
      <c r="W413" s="415"/>
    </row>
    <row r="414" spans="1:23" ht="12.75" customHeight="1">
      <c r="A414" s="391"/>
      <c r="B414" s="391"/>
      <c r="C414" s="182" t="s">
        <v>1251</v>
      </c>
      <c r="D414" s="414" t="s">
        <v>859</v>
      </c>
      <c r="E414" s="185"/>
      <c r="F414" s="23">
        <v>154428</v>
      </c>
      <c r="G414" s="374"/>
      <c r="H414" s="374"/>
      <c r="I414" s="374"/>
      <c r="J414" s="374"/>
      <c r="K414" s="374"/>
      <c r="L414" s="375"/>
      <c r="M414" s="375">
        <v>-3</v>
      </c>
      <c r="N414" s="375"/>
      <c r="O414" s="374"/>
      <c r="P414" s="374"/>
      <c r="Q414" s="119">
        <f t="shared" si="22"/>
        <v>-3</v>
      </c>
      <c r="R414" s="388" t="s">
        <v>658</v>
      </c>
      <c r="W414" s="415"/>
    </row>
    <row r="415" spans="1:23" ht="24.75" customHeight="1" hidden="1">
      <c r="A415" s="391"/>
      <c r="B415" s="391"/>
      <c r="C415" s="650" t="s">
        <v>15</v>
      </c>
      <c r="D415" s="682" t="s">
        <v>16</v>
      </c>
      <c r="E415" s="185"/>
      <c r="F415" s="13">
        <v>152447</v>
      </c>
      <c r="G415" s="374"/>
      <c r="H415" s="374"/>
      <c r="I415" s="374"/>
      <c r="J415" s="374"/>
      <c r="K415" s="374"/>
      <c r="L415" s="375"/>
      <c r="M415" s="375"/>
      <c r="N415" s="375"/>
      <c r="O415" s="374"/>
      <c r="P415" s="374"/>
      <c r="Q415" s="119">
        <f t="shared" si="22"/>
        <v>0</v>
      </c>
      <c r="R415" s="388"/>
      <c r="W415" s="415"/>
    </row>
    <row r="416" spans="1:23" ht="12.75" customHeight="1" hidden="1">
      <c r="A416" s="391"/>
      <c r="B416" s="391"/>
      <c r="C416" s="650" t="s">
        <v>17</v>
      </c>
      <c r="D416" s="682" t="s">
        <v>18</v>
      </c>
      <c r="E416" s="185"/>
      <c r="F416" s="13">
        <v>152448</v>
      </c>
      <c r="G416" s="374"/>
      <c r="H416" s="374"/>
      <c r="I416" s="374"/>
      <c r="J416" s="374"/>
      <c r="K416" s="374"/>
      <c r="L416" s="375"/>
      <c r="M416" s="375"/>
      <c r="N416" s="375"/>
      <c r="O416" s="374"/>
      <c r="P416" s="374"/>
      <c r="Q416" s="119">
        <f t="shared" si="22"/>
        <v>0</v>
      </c>
      <c r="R416" s="388"/>
      <c r="W416" s="415"/>
    </row>
    <row r="417" spans="1:23" ht="12.75" customHeight="1" hidden="1">
      <c r="A417" s="391"/>
      <c r="B417" s="391"/>
      <c r="C417" s="650" t="s">
        <v>20</v>
      </c>
      <c r="D417" s="682" t="s">
        <v>19</v>
      </c>
      <c r="E417" s="185"/>
      <c r="F417" s="13">
        <v>152449</v>
      </c>
      <c r="G417" s="374"/>
      <c r="H417" s="374"/>
      <c r="I417" s="374"/>
      <c r="J417" s="374"/>
      <c r="K417" s="374"/>
      <c r="L417" s="375"/>
      <c r="M417" s="375"/>
      <c r="N417" s="375"/>
      <c r="O417" s="374"/>
      <c r="P417" s="374"/>
      <c r="Q417" s="119">
        <f t="shared" si="22"/>
        <v>0</v>
      </c>
      <c r="R417" s="388"/>
      <c r="W417" s="415"/>
    </row>
    <row r="418" spans="1:23" ht="12.75" customHeight="1" hidden="1">
      <c r="A418" s="391"/>
      <c r="B418" s="391"/>
      <c r="C418" s="650" t="s">
        <v>441</v>
      </c>
      <c r="D418" s="682" t="s">
        <v>443</v>
      </c>
      <c r="E418" s="185"/>
      <c r="F418" s="13">
        <v>154429</v>
      </c>
      <c r="G418" s="374"/>
      <c r="H418" s="374"/>
      <c r="I418" s="374"/>
      <c r="J418" s="374"/>
      <c r="K418" s="374"/>
      <c r="L418" s="375"/>
      <c r="M418" s="375"/>
      <c r="N418" s="375"/>
      <c r="O418" s="374"/>
      <c r="P418" s="374"/>
      <c r="Q418" s="119">
        <f t="shared" si="22"/>
        <v>0</v>
      </c>
      <c r="R418" s="388"/>
      <c r="W418" s="415"/>
    </row>
    <row r="419" spans="1:23" ht="12.75" customHeight="1" hidden="1">
      <c r="A419" s="391"/>
      <c r="B419" s="391"/>
      <c r="C419" s="650" t="s">
        <v>442</v>
      </c>
      <c r="D419" s="682" t="s">
        <v>1291</v>
      </c>
      <c r="E419" s="185"/>
      <c r="F419" s="13">
        <v>154477</v>
      </c>
      <c r="G419" s="374"/>
      <c r="H419" s="374"/>
      <c r="I419" s="374"/>
      <c r="J419" s="374"/>
      <c r="K419" s="374"/>
      <c r="L419" s="375"/>
      <c r="M419" s="375"/>
      <c r="N419" s="375"/>
      <c r="O419" s="374"/>
      <c r="P419" s="374"/>
      <c r="Q419" s="119">
        <f t="shared" si="22"/>
        <v>0</v>
      </c>
      <c r="R419" s="388"/>
      <c r="W419" s="415"/>
    </row>
    <row r="420" spans="1:23" ht="12.75" customHeight="1">
      <c r="A420" s="391"/>
      <c r="B420" s="391"/>
      <c r="C420" s="650" t="s">
        <v>185</v>
      </c>
      <c r="D420" s="682" t="s">
        <v>186</v>
      </c>
      <c r="E420" s="14"/>
      <c r="F420" s="688">
        <v>154430</v>
      </c>
      <c r="G420" s="374"/>
      <c r="H420" s="374"/>
      <c r="I420" s="374"/>
      <c r="J420" s="374"/>
      <c r="K420" s="374"/>
      <c r="L420" s="375"/>
      <c r="M420" s="375">
        <v>1969</v>
      </c>
      <c r="N420" s="375"/>
      <c r="O420" s="374"/>
      <c r="P420" s="374"/>
      <c r="Q420" s="119">
        <f t="shared" si="22"/>
        <v>1969</v>
      </c>
      <c r="R420" s="388" t="s">
        <v>658</v>
      </c>
      <c r="W420" s="415"/>
    </row>
    <row r="421" spans="1:23" ht="12.75" customHeight="1">
      <c r="A421" s="391"/>
      <c r="B421" s="391"/>
      <c r="C421" s="650" t="s">
        <v>189</v>
      </c>
      <c r="D421" s="682" t="s">
        <v>190</v>
      </c>
      <c r="E421" s="185"/>
      <c r="F421" s="13">
        <v>155430</v>
      </c>
      <c r="G421" s="374"/>
      <c r="H421" s="374"/>
      <c r="I421" s="374"/>
      <c r="J421" s="374"/>
      <c r="K421" s="374"/>
      <c r="L421" s="375"/>
      <c r="M421" s="375">
        <v>1800</v>
      </c>
      <c r="N421" s="375"/>
      <c r="O421" s="374"/>
      <c r="P421" s="374"/>
      <c r="Q421" s="119">
        <f t="shared" si="22"/>
        <v>1800</v>
      </c>
      <c r="R421" s="388" t="s">
        <v>658</v>
      </c>
      <c r="W421" s="415"/>
    </row>
    <row r="422" spans="1:23" ht="12.75" customHeight="1">
      <c r="A422" s="391"/>
      <c r="B422" s="391"/>
      <c r="C422" s="650" t="s">
        <v>177</v>
      </c>
      <c r="D422" s="682" t="s">
        <v>178</v>
      </c>
      <c r="E422" s="185"/>
      <c r="F422" s="13">
        <v>154432</v>
      </c>
      <c r="G422" s="374"/>
      <c r="H422" s="374"/>
      <c r="I422" s="374"/>
      <c r="J422" s="374"/>
      <c r="K422" s="374"/>
      <c r="L422" s="375"/>
      <c r="M422" s="375">
        <v>463</v>
      </c>
      <c r="N422" s="375"/>
      <c r="O422" s="374"/>
      <c r="P422" s="374"/>
      <c r="Q422" s="119">
        <f t="shared" si="22"/>
        <v>463</v>
      </c>
      <c r="R422" s="388" t="s">
        <v>658</v>
      </c>
      <c r="W422" s="415"/>
    </row>
    <row r="423" spans="1:23" ht="12.75" customHeight="1">
      <c r="A423" s="391"/>
      <c r="B423" s="391"/>
      <c r="C423" s="650" t="s">
        <v>179</v>
      </c>
      <c r="D423" s="682" t="s">
        <v>180</v>
      </c>
      <c r="E423" s="14"/>
      <c r="F423" s="688">
        <v>154432</v>
      </c>
      <c r="G423" s="374"/>
      <c r="H423" s="374"/>
      <c r="I423" s="374"/>
      <c r="J423" s="374"/>
      <c r="K423" s="374"/>
      <c r="L423" s="375"/>
      <c r="M423" s="375">
        <v>1267</v>
      </c>
      <c r="N423" s="375"/>
      <c r="O423" s="374"/>
      <c r="P423" s="374"/>
      <c r="Q423" s="119">
        <f t="shared" si="22"/>
        <v>1267</v>
      </c>
      <c r="R423" s="388" t="s">
        <v>658</v>
      </c>
      <c r="W423" s="415"/>
    </row>
    <row r="424" spans="1:23" ht="12.75" customHeight="1">
      <c r="A424" s="391"/>
      <c r="B424" s="391"/>
      <c r="C424" s="650" t="s">
        <v>162</v>
      </c>
      <c r="D424" s="682" t="s">
        <v>163</v>
      </c>
      <c r="E424" s="185"/>
      <c r="F424" s="13">
        <v>152450</v>
      </c>
      <c r="G424" s="374"/>
      <c r="H424" s="374"/>
      <c r="I424" s="374"/>
      <c r="J424" s="374"/>
      <c r="K424" s="374"/>
      <c r="L424" s="375">
        <v>6469</v>
      </c>
      <c r="M424" s="375"/>
      <c r="N424" s="375"/>
      <c r="O424" s="374"/>
      <c r="P424" s="374"/>
      <c r="Q424" s="119">
        <f t="shared" si="22"/>
        <v>6469</v>
      </c>
      <c r="R424" s="388" t="s">
        <v>658</v>
      </c>
      <c r="W424" s="415"/>
    </row>
    <row r="425" spans="1:18" ht="12.75" customHeight="1">
      <c r="A425" s="391"/>
      <c r="B425" s="391"/>
      <c r="C425" s="391"/>
      <c r="D425" s="398" t="s">
        <v>198</v>
      </c>
      <c r="E425" s="185"/>
      <c r="F425" s="23"/>
      <c r="G425" s="374"/>
      <c r="H425" s="374"/>
      <c r="I425" s="374"/>
      <c r="J425" s="374"/>
      <c r="K425" s="374"/>
      <c r="L425" s="375"/>
      <c r="M425" s="375"/>
      <c r="N425" s="375"/>
      <c r="O425" s="374"/>
      <c r="P425" s="374"/>
      <c r="Q425" s="119"/>
      <c r="R425" s="388"/>
    </row>
    <row r="426" spans="1:18" ht="17.25" customHeight="1" hidden="1">
      <c r="A426" s="391"/>
      <c r="B426" s="391"/>
      <c r="C426" s="182" t="s">
        <v>537</v>
      </c>
      <c r="D426" s="416" t="s">
        <v>278</v>
      </c>
      <c r="E426" s="185"/>
      <c r="F426" s="23">
        <v>152406</v>
      </c>
      <c r="G426" s="374"/>
      <c r="H426" s="374"/>
      <c r="I426" s="375"/>
      <c r="J426" s="375"/>
      <c r="K426" s="375"/>
      <c r="L426" s="375"/>
      <c r="M426" s="375"/>
      <c r="N426" s="375"/>
      <c r="O426" s="374"/>
      <c r="P426" s="374"/>
      <c r="Q426" s="119">
        <f aca="true" t="shared" si="23" ref="Q426:Q442">SUM(G426:P426)</f>
        <v>0</v>
      </c>
      <c r="R426" s="388"/>
    </row>
    <row r="427" spans="1:18" ht="25.5" customHeight="1">
      <c r="A427" s="391"/>
      <c r="B427" s="391"/>
      <c r="C427" s="182" t="s">
        <v>538</v>
      </c>
      <c r="D427" s="416" t="s">
        <v>766</v>
      </c>
      <c r="E427" s="185"/>
      <c r="F427" s="23">
        <v>152405</v>
      </c>
      <c r="G427" s="374"/>
      <c r="H427" s="374"/>
      <c r="I427" s="375"/>
      <c r="J427" s="375"/>
      <c r="K427" s="375"/>
      <c r="L427" s="25">
        <v>617</v>
      </c>
      <c r="M427" s="375"/>
      <c r="N427" s="375"/>
      <c r="O427" s="374"/>
      <c r="P427" s="374"/>
      <c r="Q427" s="119">
        <f t="shared" si="23"/>
        <v>617</v>
      </c>
      <c r="R427" s="388" t="s">
        <v>658</v>
      </c>
    </row>
    <row r="428" spans="1:18" ht="12.75" customHeight="1" hidden="1">
      <c r="A428" s="391"/>
      <c r="B428" s="391"/>
      <c r="C428" s="182" t="s">
        <v>539</v>
      </c>
      <c r="D428" s="297" t="s">
        <v>793</v>
      </c>
      <c r="E428" s="185"/>
      <c r="F428" s="23">
        <v>152442</v>
      </c>
      <c r="G428" s="374"/>
      <c r="H428" s="374"/>
      <c r="I428" s="374"/>
      <c r="J428" s="374"/>
      <c r="K428" s="374"/>
      <c r="L428" s="388"/>
      <c r="M428" s="375"/>
      <c r="N428" s="375"/>
      <c r="O428" s="374"/>
      <c r="P428" s="374"/>
      <c r="Q428" s="119">
        <f t="shared" si="23"/>
        <v>0</v>
      </c>
      <c r="R428" s="388"/>
    </row>
    <row r="429" spans="1:18" ht="12.75" customHeight="1" hidden="1">
      <c r="A429" s="391"/>
      <c r="B429" s="391"/>
      <c r="C429" s="182" t="s">
        <v>540</v>
      </c>
      <c r="D429" s="297" t="s">
        <v>1056</v>
      </c>
      <c r="E429" s="185"/>
      <c r="F429" s="23">
        <v>152401</v>
      </c>
      <c r="G429" s="374"/>
      <c r="H429" s="374"/>
      <c r="I429" s="374"/>
      <c r="J429" s="374"/>
      <c r="K429" s="374"/>
      <c r="L429" s="388"/>
      <c r="M429" s="375"/>
      <c r="N429" s="375"/>
      <c r="O429" s="374"/>
      <c r="P429" s="374"/>
      <c r="Q429" s="119">
        <f t="shared" si="23"/>
        <v>0</v>
      </c>
      <c r="R429" s="388"/>
    </row>
    <row r="430" spans="1:18" ht="12.75" customHeight="1" hidden="1">
      <c r="A430" s="391"/>
      <c r="B430" s="391"/>
      <c r="C430" s="182" t="s">
        <v>541</v>
      </c>
      <c r="D430" s="297" t="s">
        <v>767</v>
      </c>
      <c r="E430" s="185"/>
      <c r="F430" s="23">
        <v>152431</v>
      </c>
      <c r="G430" s="374"/>
      <c r="H430" s="374"/>
      <c r="I430" s="374"/>
      <c r="J430" s="374"/>
      <c r="K430" s="374"/>
      <c r="L430" s="388"/>
      <c r="M430" s="375"/>
      <c r="N430" s="375"/>
      <c r="O430" s="374"/>
      <c r="P430" s="374"/>
      <c r="Q430" s="119">
        <f t="shared" si="23"/>
        <v>0</v>
      </c>
      <c r="R430" s="388"/>
    </row>
    <row r="431" spans="1:18" ht="12.75" customHeight="1" hidden="1">
      <c r="A431" s="391"/>
      <c r="B431" s="391"/>
      <c r="C431" s="182" t="s">
        <v>542</v>
      </c>
      <c r="D431" s="297" t="s">
        <v>1248</v>
      </c>
      <c r="E431" s="185"/>
      <c r="F431" s="23">
        <v>154463</v>
      </c>
      <c r="G431" s="374"/>
      <c r="H431" s="374"/>
      <c r="I431" s="374"/>
      <c r="J431" s="374"/>
      <c r="K431" s="374"/>
      <c r="L431" s="375"/>
      <c r="M431" s="375"/>
      <c r="N431" s="375"/>
      <c r="O431" s="374"/>
      <c r="P431" s="374"/>
      <c r="Q431" s="119">
        <f t="shared" si="23"/>
        <v>0</v>
      </c>
      <c r="R431" s="388"/>
    </row>
    <row r="432" spans="1:18" ht="12.75" customHeight="1" hidden="1">
      <c r="A432" s="391"/>
      <c r="B432" s="391"/>
      <c r="C432" s="182" t="s">
        <v>543</v>
      </c>
      <c r="D432" s="297" t="s">
        <v>1249</v>
      </c>
      <c r="E432" s="185"/>
      <c r="F432" s="23">
        <v>154482</v>
      </c>
      <c r="G432" s="374"/>
      <c r="H432" s="374"/>
      <c r="I432" s="374"/>
      <c r="J432" s="374"/>
      <c r="K432" s="374"/>
      <c r="L432" s="375"/>
      <c r="M432" s="375"/>
      <c r="N432" s="375"/>
      <c r="O432" s="374"/>
      <c r="P432" s="374"/>
      <c r="Q432" s="119">
        <f t="shared" si="23"/>
        <v>0</v>
      </c>
      <c r="R432" s="388"/>
    </row>
    <row r="433" spans="1:18" ht="12.75" customHeight="1" hidden="1">
      <c r="A433" s="391"/>
      <c r="B433" s="391"/>
      <c r="C433" s="182" t="s">
        <v>860</v>
      </c>
      <c r="D433" s="297" t="s">
        <v>695</v>
      </c>
      <c r="E433" s="185"/>
      <c r="F433" s="23">
        <v>154420</v>
      </c>
      <c r="G433" s="374"/>
      <c r="H433" s="374"/>
      <c r="I433" s="374"/>
      <c r="J433" s="374"/>
      <c r="K433" s="374"/>
      <c r="L433" s="375"/>
      <c r="M433" s="375"/>
      <c r="N433" s="375"/>
      <c r="O433" s="374"/>
      <c r="P433" s="374"/>
      <c r="Q433" s="119">
        <f t="shared" si="23"/>
        <v>0</v>
      </c>
      <c r="R433" s="388"/>
    </row>
    <row r="434" spans="1:18" ht="12.75" customHeight="1" hidden="1">
      <c r="A434" s="391"/>
      <c r="B434" s="391"/>
      <c r="C434" s="182" t="s">
        <v>861</v>
      </c>
      <c r="D434" s="297" t="s">
        <v>1252</v>
      </c>
      <c r="E434" s="185"/>
      <c r="F434" s="23">
        <v>155423</v>
      </c>
      <c r="G434" s="374"/>
      <c r="H434" s="374"/>
      <c r="I434" s="374"/>
      <c r="J434" s="374"/>
      <c r="K434" s="374"/>
      <c r="L434" s="375"/>
      <c r="M434" s="375"/>
      <c r="N434" s="375"/>
      <c r="O434" s="374"/>
      <c r="P434" s="374"/>
      <c r="Q434" s="119">
        <f t="shared" si="23"/>
        <v>0</v>
      </c>
      <c r="R434" s="388"/>
    </row>
    <row r="435" spans="1:18" ht="12.75" customHeight="1" hidden="1">
      <c r="A435" s="391"/>
      <c r="B435" s="391"/>
      <c r="C435" s="182" t="s">
        <v>862</v>
      </c>
      <c r="D435" s="297" t="s">
        <v>1253</v>
      </c>
      <c r="E435" s="185"/>
      <c r="F435" s="23">
        <v>155425</v>
      </c>
      <c r="G435" s="374"/>
      <c r="H435" s="374"/>
      <c r="I435" s="374"/>
      <c r="J435" s="374"/>
      <c r="K435" s="374"/>
      <c r="L435" s="375"/>
      <c r="M435" s="375"/>
      <c r="N435" s="375"/>
      <c r="O435" s="374"/>
      <c r="P435" s="374"/>
      <c r="Q435" s="119">
        <f t="shared" si="23"/>
        <v>0</v>
      </c>
      <c r="R435" s="388"/>
    </row>
    <row r="436" spans="1:18" ht="23.25" customHeight="1" hidden="1">
      <c r="A436" s="391"/>
      <c r="B436" s="391"/>
      <c r="C436" s="182" t="s">
        <v>863</v>
      </c>
      <c r="D436" s="417" t="s">
        <v>1261</v>
      </c>
      <c r="E436" s="185"/>
      <c r="F436" s="23">
        <v>155431</v>
      </c>
      <c r="G436" s="374"/>
      <c r="H436" s="374"/>
      <c r="I436" s="374"/>
      <c r="J436" s="374"/>
      <c r="K436" s="374"/>
      <c r="L436" s="375"/>
      <c r="M436" s="375"/>
      <c r="N436" s="375"/>
      <c r="O436" s="374"/>
      <c r="P436" s="374"/>
      <c r="Q436" s="119">
        <f t="shared" si="23"/>
        <v>0</v>
      </c>
      <c r="R436" s="388"/>
    </row>
    <row r="437" spans="1:18" ht="25.5" customHeight="1">
      <c r="A437" s="391"/>
      <c r="B437" s="391"/>
      <c r="C437" s="182" t="s">
        <v>864</v>
      </c>
      <c r="D437" s="418" t="s">
        <v>865</v>
      </c>
      <c r="E437" s="185"/>
      <c r="F437" s="23">
        <v>155432</v>
      </c>
      <c r="G437" s="374"/>
      <c r="H437" s="374"/>
      <c r="I437" s="374"/>
      <c r="J437" s="374"/>
      <c r="K437" s="374"/>
      <c r="L437" s="375"/>
      <c r="M437" s="375">
        <v>-1969</v>
      </c>
      <c r="N437" s="375"/>
      <c r="O437" s="374"/>
      <c r="P437" s="374"/>
      <c r="Q437" s="119">
        <f t="shared" si="23"/>
        <v>-1969</v>
      </c>
      <c r="R437" s="388" t="s">
        <v>147</v>
      </c>
    </row>
    <row r="438" spans="1:18" ht="12.75" customHeight="1">
      <c r="A438" s="391"/>
      <c r="B438" s="391"/>
      <c r="C438" s="182" t="s">
        <v>866</v>
      </c>
      <c r="D438" s="419" t="s">
        <v>1262</v>
      </c>
      <c r="E438" s="185"/>
      <c r="F438" s="23">
        <v>155433</v>
      </c>
      <c r="G438" s="374"/>
      <c r="H438" s="374"/>
      <c r="I438" s="374"/>
      <c r="J438" s="374"/>
      <c r="K438" s="374"/>
      <c r="L438" s="375"/>
      <c r="M438" s="375">
        <v>-1330</v>
      </c>
      <c r="N438" s="375"/>
      <c r="O438" s="374"/>
      <c r="P438" s="374"/>
      <c r="Q438" s="119">
        <f t="shared" si="23"/>
        <v>-1330</v>
      </c>
      <c r="R438" s="388" t="s">
        <v>658</v>
      </c>
    </row>
    <row r="439" spans="1:18" ht="12.75" customHeight="1" hidden="1">
      <c r="A439" s="391"/>
      <c r="B439" s="391"/>
      <c r="C439" s="182" t="s">
        <v>867</v>
      </c>
      <c r="D439" s="297" t="s">
        <v>868</v>
      </c>
      <c r="E439" s="185"/>
      <c r="F439" s="23">
        <v>154500</v>
      </c>
      <c r="G439" s="374"/>
      <c r="H439" s="374"/>
      <c r="I439" s="374"/>
      <c r="J439" s="374"/>
      <c r="K439" s="374"/>
      <c r="L439" s="375"/>
      <c r="M439" s="375"/>
      <c r="N439" s="375"/>
      <c r="O439" s="374"/>
      <c r="P439" s="374"/>
      <c r="Q439" s="119">
        <f t="shared" si="23"/>
        <v>0</v>
      </c>
      <c r="R439" s="388"/>
    </row>
    <row r="440" spans="1:18" ht="12.75" customHeight="1" hidden="1">
      <c r="A440" s="391"/>
      <c r="B440" s="391"/>
      <c r="C440" s="182" t="s">
        <v>869</v>
      </c>
      <c r="D440" s="200" t="s">
        <v>766</v>
      </c>
      <c r="E440" s="185"/>
      <c r="F440" s="23">
        <v>152405</v>
      </c>
      <c r="G440" s="374"/>
      <c r="H440" s="374"/>
      <c r="I440" s="374"/>
      <c r="J440" s="374"/>
      <c r="K440" s="374"/>
      <c r="L440" s="375"/>
      <c r="M440" s="375"/>
      <c r="N440" s="375"/>
      <c r="O440" s="374"/>
      <c r="P440" s="374"/>
      <c r="Q440" s="119">
        <f t="shared" si="23"/>
        <v>0</v>
      </c>
      <c r="R440" s="388"/>
    </row>
    <row r="441" spans="1:18" ht="12.75" customHeight="1" hidden="1">
      <c r="A441" s="391"/>
      <c r="B441" s="391"/>
      <c r="C441" s="680" t="s">
        <v>22</v>
      </c>
      <c r="D441" s="188" t="s">
        <v>23</v>
      </c>
      <c r="E441" s="185"/>
      <c r="F441" s="23">
        <v>152922</v>
      </c>
      <c r="G441" s="374"/>
      <c r="H441" s="374"/>
      <c r="I441" s="374"/>
      <c r="J441" s="374"/>
      <c r="K441" s="374"/>
      <c r="L441" s="375"/>
      <c r="M441" s="375"/>
      <c r="N441" s="375"/>
      <c r="O441" s="374"/>
      <c r="P441" s="374"/>
      <c r="Q441" s="119">
        <f t="shared" si="23"/>
        <v>0</v>
      </c>
      <c r="R441" s="388"/>
    </row>
    <row r="442" spans="1:18" ht="12.75" customHeight="1" hidden="1">
      <c r="A442" s="391"/>
      <c r="B442" s="391"/>
      <c r="C442" s="680" t="s">
        <v>24</v>
      </c>
      <c r="D442" s="188" t="s">
        <v>25</v>
      </c>
      <c r="E442" s="185"/>
      <c r="F442" s="13">
        <v>155421</v>
      </c>
      <c r="G442" s="374"/>
      <c r="H442" s="374"/>
      <c r="I442" s="374"/>
      <c r="J442" s="374"/>
      <c r="K442" s="374"/>
      <c r="L442" s="375"/>
      <c r="M442" s="375"/>
      <c r="N442" s="375"/>
      <c r="O442" s="374"/>
      <c r="P442" s="374"/>
      <c r="Q442" s="119">
        <f t="shared" si="23"/>
        <v>0</v>
      </c>
      <c r="R442" s="388"/>
    </row>
    <row r="443" spans="1:18" ht="12.75" customHeight="1">
      <c r="A443" s="391"/>
      <c r="B443" s="391"/>
      <c r="C443" s="391" t="s">
        <v>630</v>
      </c>
      <c r="D443" s="402" t="s">
        <v>564</v>
      </c>
      <c r="E443" s="185"/>
      <c r="F443" s="23"/>
      <c r="G443" s="374"/>
      <c r="H443" s="374"/>
      <c r="I443" s="374"/>
      <c r="J443" s="374"/>
      <c r="K443" s="374"/>
      <c r="L443" s="375"/>
      <c r="M443" s="375"/>
      <c r="N443" s="375"/>
      <c r="O443" s="374"/>
      <c r="P443" s="374"/>
      <c r="Q443" s="119"/>
      <c r="R443" s="388"/>
    </row>
    <row r="444" spans="1:18" ht="12.75" customHeight="1" hidden="1">
      <c r="A444" s="391"/>
      <c r="B444" s="391"/>
      <c r="C444" s="182" t="s">
        <v>669</v>
      </c>
      <c r="D444" s="398" t="s">
        <v>787</v>
      </c>
      <c r="E444" s="185"/>
      <c r="F444" s="23">
        <v>152908</v>
      </c>
      <c r="G444" s="374"/>
      <c r="H444" s="374"/>
      <c r="I444" s="374"/>
      <c r="J444" s="374"/>
      <c r="K444" s="374"/>
      <c r="L444" s="375"/>
      <c r="M444" s="375"/>
      <c r="N444" s="375"/>
      <c r="O444" s="374"/>
      <c r="P444" s="374"/>
      <c r="Q444" s="119">
        <f aca="true" t="shared" si="24" ref="Q444:Q469">SUM(G444:P444)</f>
        <v>0</v>
      </c>
      <c r="R444" s="388"/>
    </row>
    <row r="445" spans="1:23" ht="12.75" customHeight="1" hidden="1">
      <c r="A445" s="391"/>
      <c r="B445" s="391"/>
      <c r="C445" s="182" t="s">
        <v>670</v>
      </c>
      <c r="D445" s="413" t="s">
        <v>870</v>
      </c>
      <c r="E445" s="185"/>
      <c r="F445" s="23">
        <v>162921</v>
      </c>
      <c r="G445" s="374"/>
      <c r="H445" s="374"/>
      <c r="I445" s="374"/>
      <c r="J445" s="374"/>
      <c r="K445" s="374"/>
      <c r="L445" s="375"/>
      <c r="M445" s="375"/>
      <c r="N445" s="375"/>
      <c r="O445" s="374"/>
      <c r="P445" s="374"/>
      <c r="Q445" s="119">
        <f t="shared" si="24"/>
        <v>0</v>
      </c>
      <c r="R445" s="388"/>
      <c r="W445" s="375"/>
    </row>
    <row r="446" spans="1:23" ht="12.75" customHeight="1" hidden="1">
      <c r="A446" s="391"/>
      <c r="B446" s="391"/>
      <c r="C446" s="182" t="s">
        <v>671</v>
      </c>
      <c r="D446" s="413" t="s">
        <v>871</v>
      </c>
      <c r="E446" s="185"/>
      <c r="F446" s="23">
        <v>152924</v>
      </c>
      <c r="G446" s="374"/>
      <c r="H446" s="374"/>
      <c r="I446" s="374"/>
      <c r="J446" s="374"/>
      <c r="K446" s="374"/>
      <c r="L446" s="375"/>
      <c r="M446" s="375"/>
      <c r="N446" s="375"/>
      <c r="O446" s="374"/>
      <c r="P446" s="374"/>
      <c r="Q446" s="119">
        <f t="shared" si="24"/>
        <v>0</v>
      </c>
      <c r="R446" s="388"/>
      <c r="W446" s="375"/>
    </row>
    <row r="447" spans="1:23" ht="12" customHeight="1" hidden="1">
      <c r="A447" s="391"/>
      <c r="B447" s="391"/>
      <c r="C447" s="182" t="s">
        <v>672</v>
      </c>
      <c r="D447" s="413" t="s">
        <v>872</v>
      </c>
      <c r="E447" s="185"/>
      <c r="F447" s="23">
        <v>152925</v>
      </c>
      <c r="G447" s="374"/>
      <c r="H447" s="374"/>
      <c r="I447" s="374"/>
      <c r="J447" s="374"/>
      <c r="K447" s="375"/>
      <c r="L447" s="375"/>
      <c r="M447" s="375"/>
      <c r="N447" s="375"/>
      <c r="O447" s="374"/>
      <c r="P447" s="374"/>
      <c r="Q447" s="119">
        <f t="shared" si="24"/>
        <v>0</v>
      </c>
      <c r="R447" s="388"/>
      <c r="W447" s="375"/>
    </row>
    <row r="448" spans="1:23" ht="12.75" customHeight="1" hidden="1">
      <c r="A448" s="391"/>
      <c r="B448" s="391"/>
      <c r="C448" s="182" t="s">
        <v>769</v>
      </c>
      <c r="D448" s="413" t="s">
        <v>873</v>
      </c>
      <c r="E448" s="185"/>
      <c r="F448" s="23">
        <v>152926</v>
      </c>
      <c r="G448" s="374"/>
      <c r="H448" s="374"/>
      <c r="I448" s="374"/>
      <c r="J448" s="374"/>
      <c r="K448" s="374"/>
      <c r="L448" s="375"/>
      <c r="M448" s="375"/>
      <c r="N448" s="375"/>
      <c r="O448" s="374"/>
      <c r="P448" s="374"/>
      <c r="Q448" s="119">
        <f t="shared" si="24"/>
        <v>0</v>
      </c>
      <c r="R448" s="388"/>
      <c r="W448" s="375"/>
    </row>
    <row r="449" spans="1:23" ht="12.75" customHeight="1" hidden="1">
      <c r="A449" s="391"/>
      <c r="B449" s="391"/>
      <c r="C449" s="182" t="s">
        <v>770</v>
      </c>
      <c r="D449" s="413" t="s">
        <v>874</v>
      </c>
      <c r="E449" s="185"/>
      <c r="F449" s="23">
        <v>152505</v>
      </c>
      <c r="G449" s="374"/>
      <c r="H449" s="374"/>
      <c r="I449" s="374"/>
      <c r="J449" s="374"/>
      <c r="K449" s="374"/>
      <c r="L449" s="375"/>
      <c r="M449" s="375"/>
      <c r="N449" s="375"/>
      <c r="O449" s="374"/>
      <c r="P449" s="374"/>
      <c r="Q449" s="119">
        <f t="shared" si="24"/>
        <v>0</v>
      </c>
      <c r="R449" s="388"/>
      <c r="W449" s="375"/>
    </row>
    <row r="450" spans="1:23" ht="12.75" customHeight="1" hidden="1">
      <c r="A450" s="391"/>
      <c r="B450" s="391"/>
      <c r="C450" s="182" t="s">
        <v>771</v>
      </c>
      <c r="D450" s="413" t="s">
        <v>875</v>
      </c>
      <c r="E450" s="185"/>
      <c r="F450" s="23">
        <v>152912</v>
      </c>
      <c r="G450" s="374"/>
      <c r="H450" s="374"/>
      <c r="I450" s="374"/>
      <c r="J450" s="374"/>
      <c r="K450" s="374"/>
      <c r="L450" s="375"/>
      <c r="M450" s="375"/>
      <c r="N450" s="375"/>
      <c r="O450" s="374"/>
      <c r="P450" s="374"/>
      <c r="Q450" s="119">
        <f t="shared" si="24"/>
        <v>0</v>
      </c>
      <c r="R450" s="388"/>
      <c r="W450" s="375"/>
    </row>
    <row r="451" spans="1:23" ht="12.75" customHeight="1" hidden="1">
      <c r="A451" s="391"/>
      <c r="B451" s="391"/>
      <c r="C451" s="182" t="s">
        <v>772</v>
      </c>
      <c r="D451" s="413" t="s">
        <v>876</v>
      </c>
      <c r="E451" s="185"/>
      <c r="F451" s="23">
        <v>152927</v>
      </c>
      <c r="G451" s="374"/>
      <c r="H451" s="374"/>
      <c r="I451" s="374"/>
      <c r="J451" s="374"/>
      <c r="K451" s="374"/>
      <c r="L451" s="375"/>
      <c r="M451" s="375"/>
      <c r="N451" s="375"/>
      <c r="O451" s="374"/>
      <c r="P451" s="374"/>
      <c r="Q451" s="119">
        <f t="shared" si="24"/>
        <v>0</v>
      </c>
      <c r="R451" s="388"/>
      <c r="W451" s="375"/>
    </row>
    <row r="452" spans="1:23" ht="27.75" customHeight="1">
      <c r="A452" s="391"/>
      <c r="B452" s="391"/>
      <c r="C452" s="182" t="s">
        <v>774</v>
      </c>
      <c r="D452" s="413" t="s">
        <v>877</v>
      </c>
      <c r="E452" s="185"/>
      <c r="F452" s="23">
        <v>152502</v>
      </c>
      <c r="G452" s="374"/>
      <c r="H452" s="374"/>
      <c r="I452" s="374"/>
      <c r="J452" s="374"/>
      <c r="K452" s="374"/>
      <c r="L452" s="375">
        <v>-500</v>
      </c>
      <c r="M452" s="375"/>
      <c r="N452" s="375"/>
      <c r="O452" s="374"/>
      <c r="P452" s="374"/>
      <c r="Q452" s="119">
        <f t="shared" si="24"/>
        <v>-500</v>
      </c>
      <c r="R452" s="388" t="s">
        <v>147</v>
      </c>
      <c r="W452" s="375"/>
    </row>
    <row r="453" spans="1:23" ht="26.25" customHeight="1" hidden="1">
      <c r="A453" s="391"/>
      <c r="B453" s="391"/>
      <c r="C453" s="182" t="s">
        <v>778</v>
      </c>
      <c r="D453" s="412" t="s">
        <v>878</v>
      </c>
      <c r="E453" s="185"/>
      <c r="F453" s="23">
        <v>152503</v>
      </c>
      <c r="G453" s="374"/>
      <c r="H453" s="374"/>
      <c r="I453" s="374"/>
      <c r="J453" s="374"/>
      <c r="K453" s="374"/>
      <c r="L453" s="375"/>
      <c r="M453" s="375"/>
      <c r="N453" s="375"/>
      <c r="O453" s="374"/>
      <c r="P453" s="374"/>
      <c r="Q453" s="119">
        <f t="shared" si="24"/>
        <v>0</v>
      </c>
      <c r="R453" s="388"/>
      <c r="W453" s="375"/>
    </row>
    <row r="454" spans="1:18" ht="18" customHeight="1" hidden="1">
      <c r="A454" s="391"/>
      <c r="B454" s="391"/>
      <c r="C454" s="182" t="s">
        <v>779</v>
      </c>
      <c r="D454" s="397" t="s">
        <v>879</v>
      </c>
      <c r="E454" s="185"/>
      <c r="F454" s="23">
        <v>154504</v>
      </c>
      <c r="G454" s="374"/>
      <c r="H454" s="374"/>
      <c r="I454" s="375"/>
      <c r="J454" s="374"/>
      <c r="K454" s="374"/>
      <c r="L454" s="375"/>
      <c r="M454" s="375"/>
      <c r="N454" s="375"/>
      <c r="O454" s="374"/>
      <c r="P454" s="374"/>
      <c r="Q454" s="119">
        <f t="shared" si="24"/>
        <v>0</v>
      </c>
      <c r="R454" s="388"/>
    </row>
    <row r="455" spans="1:18" ht="15.75" customHeight="1" hidden="1">
      <c r="A455" s="391"/>
      <c r="B455" s="391"/>
      <c r="C455" s="182" t="s">
        <v>780</v>
      </c>
      <c r="D455" s="397" t="s">
        <v>880</v>
      </c>
      <c r="E455" s="185"/>
      <c r="F455" s="23">
        <v>154511</v>
      </c>
      <c r="G455" s="374"/>
      <c r="H455" s="374"/>
      <c r="I455" s="375"/>
      <c r="J455" s="374"/>
      <c r="K455" s="374"/>
      <c r="L455" s="375"/>
      <c r="M455" s="375"/>
      <c r="N455" s="375"/>
      <c r="O455" s="374"/>
      <c r="P455" s="374"/>
      <c r="Q455" s="119">
        <f t="shared" si="24"/>
        <v>0</v>
      </c>
      <c r="R455" s="388"/>
    </row>
    <row r="456" spans="1:18" ht="16.5" customHeight="1" hidden="1">
      <c r="A456" s="391"/>
      <c r="B456" s="391"/>
      <c r="C456" s="182" t="s">
        <v>781</v>
      </c>
      <c r="D456" s="410" t="s">
        <v>881</v>
      </c>
      <c r="E456" s="185"/>
      <c r="F456" s="23">
        <v>154901</v>
      </c>
      <c r="G456" s="374"/>
      <c r="H456" s="374"/>
      <c r="I456" s="374"/>
      <c r="J456" s="374"/>
      <c r="K456" s="374"/>
      <c r="L456" s="375"/>
      <c r="M456" s="375"/>
      <c r="N456" s="375"/>
      <c r="O456" s="374"/>
      <c r="P456" s="374"/>
      <c r="Q456" s="119">
        <f t="shared" si="24"/>
        <v>0</v>
      </c>
      <c r="R456" s="388"/>
    </row>
    <row r="457" spans="1:18" ht="13.5" customHeight="1" hidden="1">
      <c r="A457" s="391"/>
      <c r="B457" s="391"/>
      <c r="C457" s="182" t="s">
        <v>782</v>
      </c>
      <c r="D457" s="413" t="s">
        <v>882</v>
      </c>
      <c r="E457" s="185"/>
      <c r="F457" s="23">
        <v>152523</v>
      </c>
      <c r="G457" s="374"/>
      <c r="H457" s="374"/>
      <c r="I457" s="374"/>
      <c r="J457" s="374"/>
      <c r="K457" s="374"/>
      <c r="L457" s="375"/>
      <c r="M457" s="375"/>
      <c r="N457" s="375"/>
      <c r="O457" s="374"/>
      <c r="P457" s="374"/>
      <c r="Q457" s="119"/>
      <c r="R457" s="388"/>
    </row>
    <row r="458" spans="1:18" ht="12.75" customHeight="1" hidden="1">
      <c r="A458" s="391"/>
      <c r="B458" s="391"/>
      <c r="C458" s="182" t="s">
        <v>784</v>
      </c>
      <c r="D458" s="413" t="s">
        <v>883</v>
      </c>
      <c r="E458" s="185"/>
      <c r="F458" s="23">
        <v>154505</v>
      </c>
      <c r="G458" s="374"/>
      <c r="H458" s="374"/>
      <c r="I458" s="374"/>
      <c r="J458" s="374"/>
      <c r="K458" s="374"/>
      <c r="L458" s="375"/>
      <c r="M458" s="375"/>
      <c r="N458" s="375"/>
      <c r="O458" s="374"/>
      <c r="P458" s="374"/>
      <c r="Q458" s="119"/>
      <c r="R458" s="388"/>
    </row>
    <row r="459" spans="1:18" ht="12.75" customHeight="1" hidden="1">
      <c r="A459" s="391"/>
      <c r="B459" s="391"/>
      <c r="C459" s="182" t="s">
        <v>1063</v>
      </c>
      <c r="D459" s="732" t="s">
        <v>1065</v>
      </c>
      <c r="E459" s="185"/>
      <c r="F459" s="13">
        <v>152508</v>
      </c>
      <c r="G459" s="374"/>
      <c r="H459" s="374"/>
      <c r="I459" s="374"/>
      <c r="J459" s="374"/>
      <c r="K459" s="374"/>
      <c r="L459" s="375"/>
      <c r="M459" s="375"/>
      <c r="N459" s="375"/>
      <c r="O459" s="374"/>
      <c r="P459" s="374"/>
      <c r="Q459" s="119">
        <f>SUM(L459:P459)</f>
        <v>0</v>
      </c>
      <c r="R459" s="388"/>
    </row>
    <row r="460" spans="1:18" ht="12.75" customHeight="1" hidden="1">
      <c r="A460" s="391"/>
      <c r="B460" s="391"/>
      <c r="C460" s="182" t="s">
        <v>1064</v>
      </c>
      <c r="D460" s="732" t="s">
        <v>1066</v>
      </c>
      <c r="E460" s="185"/>
      <c r="F460" s="13">
        <v>154512</v>
      </c>
      <c r="G460" s="374"/>
      <c r="H460" s="374"/>
      <c r="I460" s="374"/>
      <c r="J460" s="374"/>
      <c r="K460" s="374"/>
      <c r="L460" s="375"/>
      <c r="M460" s="375"/>
      <c r="N460" s="375"/>
      <c r="O460" s="374"/>
      <c r="P460" s="374"/>
      <c r="Q460" s="119">
        <f>SUM(L460:P460)</f>
        <v>0</v>
      </c>
      <c r="R460" s="388"/>
    </row>
    <row r="461" spans="1:18" ht="26.25" customHeight="1">
      <c r="A461" s="391"/>
      <c r="B461" s="391"/>
      <c r="C461" s="650" t="s">
        <v>187</v>
      </c>
      <c r="D461" s="682" t="s">
        <v>188</v>
      </c>
      <c r="E461" s="14"/>
      <c r="F461" s="688">
        <v>152506</v>
      </c>
      <c r="G461" s="374"/>
      <c r="H461" s="374"/>
      <c r="I461" s="374"/>
      <c r="J461" s="374"/>
      <c r="K461" s="374"/>
      <c r="L461" s="375">
        <v>1848</v>
      </c>
      <c r="M461" s="375"/>
      <c r="N461" s="375"/>
      <c r="O461" s="374"/>
      <c r="P461" s="374"/>
      <c r="Q461" s="119">
        <f>SUM(L461:P461)</f>
        <v>1848</v>
      </c>
      <c r="R461" s="388" t="s">
        <v>658</v>
      </c>
    </row>
    <row r="462" spans="1:18" ht="12.75" customHeight="1">
      <c r="A462" s="391"/>
      <c r="B462" s="391"/>
      <c r="C462" s="650" t="s">
        <v>171</v>
      </c>
      <c r="D462" s="682" t="s">
        <v>172</v>
      </c>
      <c r="E462" s="185"/>
      <c r="F462" s="13">
        <v>152931</v>
      </c>
      <c r="G462" s="374"/>
      <c r="H462" s="374"/>
      <c r="I462" s="374"/>
      <c r="J462" s="374"/>
      <c r="K462" s="374"/>
      <c r="L462" s="375">
        <v>474</v>
      </c>
      <c r="M462" s="375"/>
      <c r="N462" s="375"/>
      <c r="O462" s="374"/>
      <c r="P462" s="374"/>
      <c r="Q462" s="119">
        <f>SUM(L462:P462)</f>
        <v>474</v>
      </c>
      <c r="R462" s="388" t="s">
        <v>658</v>
      </c>
    </row>
    <row r="463" spans="1:18" ht="12.75" customHeight="1">
      <c r="A463" s="391"/>
      <c r="B463" s="391"/>
      <c r="C463" s="391"/>
      <c r="D463" s="24" t="s">
        <v>198</v>
      </c>
      <c r="E463" s="185"/>
      <c r="F463" s="23"/>
      <c r="G463" s="374"/>
      <c r="H463" s="374"/>
      <c r="I463" s="374"/>
      <c r="J463" s="374"/>
      <c r="K463" s="374"/>
      <c r="L463" s="375"/>
      <c r="M463" s="375"/>
      <c r="N463" s="375"/>
      <c r="O463" s="374"/>
      <c r="P463" s="374"/>
      <c r="Q463" s="119"/>
      <c r="R463" s="388"/>
    </row>
    <row r="464" spans="1:18" ht="12.75" customHeight="1" hidden="1">
      <c r="A464" s="391"/>
      <c r="B464" s="391"/>
      <c r="C464" s="182" t="s">
        <v>747</v>
      </c>
      <c r="D464" s="118" t="s">
        <v>768</v>
      </c>
      <c r="E464" s="185"/>
      <c r="F464" s="23">
        <v>152504</v>
      </c>
      <c r="G464" s="374"/>
      <c r="H464" s="374"/>
      <c r="I464" s="374"/>
      <c r="J464" s="374"/>
      <c r="K464" s="374"/>
      <c r="L464" s="375"/>
      <c r="M464" s="375"/>
      <c r="N464" s="375"/>
      <c r="O464" s="374"/>
      <c r="P464" s="374"/>
      <c r="Q464" s="119">
        <f t="shared" si="24"/>
        <v>0</v>
      </c>
      <c r="R464" s="388"/>
    </row>
    <row r="465" spans="1:18" ht="25.5" customHeight="1" hidden="1">
      <c r="A465" s="391"/>
      <c r="B465" s="391"/>
      <c r="C465" s="182" t="s">
        <v>748</v>
      </c>
      <c r="D465" s="203" t="s">
        <v>773</v>
      </c>
      <c r="E465" s="185"/>
      <c r="F465" s="23">
        <v>152524</v>
      </c>
      <c r="G465" s="374"/>
      <c r="H465" s="374"/>
      <c r="I465" s="374"/>
      <c r="J465" s="374"/>
      <c r="K465" s="374"/>
      <c r="L465" s="375"/>
      <c r="M465" s="375"/>
      <c r="N465" s="375"/>
      <c r="O465" s="374"/>
      <c r="P465" s="374"/>
      <c r="Q465" s="119">
        <f t="shared" si="24"/>
        <v>0</v>
      </c>
      <c r="R465" s="388"/>
    </row>
    <row r="466" spans="1:18" ht="12.75" customHeight="1" hidden="1">
      <c r="A466" s="391"/>
      <c r="B466" s="391"/>
      <c r="C466" s="182" t="s">
        <v>749</v>
      </c>
      <c r="D466" s="118" t="s">
        <v>783</v>
      </c>
      <c r="E466" s="185"/>
      <c r="F466" s="23">
        <v>152529</v>
      </c>
      <c r="G466" s="374"/>
      <c r="H466" s="374"/>
      <c r="I466" s="374"/>
      <c r="J466" s="374"/>
      <c r="K466" s="374"/>
      <c r="L466" s="375"/>
      <c r="M466" s="375"/>
      <c r="N466" s="375"/>
      <c r="O466" s="374"/>
      <c r="P466" s="374"/>
      <c r="Q466" s="119">
        <f t="shared" si="24"/>
        <v>0</v>
      </c>
      <c r="R466" s="388"/>
    </row>
    <row r="467" spans="1:18" ht="25.5" customHeight="1" hidden="1">
      <c r="A467" s="391"/>
      <c r="B467" s="391"/>
      <c r="C467" s="182" t="s">
        <v>750</v>
      </c>
      <c r="D467" s="534" t="s">
        <v>785</v>
      </c>
      <c r="E467" s="185"/>
      <c r="F467" s="23">
        <v>152531</v>
      </c>
      <c r="G467" s="374"/>
      <c r="H467" s="374"/>
      <c r="I467" s="374"/>
      <c r="J467" s="374"/>
      <c r="K467" s="374"/>
      <c r="L467" s="375"/>
      <c r="M467" s="375"/>
      <c r="N467" s="375"/>
      <c r="O467" s="374"/>
      <c r="P467" s="374"/>
      <c r="Q467" s="119">
        <f t="shared" si="24"/>
        <v>0</v>
      </c>
      <c r="R467" s="388"/>
    </row>
    <row r="468" spans="1:18" ht="24.75" customHeight="1" hidden="1">
      <c r="A468" s="391"/>
      <c r="B468" s="391"/>
      <c r="C468" s="182" t="s">
        <v>751</v>
      </c>
      <c r="D468" s="535" t="s">
        <v>786</v>
      </c>
      <c r="E468" s="185"/>
      <c r="F468" s="23">
        <v>152532</v>
      </c>
      <c r="G468" s="374"/>
      <c r="H468" s="374"/>
      <c r="I468" s="374"/>
      <c r="J468" s="374"/>
      <c r="K468" s="374"/>
      <c r="L468" s="375"/>
      <c r="M468" s="375"/>
      <c r="N468" s="375"/>
      <c r="O468" s="374"/>
      <c r="P468" s="374"/>
      <c r="Q468" s="119">
        <f t="shared" si="24"/>
        <v>0</v>
      </c>
      <c r="R468" s="388"/>
    </row>
    <row r="469" spans="1:18" ht="24.75" customHeight="1">
      <c r="A469" s="391"/>
      <c r="B469" s="391"/>
      <c r="C469" s="182" t="s">
        <v>884</v>
      </c>
      <c r="D469" s="203" t="s">
        <v>788</v>
      </c>
      <c r="E469" s="185"/>
      <c r="F469" s="23">
        <v>152534</v>
      </c>
      <c r="G469" s="374"/>
      <c r="H469" s="374"/>
      <c r="I469" s="374"/>
      <c r="J469" s="374"/>
      <c r="K469" s="374"/>
      <c r="L469" s="375">
        <v>-500</v>
      </c>
      <c r="M469" s="375"/>
      <c r="N469" s="375"/>
      <c r="O469" s="374"/>
      <c r="P469" s="374"/>
      <c r="Q469" s="119">
        <f t="shared" si="24"/>
        <v>-500</v>
      </c>
      <c r="R469" s="388" t="s">
        <v>658</v>
      </c>
    </row>
    <row r="470" spans="1:18" ht="24.75" customHeight="1" hidden="1">
      <c r="A470" s="391"/>
      <c r="B470" s="391"/>
      <c r="C470" s="182" t="s">
        <v>885</v>
      </c>
      <c r="D470" s="536" t="s">
        <v>271</v>
      </c>
      <c r="E470" s="185"/>
      <c r="F470" s="23" t="s">
        <v>1099</v>
      </c>
      <c r="G470" s="374"/>
      <c r="H470" s="374"/>
      <c r="I470" s="374"/>
      <c r="J470" s="374"/>
      <c r="K470" s="374"/>
      <c r="L470" s="375"/>
      <c r="M470" s="375"/>
      <c r="N470" s="375"/>
      <c r="O470" s="374"/>
      <c r="P470" s="374"/>
      <c r="Q470" s="119"/>
      <c r="R470" s="388"/>
    </row>
    <row r="471" spans="1:18" ht="15" customHeight="1" hidden="1">
      <c r="A471" s="391"/>
      <c r="B471" s="391"/>
      <c r="C471" s="182" t="s">
        <v>886</v>
      </c>
      <c r="D471" s="147" t="s">
        <v>659</v>
      </c>
      <c r="E471" s="185"/>
      <c r="F471" s="23">
        <v>154503</v>
      </c>
      <c r="G471" s="374"/>
      <c r="H471" s="374"/>
      <c r="I471" s="374"/>
      <c r="J471" s="374"/>
      <c r="K471" s="15"/>
      <c r="L471" s="15"/>
      <c r="M471" s="15"/>
      <c r="N471" s="15"/>
      <c r="O471" s="20"/>
      <c r="P471" s="374"/>
      <c r="Q471" s="119"/>
      <c r="R471" s="388"/>
    </row>
    <row r="472" spans="1:18" ht="14.25" customHeight="1" hidden="1">
      <c r="A472" s="391"/>
      <c r="B472" s="391"/>
      <c r="C472" s="182" t="s">
        <v>887</v>
      </c>
      <c r="D472" s="420" t="s">
        <v>888</v>
      </c>
      <c r="E472" s="185"/>
      <c r="F472" s="23">
        <v>154508</v>
      </c>
      <c r="G472" s="374"/>
      <c r="H472" s="374"/>
      <c r="I472" s="374"/>
      <c r="J472" s="374"/>
      <c r="K472" s="374"/>
      <c r="L472" s="375"/>
      <c r="M472" s="375"/>
      <c r="N472" s="375"/>
      <c r="O472" s="374"/>
      <c r="P472" s="374"/>
      <c r="Q472" s="119"/>
      <c r="R472" s="388"/>
    </row>
    <row r="473" spans="1:18" ht="14.25" customHeight="1" hidden="1">
      <c r="A473" s="391"/>
      <c r="B473" s="391"/>
      <c r="C473" s="182" t="s">
        <v>889</v>
      </c>
      <c r="D473" s="537" t="s">
        <v>1158</v>
      </c>
      <c r="E473" s="185"/>
      <c r="F473" s="23">
        <v>152501</v>
      </c>
      <c r="G473" s="25"/>
      <c r="H473" s="298"/>
      <c r="I473" s="25"/>
      <c r="J473" s="25"/>
      <c r="K473" s="25"/>
      <c r="L473" s="15"/>
      <c r="M473" s="15"/>
      <c r="N473" s="25"/>
      <c r="O473" s="25"/>
      <c r="P473" s="25"/>
      <c r="Q473" s="24"/>
      <c r="R473" s="388"/>
    </row>
    <row r="474" spans="1:18" ht="14.25" customHeight="1" hidden="1">
      <c r="A474" s="391"/>
      <c r="B474" s="391"/>
      <c r="C474" s="182" t="s">
        <v>890</v>
      </c>
      <c r="D474" s="538" t="s">
        <v>490</v>
      </c>
      <c r="E474" s="185"/>
      <c r="F474" s="23">
        <v>162514</v>
      </c>
      <c r="G474" s="25"/>
      <c r="H474" s="298"/>
      <c r="I474" s="25"/>
      <c r="J474" s="25"/>
      <c r="K474" s="25"/>
      <c r="L474" s="15"/>
      <c r="M474" s="15"/>
      <c r="N474" s="25"/>
      <c r="O474" s="25"/>
      <c r="P474" s="25"/>
      <c r="Q474" s="24"/>
      <c r="R474" s="388"/>
    </row>
    <row r="475" spans="1:18" ht="16.5" customHeight="1">
      <c r="A475" s="391"/>
      <c r="B475" s="391"/>
      <c r="C475" s="422" t="s">
        <v>891</v>
      </c>
      <c r="D475" s="423" t="s">
        <v>551</v>
      </c>
      <c r="E475" s="185"/>
      <c r="F475" s="23"/>
      <c r="G475" s="374"/>
      <c r="H475" s="374"/>
      <c r="I475" s="374"/>
      <c r="J475" s="374"/>
      <c r="K475" s="374"/>
      <c r="L475" s="375"/>
      <c r="M475" s="375"/>
      <c r="N475" s="375"/>
      <c r="O475" s="374"/>
      <c r="P475" s="374"/>
      <c r="Q475" s="119"/>
      <c r="R475" s="388"/>
    </row>
    <row r="476" spans="1:18" ht="24.75" customHeight="1">
      <c r="A476" s="391"/>
      <c r="B476" s="391"/>
      <c r="C476" s="182" t="s">
        <v>892</v>
      </c>
      <c r="D476" s="410" t="s">
        <v>893</v>
      </c>
      <c r="E476" s="185"/>
      <c r="F476" s="23">
        <v>152915</v>
      </c>
      <c r="G476" s="374"/>
      <c r="H476" s="374"/>
      <c r="I476" s="374"/>
      <c r="J476" s="374"/>
      <c r="K476" s="374"/>
      <c r="L476" s="375">
        <v>-255</v>
      </c>
      <c r="M476" s="375"/>
      <c r="N476" s="375"/>
      <c r="O476" s="374"/>
      <c r="P476" s="374"/>
      <c r="Q476" s="119">
        <v>-255</v>
      </c>
      <c r="R476" s="388" t="s">
        <v>658</v>
      </c>
    </row>
    <row r="477" spans="1:18" ht="12.75" customHeight="1">
      <c r="A477" s="391"/>
      <c r="B477" s="391"/>
      <c r="C477" s="391" t="s">
        <v>678</v>
      </c>
      <c r="D477" s="402" t="s">
        <v>679</v>
      </c>
      <c r="E477" s="185"/>
      <c r="F477" s="23"/>
      <c r="G477" s="374"/>
      <c r="H477" s="374"/>
      <c r="I477" s="374"/>
      <c r="J477" s="374"/>
      <c r="K477" s="374"/>
      <c r="L477" s="375"/>
      <c r="M477" s="375"/>
      <c r="N477" s="375"/>
      <c r="O477" s="374"/>
      <c r="P477" s="374"/>
      <c r="Q477" s="119"/>
      <c r="R477" s="388"/>
    </row>
    <row r="478" spans="1:18" ht="12.75" customHeight="1" hidden="1">
      <c r="A478" s="391"/>
      <c r="B478" s="391"/>
      <c r="C478" s="391"/>
      <c r="D478" s="118" t="s">
        <v>285</v>
      </c>
      <c r="E478" s="185"/>
      <c r="F478" s="23">
        <v>154811</v>
      </c>
      <c r="G478" s="374"/>
      <c r="H478" s="374"/>
      <c r="I478" s="374"/>
      <c r="J478" s="374"/>
      <c r="K478" s="374"/>
      <c r="L478" s="375"/>
      <c r="M478" s="375"/>
      <c r="N478" s="375"/>
      <c r="O478" s="374"/>
      <c r="P478" s="374"/>
      <c r="Q478" s="119"/>
      <c r="R478" s="388"/>
    </row>
    <row r="479" spans="1:18" ht="12.75" customHeight="1">
      <c r="A479" s="391"/>
      <c r="B479" s="391"/>
      <c r="C479" s="391"/>
      <c r="D479" s="398" t="s">
        <v>198</v>
      </c>
      <c r="E479" s="185"/>
      <c r="F479" s="23"/>
      <c r="G479" s="374"/>
      <c r="H479" s="374"/>
      <c r="I479" s="374"/>
      <c r="J479" s="374"/>
      <c r="K479" s="374"/>
      <c r="L479" s="375"/>
      <c r="M479" s="375"/>
      <c r="N479" s="375"/>
      <c r="O479" s="374"/>
      <c r="P479" s="374"/>
      <c r="Q479" s="119"/>
      <c r="R479" s="388"/>
    </row>
    <row r="480" spans="1:18" ht="12.75" customHeight="1">
      <c r="A480" s="391"/>
      <c r="B480" s="391"/>
      <c r="C480" s="182" t="s">
        <v>1182</v>
      </c>
      <c r="D480" s="297" t="s">
        <v>446</v>
      </c>
      <c r="E480" s="185"/>
      <c r="F480" s="23">
        <v>152801</v>
      </c>
      <c r="G480" s="374"/>
      <c r="H480" s="374"/>
      <c r="I480" s="374"/>
      <c r="J480" s="374"/>
      <c r="K480" s="374"/>
      <c r="L480" s="375"/>
      <c r="M480" s="375">
        <v>-4264</v>
      </c>
      <c r="N480" s="375"/>
      <c r="O480" s="374"/>
      <c r="P480" s="374"/>
      <c r="Q480" s="119">
        <f>SUM(L480:P480)</f>
        <v>-4264</v>
      </c>
      <c r="R480" s="388" t="s">
        <v>147</v>
      </c>
    </row>
    <row r="481" spans="1:18" ht="25.5" customHeight="1" hidden="1">
      <c r="A481" s="391"/>
      <c r="B481" s="391"/>
      <c r="C481" s="182" t="s">
        <v>894</v>
      </c>
      <c r="D481" s="424" t="s">
        <v>272</v>
      </c>
      <c r="E481" s="185"/>
      <c r="F481" s="23">
        <v>154805</v>
      </c>
      <c r="G481" s="374"/>
      <c r="H481" s="374"/>
      <c r="I481" s="374"/>
      <c r="J481" s="374"/>
      <c r="K481" s="374"/>
      <c r="L481" s="375"/>
      <c r="M481" s="375"/>
      <c r="N481" s="375"/>
      <c r="O481" s="374"/>
      <c r="P481" s="374"/>
      <c r="Q481" s="119">
        <f>SUM(L481:P481)</f>
        <v>0</v>
      </c>
      <c r="R481" s="388"/>
    </row>
    <row r="482" spans="1:18" ht="12.75" customHeight="1">
      <c r="A482" s="391"/>
      <c r="B482" s="391"/>
      <c r="C482" s="182" t="s">
        <v>895</v>
      </c>
      <c r="D482" s="424" t="s">
        <v>273</v>
      </c>
      <c r="E482" s="185"/>
      <c r="F482" s="23">
        <v>154806</v>
      </c>
      <c r="G482" s="374"/>
      <c r="H482" s="374"/>
      <c r="I482" s="374"/>
      <c r="J482" s="374"/>
      <c r="K482" s="374"/>
      <c r="L482" s="375"/>
      <c r="M482" s="375">
        <v>750</v>
      </c>
      <c r="N482" s="375"/>
      <c r="O482" s="374"/>
      <c r="P482" s="374"/>
      <c r="Q482" s="119">
        <f>SUM(L482:P482)</f>
        <v>750</v>
      </c>
      <c r="R482" s="388" t="s">
        <v>147</v>
      </c>
    </row>
    <row r="483" spans="1:18" ht="12.75" customHeight="1">
      <c r="A483" s="391"/>
      <c r="B483" s="391"/>
      <c r="C483" s="182" t="s">
        <v>896</v>
      </c>
      <c r="D483" s="424" t="s">
        <v>274</v>
      </c>
      <c r="E483" s="185"/>
      <c r="F483" s="23">
        <v>154807</v>
      </c>
      <c r="G483" s="374"/>
      <c r="H483" s="374"/>
      <c r="I483" s="374"/>
      <c r="J483" s="374"/>
      <c r="K483" s="374"/>
      <c r="L483" s="375"/>
      <c r="M483" s="375">
        <v>2000</v>
      </c>
      <c r="N483" s="375"/>
      <c r="O483" s="374"/>
      <c r="P483" s="374"/>
      <c r="Q483" s="119">
        <f>SUM(L483:P483)</f>
        <v>2000</v>
      </c>
      <c r="R483" s="388" t="s">
        <v>658</v>
      </c>
    </row>
    <row r="484" spans="1:18" ht="12.75" customHeight="1">
      <c r="A484" s="391"/>
      <c r="B484" s="391"/>
      <c r="C484" s="182" t="s">
        <v>897</v>
      </c>
      <c r="D484" s="424" t="s">
        <v>898</v>
      </c>
      <c r="E484" s="185"/>
      <c r="F484" s="23">
        <v>154809</v>
      </c>
      <c r="G484" s="374"/>
      <c r="H484" s="374"/>
      <c r="I484" s="374"/>
      <c r="J484" s="374"/>
      <c r="K484" s="374"/>
      <c r="L484" s="375"/>
      <c r="M484" s="375"/>
      <c r="N484" s="375"/>
      <c r="O484" s="374"/>
      <c r="P484" s="374"/>
      <c r="Q484" s="119"/>
      <c r="R484" s="388"/>
    </row>
    <row r="485" spans="1:18" ht="24.75" customHeight="1">
      <c r="A485" s="391"/>
      <c r="B485" s="391"/>
      <c r="C485" s="182" t="s">
        <v>899</v>
      </c>
      <c r="D485" s="143" t="s">
        <v>427</v>
      </c>
      <c r="E485" s="185"/>
      <c r="F485" s="23">
        <v>152805</v>
      </c>
      <c r="G485" s="25"/>
      <c r="H485" s="298"/>
      <c r="I485" s="25"/>
      <c r="J485" s="25"/>
      <c r="K485" s="25"/>
      <c r="L485" s="25"/>
      <c r="M485" s="25"/>
      <c r="N485" s="25"/>
      <c r="O485" s="25"/>
      <c r="P485" s="25"/>
      <c r="Q485" s="24">
        <f>SUM(L485:P485)</f>
        <v>0</v>
      </c>
      <c r="R485" s="388"/>
    </row>
    <row r="486" spans="1:18" ht="12.75" customHeight="1">
      <c r="A486" s="391"/>
      <c r="B486" s="391"/>
      <c r="C486" s="391" t="s">
        <v>680</v>
      </c>
      <c r="D486" s="402" t="s">
        <v>681</v>
      </c>
      <c r="E486" s="185"/>
      <c r="F486" s="23"/>
      <c r="G486" s="374"/>
      <c r="H486" s="374"/>
      <c r="I486" s="374"/>
      <c r="J486" s="374"/>
      <c r="K486" s="374"/>
      <c r="L486" s="375"/>
      <c r="M486" s="375"/>
      <c r="N486" s="375"/>
      <c r="O486" s="374"/>
      <c r="P486" s="374"/>
      <c r="Q486" s="24"/>
      <c r="R486" s="388"/>
    </row>
    <row r="487" spans="1:18" ht="12.75" customHeight="1">
      <c r="A487" s="391"/>
      <c r="B487" s="391"/>
      <c r="C487" s="182" t="s">
        <v>682</v>
      </c>
      <c r="D487" s="392" t="s">
        <v>900</v>
      </c>
      <c r="E487" s="185"/>
      <c r="F487" s="23">
        <v>152928</v>
      </c>
      <c r="G487" s="374"/>
      <c r="H487" s="374"/>
      <c r="I487" s="374"/>
      <c r="J487" s="374"/>
      <c r="K487" s="374"/>
      <c r="L487" s="375"/>
      <c r="M487" s="375"/>
      <c r="N487" s="375"/>
      <c r="O487" s="374"/>
      <c r="P487" s="374"/>
      <c r="Q487" s="24">
        <f>SUM(L487:P487)</f>
        <v>0</v>
      </c>
      <c r="R487" s="388"/>
    </row>
    <row r="488" spans="1:18" ht="12.75" customHeight="1">
      <c r="A488" s="391"/>
      <c r="B488" s="391"/>
      <c r="C488" s="182" t="s">
        <v>683</v>
      </c>
      <c r="D488" s="199" t="s">
        <v>600</v>
      </c>
      <c r="E488" s="185"/>
      <c r="F488" s="23">
        <v>152929</v>
      </c>
      <c r="G488" s="374"/>
      <c r="H488" s="374"/>
      <c r="I488" s="374"/>
      <c r="J488" s="374"/>
      <c r="K488" s="374"/>
      <c r="L488" s="375"/>
      <c r="M488" s="375"/>
      <c r="N488" s="375"/>
      <c r="O488" s="374"/>
      <c r="P488" s="374"/>
      <c r="Q488" s="24">
        <f>SUM(L488:P488)</f>
        <v>0</v>
      </c>
      <c r="R488" s="388"/>
    </row>
    <row r="489" spans="1:18" ht="27" customHeight="1">
      <c r="A489" s="391"/>
      <c r="B489" s="391"/>
      <c r="C489" s="182" t="s">
        <v>684</v>
      </c>
      <c r="D489" s="200" t="s">
        <v>818</v>
      </c>
      <c r="E489" s="185"/>
      <c r="F489" s="13">
        <v>152930</v>
      </c>
      <c r="G489" s="374"/>
      <c r="H489" s="374"/>
      <c r="I489" s="374"/>
      <c r="J489" s="374"/>
      <c r="K489" s="374"/>
      <c r="L489" s="375"/>
      <c r="M489" s="375"/>
      <c r="N489" s="375"/>
      <c r="O489" s="374"/>
      <c r="P489" s="374"/>
      <c r="Q489" s="119">
        <f>SUM(N489:P489)</f>
        <v>0</v>
      </c>
      <c r="R489" s="388"/>
    </row>
    <row r="490" spans="1:18" ht="12.75" customHeight="1">
      <c r="A490" s="391"/>
      <c r="B490" s="391"/>
      <c r="C490" s="391"/>
      <c r="D490" s="297" t="s">
        <v>198</v>
      </c>
      <c r="E490" s="185"/>
      <c r="F490" s="23"/>
      <c r="G490" s="374"/>
      <c r="H490" s="374"/>
      <c r="I490" s="374"/>
      <c r="J490" s="374"/>
      <c r="K490" s="374"/>
      <c r="L490" s="375"/>
      <c r="M490" s="375"/>
      <c r="N490" s="375"/>
      <c r="O490" s="374"/>
      <c r="P490" s="374"/>
      <c r="Q490" s="119"/>
      <c r="R490" s="388"/>
    </row>
    <row r="491" spans="1:18" ht="12.75" customHeight="1">
      <c r="A491" s="391"/>
      <c r="B491" s="391"/>
      <c r="C491" s="182" t="s">
        <v>552</v>
      </c>
      <c r="D491" s="297" t="s">
        <v>789</v>
      </c>
      <c r="E491" s="185"/>
      <c r="F491" s="23">
        <v>155418</v>
      </c>
      <c r="G491" s="374"/>
      <c r="H491" s="374"/>
      <c r="I491" s="374"/>
      <c r="J491" s="374"/>
      <c r="K491" s="374"/>
      <c r="L491" s="375"/>
      <c r="M491" s="375"/>
      <c r="N491" s="375"/>
      <c r="O491" s="374"/>
      <c r="P491" s="374"/>
      <c r="Q491" s="119"/>
      <c r="R491" s="388"/>
    </row>
    <row r="492" spans="1:18" ht="12.75" customHeight="1">
      <c r="A492" s="391"/>
      <c r="B492" s="391"/>
      <c r="C492" s="182" t="s">
        <v>493</v>
      </c>
      <c r="D492" s="425" t="s">
        <v>556</v>
      </c>
      <c r="E492" s="185"/>
      <c r="F492" s="23">
        <v>154912</v>
      </c>
      <c r="G492" s="374"/>
      <c r="H492" s="374"/>
      <c r="I492" s="374"/>
      <c r="J492" s="374"/>
      <c r="K492" s="374"/>
      <c r="L492" s="375"/>
      <c r="M492" s="375"/>
      <c r="N492" s="375"/>
      <c r="O492" s="374"/>
      <c r="P492" s="374"/>
      <c r="Q492" s="119"/>
      <c r="R492" s="388"/>
    </row>
    <row r="493" spans="1:18" ht="38.25" customHeight="1">
      <c r="A493" s="391"/>
      <c r="B493" s="391"/>
      <c r="C493" s="182" t="s">
        <v>790</v>
      </c>
      <c r="D493" s="150" t="s">
        <v>558</v>
      </c>
      <c r="E493" s="185"/>
      <c r="F493" s="23">
        <v>174903</v>
      </c>
      <c r="G493" s="374"/>
      <c r="H493" s="374"/>
      <c r="I493" s="374"/>
      <c r="J493" s="374"/>
      <c r="K493" s="374"/>
      <c r="L493" s="375"/>
      <c r="M493" s="375"/>
      <c r="N493" s="375"/>
      <c r="O493" s="374"/>
      <c r="P493" s="374"/>
      <c r="Q493" s="119"/>
      <c r="R493" s="388"/>
    </row>
    <row r="494" spans="1:18" ht="13.5" customHeight="1">
      <c r="A494" s="17"/>
      <c r="B494" s="17"/>
      <c r="C494" s="346"/>
      <c r="D494" s="18" t="s">
        <v>462</v>
      </c>
      <c r="E494" s="347"/>
      <c r="F494" s="17"/>
      <c r="G494" s="19">
        <f aca="true" t="shared" si="25" ref="G494:Q494">SUM(G334:G493)</f>
        <v>309</v>
      </c>
      <c r="H494" s="19">
        <f t="shared" si="25"/>
        <v>96</v>
      </c>
      <c r="I494" s="19">
        <f t="shared" si="25"/>
        <v>11393</v>
      </c>
      <c r="J494" s="19">
        <f t="shared" si="25"/>
        <v>50</v>
      </c>
      <c r="K494" s="19">
        <f t="shared" si="25"/>
        <v>7415</v>
      </c>
      <c r="L494" s="19">
        <f t="shared" si="25"/>
        <v>112</v>
      </c>
      <c r="M494" s="19">
        <f t="shared" si="25"/>
        <v>-9917</v>
      </c>
      <c r="N494" s="19">
        <f t="shared" si="25"/>
        <v>200</v>
      </c>
      <c r="O494" s="19">
        <f t="shared" si="25"/>
        <v>0</v>
      </c>
      <c r="P494" s="19">
        <f t="shared" si="25"/>
        <v>0</v>
      </c>
      <c r="Q494" s="18">
        <f t="shared" si="25"/>
        <v>9658</v>
      </c>
      <c r="R494" s="576"/>
    </row>
    <row r="495" spans="1:18" ht="13.5" customHeight="1">
      <c r="A495" s="23">
        <v>1</v>
      </c>
      <c r="B495" s="23">
        <v>16</v>
      </c>
      <c r="C495" s="387"/>
      <c r="D495" s="426" t="s">
        <v>901</v>
      </c>
      <c r="E495" s="185"/>
      <c r="F495" s="23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4"/>
      <c r="R495" s="388"/>
    </row>
    <row r="496" spans="1:18" ht="13.5" customHeight="1">
      <c r="A496" s="23"/>
      <c r="B496" s="23"/>
      <c r="C496" s="387"/>
      <c r="D496" s="427" t="s">
        <v>360</v>
      </c>
      <c r="E496" s="185"/>
      <c r="F496" s="23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4"/>
      <c r="R496" s="388"/>
    </row>
    <row r="497" spans="1:18" ht="13.5" customHeight="1">
      <c r="A497" s="23"/>
      <c r="B497" s="23"/>
      <c r="C497" s="387"/>
      <c r="D497" s="398" t="s">
        <v>902</v>
      </c>
      <c r="E497" s="25">
        <v>2</v>
      </c>
      <c r="F497" s="23">
        <v>161903</v>
      </c>
      <c r="G497" s="25"/>
      <c r="H497" s="25"/>
      <c r="I497" s="25">
        <v>-1025</v>
      </c>
      <c r="J497" s="25"/>
      <c r="K497" s="25"/>
      <c r="L497" s="25"/>
      <c r="M497" s="25"/>
      <c r="N497" s="25"/>
      <c r="O497" s="25"/>
      <c r="P497" s="25"/>
      <c r="Q497" s="24">
        <f>SUM(I497:P497)</f>
        <v>-1025</v>
      </c>
      <c r="R497" s="388" t="s">
        <v>658</v>
      </c>
    </row>
    <row r="498" spans="1:18" ht="24" customHeight="1">
      <c r="A498" s="23"/>
      <c r="B498" s="23"/>
      <c r="C498" s="387"/>
      <c r="D498" s="200" t="s">
        <v>903</v>
      </c>
      <c r="E498" s="25">
        <v>2</v>
      </c>
      <c r="F498" s="23">
        <v>161904</v>
      </c>
      <c r="G498" s="25"/>
      <c r="H498" s="25"/>
      <c r="I498" s="25">
        <v>-7500</v>
      </c>
      <c r="J498" s="25"/>
      <c r="K498" s="25"/>
      <c r="L498" s="25"/>
      <c r="M498" s="25"/>
      <c r="N498" s="25"/>
      <c r="O498" s="25"/>
      <c r="P498" s="25"/>
      <c r="Q498" s="24">
        <f>SUM(I498:P498)</f>
        <v>-7500</v>
      </c>
      <c r="R498" s="388" t="s">
        <v>147</v>
      </c>
    </row>
    <row r="499" spans="1:18" ht="13.5" customHeight="1" hidden="1">
      <c r="A499" s="23"/>
      <c r="B499" s="23"/>
      <c r="C499" s="387"/>
      <c r="D499" s="428" t="s">
        <v>904</v>
      </c>
      <c r="E499" s="25">
        <v>2</v>
      </c>
      <c r="F499" s="23">
        <v>171911</v>
      </c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4">
        <f>SUM(I499:P499)</f>
        <v>0</v>
      </c>
      <c r="R499" s="388"/>
    </row>
    <row r="500" spans="1:18" ht="24" customHeight="1" hidden="1">
      <c r="A500" s="23"/>
      <c r="B500" s="23"/>
      <c r="C500" s="674"/>
      <c r="D500" s="674" t="s">
        <v>590</v>
      </c>
      <c r="E500" s="185">
        <v>2</v>
      </c>
      <c r="F500" s="23">
        <v>161905</v>
      </c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4">
        <f>SUM(G500:P500)</f>
        <v>0</v>
      </c>
      <c r="R500" s="388"/>
    </row>
    <row r="501" spans="1:18" ht="24" customHeight="1">
      <c r="A501" s="23"/>
      <c r="B501" s="23"/>
      <c r="C501" s="756"/>
      <c r="D501" s="674" t="s">
        <v>158</v>
      </c>
      <c r="E501" s="630">
        <v>2</v>
      </c>
      <c r="F501" s="13">
        <v>161906</v>
      </c>
      <c r="G501" s="25"/>
      <c r="H501" s="25"/>
      <c r="I501" s="25">
        <v>17145</v>
      </c>
      <c r="J501" s="25"/>
      <c r="K501" s="25"/>
      <c r="L501" s="25"/>
      <c r="M501" s="25"/>
      <c r="N501" s="25"/>
      <c r="O501" s="25"/>
      <c r="P501" s="25"/>
      <c r="Q501" s="24">
        <f>SUM(I501:P501)</f>
        <v>17145</v>
      </c>
      <c r="R501" s="388" t="s">
        <v>147</v>
      </c>
    </row>
    <row r="502" spans="1:18" ht="13.5" customHeight="1">
      <c r="A502" s="115"/>
      <c r="B502" s="115"/>
      <c r="C502" s="429"/>
      <c r="D502" s="390" t="s">
        <v>905</v>
      </c>
      <c r="E502" s="383"/>
      <c r="F502" s="115"/>
      <c r="G502" s="384">
        <f>SUM(G497:G501)</f>
        <v>0</v>
      </c>
      <c r="H502" s="384">
        <f aca="true" t="shared" si="26" ref="H502:Q502">SUM(H497:H501)</f>
        <v>0</v>
      </c>
      <c r="I502" s="384">
        <f t="shared" si="26"/>
        <v>8620</v>
      </c>
      <c r="J502" s="384">
        <f t="shared" si="26"/>
        <v>0</v>
      </c>
      <c r="K502" s="384">
        <f t="shared" si="26"/>
        <v>0</v>
      </c>
      <c r="L502" s="384">
        <f t="shared" si="26"/>
        <v>0</v>
      </c>
      <c r="M502" s="384">
        <f t="shared" si="26"/>
        <v>0</v>
      </c>
      <c r="N502" s="384">
        <f t="shared" si="26"/>
        <v>0</v>
      </c>
      <c r="O502" s="384">
        <f t="shared" si="26"/>
        <v>0</v>
      </c>
      <c r="P502" s="384">
        <f t="shared" si="26"/>
        <v>0</v>
      </c>
      <c r="Q502" s="384">
        <f t="shared" si="26"/>
        <v>8620</v>
      </c>
      <c r="R502" s="576"/>
    </row>
    <row r="503" spans="1:18" ht="12.75" customHeight="1">
      <c r="A503" s="23"/>
      <c r="B503" s="23"/>
      <c r="C503" s="387"/>
      <c r="D503" s="117" t="s">
        <v>906</v>
      </c>
      <c r="E503" s="185"/>
      <c r="F503" s="23"/>
      <c r="G503" s="25"/>
      <c r="H503" s="298"/>
      <c r="I503" s="25"/>
      <c r="J503" s="25"/>
      <c r="K503" s="25"/>
      <c r="L503" s="25"/>
      <c r="M503" s="25"/>
      <c r="N503" s="25"/>
      <c r="O503" s="25"/>
      <c r="P503" s="25"/>
      <c r="Q503" s="24"/>
      <c r="R503" s="388"/>
    </row>
    <row r="504" spans="1:18" ht="12.75" customHeight="1">
      <c r="A504" s="23"/>
      <c r="B504" s="23"/>
      <c r="C504" s="430" t="s">
        <v>562</v>
      </c>
      <c r="D504" s="145" t="s">
        <v>507</v>
      </c>
      <c r="E504" s="431"/>
      <c r="F504" s="23"/>
      <c r="G504" s="432"/>
      <c r="H504" s="433"/>
      <c r="I504" s="432"/>
      <c r="J504" s="432"/>
      <c r="K504" s="432"/>
      <c r="L504" s="434"/>
      <c r="M504" s="432"/>
      <c r="N504" s="432"/>
      <c r="O504" s="432"/>
      <c r="P504" s="432"/>
      <c r="Q504" s="570"/>
      <c r="R504" s="388"/>
    </row>
    <row r="505" spans="1:18" ht="25.5" customHeight="1">
      <c r="A505" s="23"/>
      <c r="B505" s="23"/>
      <c r="C505" s="435" t="s">
        <v>623</v>
      </c>
      <c r="D505" s="436" t="s">
        <v>907</v>
      </c>
      <c r="E505" s="185"/>
      <c r="F505" s="23">
        <v>162112</v>
      </c>
      <c r="G505" s="25"/>
      <c r="H505" s="298"/>
      <c r="I505" s="25"/>
      <c r="J505" s="25"/>
      <c r="K505" s="25"/>
      <c r="L505" s="15">
        <v>2000</v>
      </c>
      <c r="M505" s="25"/>
      <c r="N505" s="25"/>
      <c r="O505" s="25"/>
      <c r="P505" s="25"/>
      <c r="Q505" s="24">
        <f aca="true" t="shared" si="27" ref="Q505:Q513">SUM(G505:P505)</f>
        <v>2000</v>
      </c>
      <c r="R505" s="388" t="s">
        <v>147</v>
      </c>
    </row>
    <row r="506" spans="1:18" ht="12.75" customHeight="1" hidden="1">
      <c r="A506" s="23"/>
      <c r="B506" s="23"/>
      <c r="C506" s="435" t="s">
        <v>624</v>
      </c>
      <c r="D506" s="436" t="s">
        <v>908</v>
      </c>
      <c r="E506" s="185"/>
      <c r="F506" s="23">
        <v>162107</v>
      </c>
      <c r="G506" s="25"/>
      <c r="H506" s="298"/>
      <c r="I506" s="25"/>
      <c r="J506" s="25"/>
      <c r="K506" s="25"/>
      <c r="L506" s="15"/>
      <c r="M506" s="25"/>
      <c r="N506" s="25"/>
      <c r="O506" s="25"/>
      <c r="P506" s="25"/>
      <c r="Q506" s="24">
        <f t="shared" si="27"/>
        <v>0</v>
      </c>
      <c r="R506" s="388"/>
    </row>
    <row r="507" spans="1:18" ht="12.75" customHeight="1" hidden="1">
      <c r="A507" s="23"/>
      <c r="B507" s="23"/>
      <c r="C507" s="435" t="s">
        <v>625</v>
      </c>
      <c r="D507" s="436" t="s">
        <v>909</v>
      </c>
      <c r="E507" s="185"/>
      <c r="F507" s="23">
        <v>162108</v>
      </c>
      <c r="G507" s="25"/>
      <c r="H507" s="298"/>
      <c r="I507" s="25"/>
      <c r="J507" s="25"/>
      <c r="K507" s="25"/>
      <c r="L507" s="15"/>
      <c r="M507" s="25"/>
      <c r="N507" s="25"/>
      <c r="O507" s="25"/>
      <c r="P507" s="25"/>
      <c r="Q507" s="24">
        <f t="shared" si="27"/>
        <v>0</v>
      </c>
      <c r="R507" s="388"/>
    </row>
    <row r="508" spans="1:18" ht="29.25" customHeight="1">
      <c r="A508" s="23"/>
      <c r="B508" s="23"/>
      <c r="C508" s="435" t="s">
        <v>612</v>
      </c>
      <c r="D508" s="436" t="s">
        <v>910</v>
      </c>
      <c r="E508" s="437"/>
      <c r="F508" s="23">
        <v>162709</v>
      </c>
      <c r="G508" s="388"/>
      <c r="H508" s="388"/>
      <c r="I508" s="388"/>
      <c r="J508" s="388"/>
      <c r="K508" s="388"/>
      <c r="L508" s="438">
        <v>-1000</v>
      </c>
      <c r="M508" s="388"/>
      <c r="N508" s="388"/>
      <c r="O508" s="388"/>
      <c r="P508" s="388"/>
      <c r="Q508" s="24">
        <f t="shared" si="27"/>
        <v>-1000</v>
      </c>
      <c r="R508" s="388" t="s">
        <v>147</v>
      </c>
    </row>
    <row r="509" spans="1:18" ht="12.75" customHeight="1" hidden="1">
      <c r="A509" s="23"/>
      <c r="B509" s="23"/>
      <c r="C509" s="435" t="s">
        <v>613</v>
      </c>
      <c r="D509" s="436" t="s">
        <v>911</v>
      </c>
      <c r="E509" s="437"/>
      <c r="F509" s="23">
        <v>162110</v>
      </c>
      <c r="G509" s="388"/>
      <c r="H509" s="388"/>
      <c r="I509" s="388"/>
      <c r="J509" s="388"/>
      <c r="K509" s="388"/>
      <c r="L509" s="15"/>
      <c r="M509" s="388"/>
      <c r="N509" s="388"/>
      <c r="O509" s="388"/>
      <c r="P509" s="388"/>
      <c r="Q509" s="24">
        <f t="shared" si="27"/>
        <v>0</v>
      </c>
      <c r="R509" s="388"/>
    </row>
    <row r="510" spans="1:18" ht="27" customHeight="1" hidden="1">
      <c r="A510" s="23"/>
      <c r="B510" s="23"/>
      <c r="C510" s="435" t="s">
        <v>287</v>
      </c>
      <c r="D510" s="436" t="s">
        <v>912</v>
      </c>
      <c r="E510" s="437"/>
      <c r="F510" s="23">
        <v>162111</v>
      </c>
      <c r="G510" s="388"/>
      <c r="H510" s="388"/>
      <c r="I510" s="388"/>
      <c r="J510" s="388"/>
      <c r="K510" s="388"/>
      <c r="L510" s="438"/>
      <c r="M510" s="388"/>
      <c r="N510" s="388"/>
      <c r="O510" s="388"/>
      <c r="P510" s="388"/>
      <c r="Q510" s="24">
        <f t="shared" si="27"/>
        <v>0</v>
      </c>
      <c r="R510" s="388"/>
    </row>
    <row r="511" spans="1:18" ht="27" customHeight="1">
      <c r="A511" s="23"/>
      <c r="B511" s="23"/>
      <c r="C511" s="435" t="s">
        <v>288</v>
      </c>
      <c r="D511" s="683" t="s">
        <v>14</v>
      </c>
      <c r="E511" s="437"/>
      <c r="F511" s="13">
        <v>162113</v>
      </c>
      <c r="G511" s="388"/>
      <c r="H511" s="388"/>
      <c r="I511" s="388"/>
      <c r="J511" s="388"/>
      <c r="K511" s="388"/>
      <c r="L511" s="710">
        <v>-2295</v>
      </c>
      <c r="M511" s="388"/>
      <c r="N511" s="388"/>
      <c r="O511" s="388"/>
      <c r="P511" s="388"/>
      <c r="Q511" s="24">
        <f t="shared" si="27"/>
        <v>-2295</v>
      </c>
      <c r="R511" s="388" t="s">
        <v>28</v>
      </c>
    </row>
    <row r="512" spans="1:18" ht="16.5" customHeight="1">
      <c r="A512" s="23"/>
      <c r="B512" s="23"/>
      <c r="C512" s="435" t="s">
        <v>284</v>
      </c>
      <c r="D512" s="683" t="s">
        <v>159</v>
      </c>
      <c r="E512" s="437"/>
      <c r="F512" s="13">
        <v>162114</v>
      </c>
      <c r="G512" s="388"/>
      <c r="H512" s="388"/>
      <c r="I512" s="388"/>
      <c r="J512" s="388"/>
      <c r="K512" s="388"/>
      <c r="L512" s="710">
        <v>1639</v>
      </c>
      <c r="M512" s="388"/>
      <c r="N512" s="388"/>
      <c r="O512" s="388"/>
      <c r="P512" s="388"/>
      <c r="Q512" s="24">
        <f t="shared" si="27"/>
        <v>1639</v>
      </c>
      <c r="R512" s="388" t="s">
        <v>147</v>
      </c>
    </row>
    <row r="513" spans="1:18" ht="19.5" customHeight="1">
      <c r="A513" s="23"/>
      <c r="B513" s="23"/>
      <c r="C513" s="435" t="s">
        <v>761</v>
      </c>
      <c r="D513" s="683" t="s">
        <v>160</v>
      </c>
      <c r="E513" s="437"/>
      <c r="F513" s="13">
        <v>162115</v>
      </c>
      <c r="G513" s="388"/>
      <c r="H513" s="388"/>
      <c r="I513" s="388"/>
      <c r="J513" s="388"/>
      <c r="K513" s="388"/>
      <c r="L513" s="710">
        <v>2000</v>
      </c>
      <c r="M513" s="388"/>
      <c r="N513" s="388"/>
      <c r="O513" s="388"/>
      <c r="P513" s="388"/>
      <c r="Q513" s="24">
        <f t="shared" si="27"/>
        <v>2000</v>
      </c>
      <c r="R513" s="388" t="s">
        <v>147</v>
      </c>
    </row>
    <row r="514" spans="1:18" ht="12.75" customHeight="1">
      <c r="A514" s="23"/>
      <c r="B514" s="23"/>
      <c r="C514" s="439"/>
      <c r="D514" s="440" t="s">
        <v>198</v>
      </c>
      <c r="E514" s="185"/>
      <c r="F514" s="13"/>
      <c r="G514" s="25"/>
      <c r="H514" s="298"/>
      <c r="I514" s="25"/>
      <c r="J514" s="25"/>
      <c r="K514" s="25"/>
      <c r="L514" s="15"/>
      <c r="M514" s="25"/>
      <c r="N514" s="25"/>
      <c r="O514" s="25"/>
      <c r="P514" s="25"/>
      <c r="Q514" s="24"/>
      <c r="R514" s="388"/>
    </row>
    <row r="515" spans="1:18" ht="25.5" customHeight="1">
      <c r="A515" s="23"/>
      <c r="B515" s="23"/>
      <c r="C515" s="441" t="s">
        <v>496</v>
      </c>
      <c r="D515" s="442" t="s">
        <v>1079</v>
      </c>
      <c r="E515" s="443"/>
      <c r="F515" s="13">
        <v>162162</v>
      </c>
      <c r="G515" s="153"/>
      <c r="H515" s="444"/>
      <c r="I515" s="153"/>
      <c r="J515" s="153"/>
      <c r="K515" s="153"/>
      <c r="L515" s="445">
        <v>-1000</v>
      </c>
      <c r="M515" s="153"/>
      <c r="N515" s="153"/>
      <c r="O515" s="153"/>
      <c r="P515" s="153"/>
      <c r="Q515" s="571">
        <f aca="true" t="shared" si="28" ref="Q515:Q526">SUM(G515:P515)</f>
        <v>-1000</v>
      </c>
      <c r="R515" s="388" t="s">
        <v>147</v>
      </c>
    </row>
    <row r="516" spans="1:18" ht="25.5" customHeight="1" hidden="1">
      <c r="A516" s="23"/>
      <c r="B516" s="23"/>
      <c r="C516" s="446" t="s">
        <v>534</v>
      </c>
      <c r="D516" s="135" t="s">
        <v>1154</v>
      </c>
      <c r="E516" s="185"/>
      <c r="F516" s="13">
        <v>162160</v>
      </c>
      <c r="G516" s="25"/>
      <c r="H516" s="298"/>
      <c r="I516" s="25"/>
      <c r="J516" s="25"/>
      <c r="K516" s="25"/>
      <c r="L516" s="15"/>
      <c r="M516" s="25"/>
      <c r="N516" s="25"/>
      <c r="O516" s="25"/>
      <c r="P516" s="25"/>
      <c r="Q516" s="24">
        <f t="shared" si="28"/>
        <v>0</v>
      </c>
      <c r="R516" s="388"/>
    </row>
    <row r="517" spans="1:18" ht="26.25" customHeight="1" hidden="1">
      <c r="A517" s="23"/>
      <c r="B517" s="23"/>
      <c r="C517" s="446" t="s">
        <v>535</v>
      </c>
      <c r="D517" s="129" t="s">
        <v>1155</v>
      </c>
      <c r="E517" s="185"/>
      <c r="F517" s="13">
        <v>152113</v>
      </c>
      <c r="G517" s="25"/>
      <c r="H517" s="298"/>
      <c r="I517" s="25"/>
      <c r="J517" s="25"/>
      <c r="K517" s="25"/>
      <c r="L517" s="15"/>
      <c r="M517" s="25"/>
      <c r="N517" s="25"/>
      <c r="O517" s="25"/>
      <c r="P517" s="25"/>
      <c r="Q517" s="24"/>
      <c r="R517" s="388"/>
    </row>
    <row r="518" spans="1:18" ht="12.75" customHeight="1" hidden="1">
      <c r="A518" s="23"/>
      <c r="B518" s="23"/>
      <c r="C518" s="446" t="s">
        <v>536</v>
      </c>
      <c r="D518" s="129" t="s">
        <v>913</v>
      </c>
      <c r="E518" s="185"/>
      <c r="F518" s="13">
        <v>162164</v>
      </c>
      <c r="G518" s="25"/>
      <c r="H518" s="298"/>
      <c r="I518" s="25"/>
      <c r="J518" s="25"/>
      <c r="K518" s="25"/>
      <c r="L518" s="15"/>
      <c r="M518" s="25"/>
      <c r="N518" s="25"/>
      <c r="O518" s="25"/>
      <c r="P518" s="25"/>
      <c r="Q518" s="24">
        <f t="shared" si="28"/>
        <v>0</v>
      </c>
      <c r="R518" s="388"/>
    </row>
    <row r="519" spans="1:18" ht="12.75" customHeight="1">
      <c r="A519" s="23"/>
      <c r="B519" s="23"/>
      <c r="C519" s="447" t="s">
        <v>626</v>
      </c>
      <c r="D519" s="448" t="s">
        <v>277</v>
      </c>
      <c r="E519" s="185"/>
      <c r="F519" s="13"/>
      <c r="G519" s="25"/>
      <c r="H519" s="298"/>
      <c r="I519" s="25"/>
      <c r="J519" s="25"/>
      <c r="K519" s="25"/>
      <c r="L519" s="15"/>
      <c r="M519" s="25"/>
      <c r="N519" s="25"/>
      <c r="O519" s="25"/>
      <c r="P519" s="25"/>
      <c r="Q519" s="24"/>
      <c r="R519" s="388"/>
    </row>
    <row r="520" spans="1:18" ht="12.75" customHeight="1">
      <c r="A520" s="23"/>
      <c r="B520" s="23"/>
      <c r="C520" s="449" t="s">
        <v>627</v>
      </c>
      <c r="D520" s="369" t="s">
        <v>914</v>
      </c>
      <c r="E520" s="185"/>
      <c r="F520" s="13">
        <v>162207</v>
      </c>
      <c r="G520" s="25"/>
      <c r="H520" s="298"/>
      <c r="I520" s="25"/>
      <c r="J520" s="25"/>
      <c r="K520" s="25"/>
      <c r="L520" s="15">
        <v>-2608</v>
      </c>
      <c r="M520" s="25"/>
      <c r="N520" s="25"/>
      <c r="O520" s="25"/>
      <c r="P520" s="25"/>
      <c r="Q520" s="24">
        <f t="shared" si="28"/>
        <v>-2608</v>
      </c>
      <c r="R520" s="388" t="s">
        <v>147</v>
      </c>
    </row>
    <row r="521" spans="1:18" ht="12.75" customHeight="1">
      <c r="A521" s="23"/>
      <c r="B521" s="23"/>
      <c r="C521" s="449" t="s">
        <v>474</v>
      </c>
      <c r="D521" s="369" t="s">
        <v>915</v>
      </c>
      <c r="E521" s="185"/>
      <c r="F521" s="13">
        <v>162206</v>
      </c>
      <c r="G521" s="25"/>
      <c r="H521" s="298"/>
      <c r="I521" s="25"/>
      <c r="J521" s="25"/>
      <c r="K521" s="25"/>
      <c r="L521" s="15">
        <v>295</v>
      </c>
      <c r="M521" s="25"/>
      <c r="N521" s="25"/>
      <c r="O521" s="25"/>
      <c r="P521" s="25"/>
      <c r="Q521" s="24">
        <f t="shared" si="28"/>
        <v>295</v>
      </c>
      <c r="R521" s="388" t="s">
        <v>658</v>
      </c>
    </row>
    <row r="522" spans="1:18" ht="12.75" customHeight="1">
      <c r="A522" s="23"/>
      <c r="B522" s="23"/>
      <c r="C522" s="684" t="s">
        <v>12</v>
      </c>
      <c r="D522" s="471" t="s">
        <v>13</v>
      </c>
      <c r="E522" s="185"/>
      <c r="F522" s="13">
        <v>162208</v>
      </c>
      <c r="G522" s="25"/>
      <c r="H522" s="298"/>
      <c r="I522" s="25"/>
      <c r="J522" s="25"/>
      <c r="K522" s="25"/>
      <c r="L522" s="15">
        <v>1000</v>
      </c>
      <c r="M522" s="25"/>
      <c r="N522" s="25"/>
      <c r="O522" s="25"/>
      <c r="P522" s="25"/>
      <c r="Q522" s="24">
        <f t="shared" si="28"/>
        <v>1000</v>
      </c>
      <c r="R522" s="388" t="s">
        <v>147</v>
      </c>
    </row>
    <row r="523" spans="1:18" ht="12.75" customHeight="1">
      <c r="A523" s="23"/>
      <c r="B523" s="23"/>
      <c r="C523" s="684" t="s">
        <v>148</v>
      </c>
      <c r="D523" s="749" t="s">
        <v>149</v>
      </c>
      <c r="E523" s="185"/>
      <c r="F523" s="13">
        <v>162209</v>
      </c>
      <c r="G523" s="25"/>
      <c r="H523" s="298"/>
      <c r="I523" s="25"/>
      <c r="J523" s="25"/>
      <c r="K523" s="25"/>
      <c r="L523" s="15">
        <v>200</v>
      </c>
      <c r="M523" s="25"/>
      <c r="N523" s="25"/>
      <c r="O523" s="25"/>
      <c r="P523" s="25"/>
      <c r="Q523" s="24">
        <f t="shared" si="28"/>
        <v>200</v>
      </c>
      <c r="R523" s="388" t="s">
        <v>147</v>
      </c>
    </row>
    <row r="524" spans="1:18" ht="12.75" customHeight="1">
      <c r="A524" s="23"/>
      <c r="B524" s="23"/>
      <c r="C524" s="684" t="s">
        <v>161</v>
      </c>
      <c r="D524" s="749" t="s">
        <v>150</v>
      </c>
      <c r="E524" s="185"/>
      <c r="F524" s="13">
        <v>162210</v>
      </c>
      <c r="G524" s="25"/>
      <c r="H524" s="298"/>
      <c r="I524" s="25"/>
      <c r="J524" s="25"/>
      <c r="K524" s="25"/>
      <c r="L524" s="15">
        <v>2608</v>
      </c>
      <c r="M524" s="25"/>
      <c r="N524" s="25"/>
      <c r="O524" s="25"/>
      <c r="P524" s="25"/>
      <c r="Q524" s="24">
        <f t="shared" si="28"/>
        <v>2608</v>
      </c>
      <c r="R524" s="388" t="s">
        <v>147</v>
      </c>
    </row>
    <row r="525" spans="1:18" ht="12.75" customHeight="1" hidden="1">
      <c r="A525" s="23"/>
      <c r="B525" s="23"/>
      <c r="C525" s="449"/>
      <c r="D525" s="440" t="s">
        <v>198</v>
      </c>
      <c r="E525" s="185"/>
      <c r="F525" s="23"/>
      <c r="G525" s="25"/>
      <c r="H525" s="298"/>
      <c r="I525" s="25"/>
      <c r="J525" s="25"/>
      <c r="K525" s="25"/>
      <c r="L525" s="15"/>
      <c r="M525" s="25"/>
      <c r="N525" s="25"/>
      <c r="O525" s="25"/>
      <c r="P525" s="25"/>
      <c r="Q525" s="24"/>
      <c r="R525" s="388"/>
    </row>
    <row r="526" spans="1:18" ht="38.25" customHeight="1" hidden="1">
      <c r="A526" s="23"/>
      <c r="B526" s="23"/>
      <c r="C526" s="449" t="s">
        <v>803</v>
      </c>
      <c r="D526" s="138" t="s">
        <v>916</v>
      </c>
      <c r="E526" s="185"/>
      <c r="F526" s="23">
        <v>162204</v>
      </c>
      <c r="G526" s="25"/>
      <c r="H526" s="298"/>
      <c r="I526" s="25"/>
      <c r="J526" s="25"/>
      <c r="K526" s="25"/>
      <c r="L526" s="15"/>
      <c r="M526" s="25"/>
      <c r="N526" s="25"/>
      <c r="O526" s="25"/>
      <c r="P526" s="25"/>
      <c r="Q526" s="24">
        <f t="shared" si="28"/>
        <v>0</v>
      </c>
      <c r="R526" s="388"/>
    </row>
    <row r="527" spans="1:18" ht="12.75" customHeight="1" hidden="1">
      <c r="A527" s="23"/>
      <c r="B527" s="23"/>
      <c r="C527" s="422" t="s">
        <v>628</v>
      </c>
      <c r="D527" s="423" t="s">
        <v>563</v>
      </c>
      <c r="E527" s="185"/>
      <c r="F527" s="23"/>
      <c r="G527" s="25"/>
      <c r="H527" s="298"/>
      <c r="I527" s="25"/>
      <c r="J527" s="25"/>
      <c r="K527" s="25"/>
      <c r="L527" s="25"/>
      <c r="M527" s="25"/>
      <c r="N527" s="25"/>
      <c r="O527" s="25"/>
      <c r="P527" s="25"/>
      <c r="Q527" s="24"/>
      <c r="R527" s="388"/>
    </row>
    <row r="528" spans="1:18" ht="12.75" customHeight="1" hidden="1">
      <c r="A528" s="23"/>
      <c r="B528" s="23"/>
      <c r="C528" s="422"/>
      <c r="D528" s="450" t="s">
        <v>198</v>
      </c>
      <c r="E528" s="185"/>
      <c r="F528" s="23"/>
      <c r="G528" s="25"/>
      <c r="H528" s="298"/>
      <c r="I528" s="25"/>
      <c r="J528" s="25"/>
      <c r="K528" s="25"/>
      <c r="L528" s="25"/>
      <c r="M528" s="25"/>
      <c r="N528" s="25"/>
      <c r="O528" s="25"/>
      <c r="P528" s="25"/>
      <c r="Q528" s="24"/>
      <c r="R528" s="388"/>
    </row>
    <row r="529" spans="1:18" ht="26.25" customHeight="1" hidden="1">
      <c r="A529" s="23"/>
      <c r="B529" s="23"/>
      <c r="C529" s="449" t="s">
        <v>765</v>
      </c>
      <c r="D529" s="451" t="s">
        <v>917</v>
      </c>
      <c r="E529" s="185" t="s">
        <v>469</v>
      </c>
      <c r="F529" s="23">
        <v>162973</v>
      </c>
      <c r="G529" s="25"/>
      <c r="H529" s="298"/>
      <c r="I529" s="25"/>
      <c r="J529" s="25"/>
      <c r="K529" s="25"/>
      <c r="L529" s="25"/>
      <c r="M529" s="25"/>
      <c r="N529" s="25"/>
      <c r="O529" s="25"/>
      <c r="P529" s="25"/>
      <c r="Q529" s="24">
        <f>SUM(G529:P529)</f>
        <v>0</v>
      </c>
      <c r="R529" s="388"/>
    </row>
    <row r="530" spans="1:18" ht="28.5" customHeight="1" hidden="1">
      <c r="A530" s="23"/>
      <c r="B530" s="23"/>
      <c r="C530" s="449" t="s">
        <v>1156</v>
      </c>
      <c r="D530" s="451" t="s">
        <v>918</v>
      </c>
      <c r="E530" s="185" t="s">
        <v>469</v>
      </c>
      <c r="F530" s="23">
        <v>162974</v>
      </c>
      <c r="G530" s="25"/>
      <c r="H530" s="298"/>
      <c r="I530" s="25"/>
      <c r="J530" s="25"/>
      <c r="K530" s="25"/>
      <c r="L530" s="25"/>
      <c r="M530" s="25"/>
      <c r="N530" s="25"/>
      <c r="O530" s="25"/>
      <c r="P530" s="25"/>
      <c r="Q530" s="24">
        <f>SUM(G530:P530)</f>
        <v>0</v>
      </c>
      <c r="R530" s="388"/>
    </row>
    <row r="531" spans="1:18" ht="12.75" customHeight="1">
      <c r="A531" s="23"/>
      <c r="B531" s="23"/>
      <c r="C531" s="422" t="s">
        <v>629</v>
      </c>
      <c r="D531" s="423" t="s">
        <v>634</v>
      </c>
      <c r="E531" s="185"/>
      <c r="F531" s="23"/>
      <c r="G531" s="25"/>
      <c r="H531" s="298"/>
      <c r="I531" s="25"/>
      <c r="J531" s="25"/>
      <c r="K531" s="25"/>
      <c r="L531" s="25"/>
      <c r="M531" s="25"/>
      <c r="N531" s="25"/>
      <c r="O531" s="25"/>
      <c r="P531" s="25"/>
      <c r="Q531" s="24"/>
      <c r="R531" s="388"/>
    </row>
    <row r="532" spans="1:18" ht="27.75" customHeight="1">
      <c r="A532" s="23"/>
      <c r="B532" s="23"/>
      <c r="C532" s="452" t="s">
        <v>635</v>
      </c>
      <c r="D532" s="369" t="s">
        <v>919</v>
      </c>
      <c r="E532" s="185"/>
      <c r="F532" s="23">
        <v>162412</v>
      </c>
      <c r="G532" s="25"/>
      <c r="H532" s="298"/>
      <c r="I532" s="25"/>
      <c r="J532" s="25"/>
      <c r="K532" s="25"/>
      <c r="L532" s="15">
        <v>-930</v>
      </c>
      <c r="M532" s="15"/>
      <c r="N532" s="25"/>
      <c r="O532" s="25"/>
      <c r="P532" s="25"/>
      <c r="Q532" s="24">
        <f aca="true" t="shared" si="29" ref="Q532:Q540">SUM(G532:P532)</f>
        <v>-930</v>
      </c>
      <c r="R532" s="388" t="s">
        <v>658</v>
      </c>
    </row>
    <row r="533" spans="1:18" ht="38.25" customHeight="1">
      <c r="A533" s="23"/>
      <c r="B533" s="23"/>
      <c r="C533" s="452" t="s">
        <v>636</v>
      </c>
      <c r="D533" s="369" t="s">
        <v>920</v>
      </c>
      <c r="E533" s="185"/>
      <c r="F533" s="23">
        <v>162457</v>
      </c>
      <c r="G533" s="25"/>
      <c r="H533" s="298"/>
      <c r="I533" s="25"/>
      <c r="J533" s="25"/>
      <c r="K533" s="25"/>
      <c r="L533" s="15">
        <v>930</v>
      </c>
      <c r="M533" s="15"/>
      <c r="N533" s="25"/>
      <c r="O533" s="25"/>
      <c r="P533" s="25"/>
      <c r="Q533" s="24">
        <f t="shared" si="29"/>
        <v>930</v>
      </c>
      <c r="R533" s="388" t="s">
        <v>658</v>
      </c>
    </row>
    <row r="534" spans="1:18" ht="27.75" customHeight="1" hidden="1">
      <c r="A534" s="23"/>
      <c r="B534" s="23"/>
      <c r="C534" s="452" t="s">
        <v>637</v>
      </c>
      <c r="D534" s="369" t="s">
        <v>922</v>
      </c>
      <c r="E534" s="185"/>
      <c r="F534" s="23">
        <v>162413</v>
      </c>
      <c r="G534" s="25"/>
      <c r="H534" s="298"/>
      <c r="I534" s="25"/>
      <c r="J534" s="25"/>
      <c r="K534" s="25"/>
      <c r="L534" s="15"/>
      <c r="M534" s="15"/>
      <c r="N534" s="25"/>
      <c r="O534" s="25"/>
      <c r="P534" s="25"/>
      <c r="Q534" s="24">
        <f t="shared" si="29"/>
        <v>0</v>
      </c>
      <c r="R534" s="388"/>
    </row>
    <row r="535" spans="1:18" ht="16.5" customHeight="1" hidden="1">
      <c r="A535" s="23"/>
      <c r="B535" s="23"/>
      <c r="C535" s="452" t="s">
        <v>638</v>
      </c>
      <c r="D535" s="369" t="s">
        <v>923</v>
      </c>
      <c r="E535" s="185"/>
      <c r="F535" s="23">
        <v>162414</v>
      </c>
      <c r="G535" s="25"/>
      <c r="H535" s="298"/>
      <c r="I535" s="25"/>
      <c r="J535" s="25"/>
      <c r="K535" s="25"/>
      <c r="L535" s="15"/>
      <c r="M535" s="15"/>
      <c r="N535" s="25"/>
      <c r="O535" s="25"/>
      <c r="P535" s="25"/>
      <c r="Q535" s="24">
        <f t="shared" si="29"/>
        <v>0</v>
      </c>
      <c r="R535" s="388"/>
    </row>
    <row r="536" spans="1:18" ht="15" customHeight="1" hidden="1">
      <c r="A536" s="23"/>
      <c r="B536" s="23"/>
      <c r="C536" s="452" t="s">
        <v>639</v>
      </c>
      <c r="D536" s="369" t="s">
        <v>924</v>
      </c>
      <c r="E536" s="185"/>
      <c r="F536" s="23">
        <v>162447</v>
      </c>
      <c r="G536" s="25"/>
      <c r="H536" s="298"/>
      <c r="I536" s="25"/>
      <c r="J536" s="25"/>
      <c r="K536" s="25"/>
      <c r="L536" s="15"/>
      <c r="M536" s="15"/>
      <c r="N536" s="25"/>
      <c r="O536" s="25"/>
      <c r="P536" s="25"/>
      <c r="Q536" s="24">
        <f t="shared" si="29"/>
        <v>0</v>
      </c>
      <c r="R536" s="388"/>
    </row>
    <row r="537" spans="1:18" ht="27.75" customHeight="1">
      <c r="A537" s="23"/>
      <c r="B537" s="23"/>
      <c r="C537" s="452" t="s">
        <v>640</v>
      </c>
      <c r="D537" s="369" t="s">
        <v>925</v>
      </c>
      <c r="E537" s="185"/>
      <c r="F537" s="23">
        <v>162458</v>
      </c>
      <c r="G537" s="25"/>
      <c r="H537" s="298"/>
      <c r="I537" s="25"/>
      <c r="J537" s="25"/>
      <c r="K537" s="25"/>
      <c r="L537" s="15">
        <v>1400</v>
      </c>
      <c r="M537" s="15"/>
      <c r="N537" s="25"/>
      <c r="O537" s="25"/>
      <c r="P537" s="25"/>
      <c r="Q537" s="24">
        <f t="shared" si="29"/>
        <v>1400</v>
      </c>
      <c r="R537" s="388" t="s">
        <v>147</v>
      </c>
    </row>
    <row r="538" spans="1:18" ht="12.75" customHeight="1">
      <c r="A538" s="23"/>
      <c r="B538" s="23"/>
      <c r="C538" s="452" t="s">
        <v>641</v>
      </c>
      <c r="D538" s="369" t="s">
        <v>926</v>
      </c>
      <c r="E538" s="185"/>
      <c r="F538" s="23">
        <v>162415</v>
      </c>
      <c r="G538" s="25"/>
      <c r="H538" s="298"/>
      <c r="I538" s="25"/>
      <c r="J538" s="25"/>
      <c r="K538" s="25"/>
      <c r="L538" s="15">
        <v>-922</v>
      </c>
      <c r="M538" s="438"/>
      <c r="N538" s="388"/>
      <c r="O538" s="388"/>
      <c r="P538" s="388"/>
      <c r="Q538" s="24">
        <f t="shared" si="29"/>
        <v>-922</v>
      </c>
      <c r="R538" s="388" t="s">
        <v>658</v>
      </c>
    </row>
    <row r="539" spans="1:18" ht="12.75" customHeight="1" hidden="1">
      <c r="A539" s="23"/>
      <c r="B539" s="23"/>
      <c r="C539" s="452" t="s">
        <v>661</v>
      </c>
      <c r="D539" s="369" t="s">
        <v>927</v>
      </c>
      <c r="E539" s="185"/>
      <c r="F539" s="23">
        <v>162416</v>
      </c>
      <c r="G539" s="25"/>
      <c r="H539" s="298"/>
      <c r="I539" s="25"/>
      <c r="J539" s="25"/>
      <c r="K539" s="25"/>
      <c r="L539" s="15"/>
      <c r="M539" s="438"/>
      <c r="N539" s="388"/>
      <c r="O539" s="388"/>
      <c r="P539" s="388"/>
      <c r="Q539" s="24">
        <f t="shared" si="29"/>
        <v>0</v>
      </c>
      <c r="R539" s="388"/>
    </row>
    <row r="540" spans="1:18" ht="12.75" customHeight="1">
      <c r="A540" s="23"/>
      <c r="B540" s="23"/>
      <c r="C540" s="452" t="s">
        <v>662</v>
      </c>
      <c r="D540" s="369" t="s">
        <v>928</v>
      </c>
      <c r="E540" s="185"/>
      <c r="F540" s="23">
        <v>154445</v>
      </c>
      <c r="G540" s="25"/>
      <c r="H540" s="298"/>
      <c r="I540" s="25"/>
      <c r="J540" s="25"/>
      <c r="K540" s="25"/>
      <c r="L540" s="15"/>
      <c r="M540" s="15">
        <v>3790</v>
      </c>
      <c r="N540" s="25"/>
      <c r="O540" s="25"/>
      <c r="P540" s="25"/>
      <c r="Q540" s="24">
        <f t="shared" si="29"/>
        <v>3790</v>
      </c>
      <c r="R540" s="388" t="s">
        <v>147</v>
      </c>
    </row>
    <row r="541" spans="1:18" ht="12.75" customHeight="1">
      <c r="A541" s="23"/>
      <c r="B541" s="23"/>
      <c r="C541" s="422"/>
      <c r="D541" s="130" t="s">
        <v>198</v>
      </c>
      <c r="E541" s="185"/>
      <c r="F541" s="23"/>
      <c r="G541" s="25"/>
      <c r="H541" s="298"/>
      <c r="I541" s="25"/>
      <c r="J541" s="25"/>
      <c r="K541" s="25"/>
      <c r="L541" s="15"/>
      <c r="M541" s="15"/>
      <c r="N541" s="25"/>
      <c r="O541" s="25"/>
      <c r="P541" s="25"/>
      <c r="Q541" s="24"/>
      <c r="R541" s="388"/>
    </row>
    <row r="542" spans="1:18" ht="12.75" customHeight="1">
      <c r="A542" s="23"/>
      <c r="B542" s="23"/>
      <c r="C542" s="452" t="s">
        <v>537</v>
      </c>
      <c r="D542" s="369" t="s">
        <v>1157</v>
      </c>
      <c r="E542" s="185"/>
      <c r="F542" s="23">
        <v>162486</v>
      </c>
      <c r="G542" s="25"/>
      <c r="H542" s="298"/>
      <c r="I542" s="25"/>
      <c r="J542" s="25"/>
      <c r="K542" s="25"/>
      <c r="L542" s="15">
        <v>-2790</v>
      </c>
      <c r="M542" s="15"/>
      <c r="N542" s="25"/>
      <c r="O542" s="25"/>
      <c r="P542" s="25"/>
      <c r="Q542" s="24">
        <f aca="true" t="shared" si="30" ref="Q542:Q549">SUM(G542:P542)</f>
        <v>-2790</v>
      </c>
      <c r="R542" s="388" t="s">
        <v>147</v>
      </c>
    </row>
    <row r="543" spans="1:18" ht="12.75" customHeight="1" hidden="1">
      <c r="A543" s="23"/>
      <c r="B543" s="23"/>
      <c r="C543" s="452" t="s">
        <v>538</v>
      </c>
      <c r="D543" s="369" t="s">
        <v>428</v>
      </c>
      <c r="E543" s="185"/>
      <c r="F543" s="23">
        <v>162475</v>
      </c>
      <c r="G543" s="25"/>
      <c r="H543" s="298"/>
      <c r="I543" s="25"/>
      <c r="J543" s="25"/>
      <c r="K543" s="25"/>
      <c r="L543" s="15"/>
      <c r="M543" s="15"/>
      <c r="N543" s="25"/>
      <c r="O543" s="25"/>
      <c r="P543" s="25"/>
      <c r="Q543" s="24">
        <f t="shared" si="30"/>
        <v>0</v>
      </c>
      <c r="R543" s="388"/>
    </row>
    <row r="544" spans="1:18" ht="12.75" customHeight="1">
      <c r="A544" s="23"/>
      <c r="B544" s="23"/>
      <c r="C544" s="452" t="s">
        <v>539</v>
      </c>
      <c r="D544" s="453" t="s">
        <v>929</v>
      </c>
      <c r="E544" s="185"/>
      <c r="F544" s="23">
        <v>164406</v>
      </c>
      <c r="G544" s="25"/>
      <c r="H544" s="298"/>
      <c r="I544" s="25"/>
      <c r="J544" s="25"/>
      <c r="K544" s="25"/>
      <c r="L544" s="15"/>
      <c r="M544" s="15">
        <v>-2000</v>
      </c>
      <c r="N544" s="25"/>
      <c r="O544" s="25"/>
      <c r="P544" s="25"/>
      <c r="Q544" s="24">
        <f t="shared" si="30"/>
        <v>-2000</v>
      </c>
      <c r="R544" s="388" t="s">
        <v>147</v>
      </c>
    </row>
    <row r="545" spans="1:18" ht="12.75" customHeight="1" hidden="1">
      <c r="A545" s="23"/>
      <c r="B545" s="23"/>
      <c r="C545" s="452" t="s">
        <v>540</v>
      </c>
      <c r="D545" s="420" t="s">
        <v>458</v>
      </c>
      <c r="E545" s="185"/>
      <c r="F545" s="23">
        <v>154472</v>
      </c>
      <c r="G545" s="374"/>
      <c r="H545" s="374"/>
      <c r="I545" s="374"/>
      <c r="J545" s="374"/>
      <c r="K545" s="374"/>
      <c r="L545" s="375"/>
      <c r="M545" s="375"/>
      <c r="N545" s="375"/>
      <c r="O545" s="374"/>
      <c r="P545" s="374"/>
      <c r="Q545" s="119">
        <f t="shared" si="30"/>
        <v>0</v>
      </c>
      <c r="R545" s="388"/>
    </row>
    <row r="546" spans="1:18" ht="12.75" customHeight="1">
      <c r="A546" s="23"/>
      <c r="B546" s="23"/>
      <c r="C546" s="422" t="s">
        <v>630</v>
      </c>
      <c r="D546" s="28" t="s">
        <v>564</v>
      </c>
      <c r="E546" s="185"/>
      <c r="F546" s="23"/>
      <c r="G546" s="25"/>
      <c r="H546" s="298"/>
      <c r="I546" s="25"/>
      <c r="J546" s="25"/>
      <c r="K546" s="25"/>
      <c r="L546" s="15"/>
      <c r="M546" s="15"/>
      <c r="N546" s="25"/>
      <c r="O546" s="25"/>
      <c r="P546" s="25"/>
      <c r="Q546" s="24">
        <f t="shared" si="30"/>
        <v>0</v>
      </c>
      <c r="R546" s="388"/>
    </row>
    <row r="547" spans="1:18" ht="12.75" customHeight="1">
      <c r="A547" s="23"/>
      <c r="B547" s="23"/>
      <c r="C547" s="452" t="s">
        <v>669</v>
      </c>
      <c r="D547" s="148" t="s">
        <v>930</v>
      </c>
      <c r="E547" s="185"/>
      <c r="F547" s="23">
        <v>162501</v>
      </c>
      <c r="G547" s="25"/>
      <c r="H547" s="298"/>
      <c r="I547" s="25"/>
      <c r="J547" s="25"/>
      <c r="K547" s="25"/>
      <c r="L547" s="15">
        <v>300</v>
      </c>
      <c r="M547" s="15"/>
      <c r="N547" s="25"/>
      <c r="O547" s="25"/>
      <c r="P547" s="25"/>
      <c r="Q547" s="24">
        <f t="shared" si="30"/>
        <v>300</v>
      </c>
      <c r="R547" s="388" t="s">
        <v>147</v>
      </c>
    </row>
    <row r="548" spans="1:18" ht="12.75" customHeight="1">
      <c r="A548" s="23"/>
      <c r="B548" s="23"/>
      <c r="C548" s="422"/>
      <c r="D548" s="450" t="s">
        <v>198</v>
      </c>
      <c r="E548" s="185"/>
      <c r="F548" s="23"/>
      <c r="G548" s="25"/>
      <c r="H548" s="298"/>
      <c r="I548" s="25"/>
      <c r="J548" s="25"/>
      <c r="K548" s="25"/>
      <c r="L548" s="15"/>
      <c r="M548" s="15"/>
      <c r="N548" s="25"/>
      <c r="O548" s="25"/>
      <c r="P548" s="25"/>
      <c r="Q548" s="24"/>
      <c r="R548" s="388"/>
    </row>
    <row r="549" spans="1:18" ht="29.25" customHeight="1">
      <c r="A549" s="23"/>
      <c r="B549" s="23"/>
      <c r="C549" s="452" t="s">
        <v>747</v>
      </c>
      <c r="D549" s="454" t="s">
        <v>275</v>
      </c>
      <c r="E549" s="185"/>
      <c r="F549" s="23">
        <v>164501</v>
      </c>
      <c r="G549" s="25"/>
      <c r="H549" s="298"/>
      <c r="I549" s="25"/>
      <c r="J549" s="25"/>
      <c r="K549" s="25"/>
      <c r="L549" s="15"/>
      <c r="M549" s="15">
        <v>-3000</v>
      </c>
      <c r="N549" s="25"/>
      <c r="O549" s="25"/>
      <c r="P549" s="25"/>
      <c r="Q549" s="24">
        <f t="shared" si="30"/>
        <v>-3000</v>
      </c>
      <c r="R549" s="388" t="s">
        <v>147</v>
      </c>
    </row>
    <row r="550" spans="1:18" ht="12.75" customHeight="1">
      <c r="A550" s="23"/>
      <c r="B550" s="23"/>
      <c r="C550" s="422" t="s">
        <v>631</v>
      </c>
      <c r="D550" s="423" t="s">
        <v>931</v>
      </c>
      <c r="E550" s="185"/>
      <c r="F550" s="23"/>
      <c r="G550" s="25"/>
      <c r="H550" s="298"/>
      <c r="I550" s="25"/>
      <c r="J550" s="25"/>
      <c r="K550" s="25"/>
      <c r="L550" s="15"/>
      <c r="M550" s="15"/>
      <c r="N550" s="25"/>
      <c r="O550" s="25"/>
      <c r="P550" s="25"/>
      <c r="Q550" s="24"/>
      <c r="R550" s="388"/>
    </row>
    <row r="551" spans="1:18" ht="12.75" customHeight="1" hidden="1">
      <c r="A551" s="23"/>
      <c r="B551" s="23"/>
      <c r="C551" s="452" t="s">
        <v>674</v>
      </c>
      <c r="D551" s="421" t="s">
        <v>544</v>
      </c>
      <c r="E551" s="185"/>
      <c r="F551" s="23">
        <v>162601</v>
      </c>
      <c r="G551" s="25"/>
      <c r="H551" s="298"/>
      <c r="I551" s="25"/>
      <c r="J551" s="25"/>
      <c r="K551" s="25"/>
      <c r="L551" s="15"/>
      <c r="M551" s="15"/>
      <c r="N551" s="25"/>
      <c r="O551" s="25"/>
      <c r="P551" s="25"/>
      <c r="Q551" s="24">
        <f aca="true" t="shared" si="31" ref="Q551:Q557">SUM(G551:P551)</f>
        <v>0</v>
      </c>
      <c r="R551" s="388"/>
    </row>
    <row r="552" spans="1:18" ht="12.75" customHeight="1" hidden="1">
      <c r="A552" s="23"/>
      <c r="B552" s="23"/>
      <c r="C552" s="452" t="s">
        <v>675</v>
      </c>
      <c r="D552" s="421" t="s">
        <v>932</v>
      </c>
      <c r="E552" s="185"/>
      <c r="F552" s="23">
        <v>162602</v>
      </c>
      <c r="G552" s="25"/>
      <c r="H552" s="298"/>
      <c r="I552" s="25"/>
      <c r="J552" s="25"/>
      <c r="K552" s="25"/>
      <c r="L552" s="15"/>
      <c r="M552" s="15"/>
      <c r="N552" s="25"/>
      <c r="O552" s="25"/>
      <c r="P552" s="25"/>
      <c r="Q552" s="24">
        <f t="shared" si="31"/>
        <v>0</v>
      </c>
      <c r="R552" s="388"/>
    </row>
    <row r="553" spans="1:18" ht="12.75" customHeight="1" hidden="1">
      <c r="A553" s="23"/>
      <c r="B553" s="23"/>
      <c r="C553" s="452" t="s">
        <v>676</v>
      </c>
      <c r="D553" s="456" t="s">
        <v>933</v>
      </c>
      <c r="E553" s="185"/>
      <c r="F553" s="23">
        <v>162614</v>
      </c>
      <c r="G553" s="25"/>
      <c r="H553" s="298"/>
      <c r="I553" s="25"/>
      <c r="J553" s="25"/>
      <c r="K553" s="25"/>
      <c r="L553" s="25"/>
      <c r="M553" s="25"/>
      <c r="N553" s="25"/>
      <c r="O553" s="25"/>
      <c r="P553" s="25"/>
      <c r="Q553" s="24">
        <f t="shared" si="31"/>
        <v>0</v>
      </c>
      <c r="R553" s="388"/>
    </row>
    <row r="554" spans="1:18" ht="12.75" customHeight="1" hidden="1">
      <c r="A554" s="23"/>
      <c r="B554" s="23"/>
      <c r="C554" s="452" t="s">
        <v>506</v>
      </c>
      <c r="D554" s="457" t="s">
        <v>934</v>
      </c>
      <c r="E554" s="185"/>
      <c r="F554" s="23">
        <v>162451</v>
      </c>
      <c r="G554" s="25"/>
      <c r="H554" s="298"/>
      <c r="I554" s="25"/>
      <c r="J554" s="25"/>
      <c r="K554" s="25"/>
      <c r="L554" s="25"/>
      <c r="M554" s="25"/>
      <c r="N554" s="25"/>
      <c r="O554" s="25"/>
      <c r="P554" s="25"/>
      <c r="Q554" s="24">
        <f t="shared" si="31"/>
        <v>0</v>
      </c>
      <c r="R554" s="388"/>
    </row>
    <row r="555" spans="1:18" ht="28.5" customHeight="1" hidden="1">
      <c r="A555" s="23"/>
      <c r="B555" s="23"/>
      <c r="C555" s="686" t="s">
        <v>598</v>
      </c>
      <c r="D555" s="386" t="s">
        <v>599</v>
      </c>
      <c r="E555" s="185"/>
      <c r="F555" s="13">
        <v>162641</v>
      </c>
      <c r="G555" s="25"/>
      <c r="H555" s="29"/>
      <c r="I555" s="25"/>
      <c r="J555" s="25"/>
      <c r="K555" s="25"/>
      <c r="L555" s="25"/>
      <c r="M555" s="25"/>
      <c r="N555" s="25"/>
      <c r="O555" s="25"/>
      <c r="P555" s="25"/>
      <c r="Q555" s="24">
        <f t="shared" si="31"/>
        <v>0</v>
      </c>
      <c r="R555" s="388"/>
    </row>
    <row r="556" spans="1:18" ht="14.25" customHeight="1" hidden="1">
      <c r="A556" s="23"/>
      <c r="B556" s="23"/>
      <c r="C556" s="686" t="s">
        <v>444</v>
      </c>
      <c r="D556" s="386" t="s">
        <v>445</v>
      </c>
      <c r="E556" s="185"/>
      <c r="F556" s="13">
        <v>162686</v>
      </c>
      <c r="G556" s="25"/>
      <c r="H556" s="298"/>
      <c r="I556" s="25"/>
      <c r="J556" s="25"/>
      <c r="K556" s="25"/>
      <c r="L556" s="25"/>
      <c r="M556" s="25"/>
      <c r="N556" s="25"/>
      <c r="O556" s="25"/>
      <c r="P556" s="25"/>
      <c r="Q556" s="24">
        <f t="shared" si="31"/>
        <v>0</v>
      </c>
      <c r="R556" s="388"/>
    </row>
    <row r="557" spans="1:18" ht="15" customHeight="1" hidden="1">
      <c r="A557" s="23"/>
      <c r="B557" s="23"/>
      <c r="C557" s="698" t="s">
        <v>449</v>
      </c>
      <c r="D557" s="386" t="s">
        <v>450</v>
      </c>
      <c r="E557" s="185"/>
      <c r="F557" s="13">
        <v>162687</v>
      </c>
      <c r="G557" s="25"/>
      <c r="H557" s="298"/>
      <c r="I557" s="25"/>
      <c r="J557" s="25"/>
      <c r="K557" s="25"/>
      <c r="L557" s="25"/>
      <c r="M557" s="25"/>
      <c r="N557" s="25"/>
      <c r="O557" s="25"/>
      <c r="P557" s="25"/>
      <c r="Q557" s="24">
        <f t="shared" si="31"/>
        <v>0</v>
      </c>
      <c r="R557" s="388"/>
    </row>
    <row r="558" spans="1:18" ht="12.75" customHeight="1" hidden="1">
      <c r="A558" s="23"/>
      <c r="B558" s="23"/>
      <c r="C558" s="452"/>
      <c r="D558" s="450" t="s">
        <v>198</v>
      </c>
      <c r="E558" s="185"/>
      <c r="F558" s="23"/>
      <c r="G558" s="25"/>
      <c r="H558" s="298"/>
      <c r="I558" s="25"/>
      <c r="J558" s="25"/>
      <c r="K558" s="25"/>
      <c r="L558" s="25"/>
      <c r="M558" s="25"/>
      <c r="N558" s="25"/>
      <c r="O558" s="25"/>
      <c r="P558" s="25"/>
      <c r="Q558" s="24"/>
      <c r="R558" s="388"/>
    </row>
    <row r="559" spans="1:18" ht="24" customHeight="1" hidden="1">
      <c r="A559" s="23"/>
      <c r="B559" s="23"/>
      <c r="C559" s="452" t="s">
        <v>545</v>
      </c>
      <c r="D559" s="141" t="s">
        <v>1162</v>
      </c>
      <c r="E559" s="185"/>
      <c r="F559" s="23">
        <v>162606</v>
      </c>
      <c r="G559" s="25"/>
      <c r="H559" s="298"/>
      <c r="I559" s="25"/>
      <c r="J559" s="25"/>
      <c r="K559" s="25"/>
      <c r="L559" s="25"/>
      <c r="M559" s="25"/>
      <c r="N559" s="25"/>
      <c r="O559" s="25"/>
      <c r="P559" s="25"/>
      <c r="Q559" s="24">
        <f aca="true" t="shared" si="32" ref="Q559:Q574">SUM(G559:P559)</f>
        <v>0</v>
      </c>
      <c r="R559" s="388"/>
    </row>
    <row r="560" spans="1:18" ht="12.75" customHeight="1" hidden="1">
      <c r="A560" s="23"/>
      <c r="B560" s="23"/>
      <c r="C560" s="458" t="s">
        <v>546</v>
      </c>
      <c r="D560" s="459" t="s">
        <v>491</v>
      </c>
      <c r="E560" s="14"/>
      <c r="F560" s="13">
        <v>162613</v>
      </c>
      <c r="G560" s="15"/>
      <c r="H560" s="184"/>
      <c r="I560" s="15"/>
      <c r="J560" s="15"/>
      <c r="K560" s="15"/>
      <c r="L560" s="15"/>
      <c r="M560" s="15"/>
      <c r="N560" s="15"/>
      <c r="O560" s="15"/>
      <c r="P560" s="15"/>
      <c r="Q560" s="16">
        <f t="shared" si="32"/>
        <v>0</v>
      </c>
      <c r="R560" s="388"/>
    </row>
    <row r="561" spans="1:18" ht="26.25" customHeight="1" hidden="1">
      <c r="A561" s="23"/>
      <c r="B561" s="23"/>
      <c r="C561" s="452" t="s">
        <v>547</v>
      </c>
      <c r="D561" s="146" t="s">
        <v>943</v>
      </c>
      <c r="E561" s="185" t="s">
        <v>469</v>
      </c>
      <c r="F561" s="23">
        <v>162683</v>
      </c>
      <c r="G561" s="25"/>
      <c r="H561" s="298"/>
      <c r="I561" s="25"/>
      <c r="J561" s="25"/>
      <c r="K561" s="25"/>
      <c r="L561" s="15"/>
      <c r="M561" s="25"/>
      <c r="N561" s="25"/>
      <c r="O561" s="25"/>
      <c r="P561" s="25"/>
      <c r="Q561" s="24">
        <f t="shared" si="32"/>
        <v>0</v>
      </c>
      <c r="R561" s="388"/>
    </row>
    <row r="562" spans="1:18" ht="12.75" customHeight="1" hidden="1">
      <c r="A562" s="23"/>
      <c r="B562" s="23"/>
      <c r="C562" s="452" t="s">
        <v>548</v>
      </c>
      <c r="D562" s="139" t="s">
        <v>944</v>
      </c>
      <c r="E562" s="185" t="s">
        <v>469</v>
      </c>
      <c r="F562" s="23">
        <v>162403</v>
      </c>
      <c r="G562" s="25"/>
      <c r="H562" s="298"/>
      <c r="I562" s="25"/>
      <c r="J562" s="25"/>
      <c r="K562" s="25"/>
      <c r="L562" s="15"/>
      <c r="M562" s="25"/>
      <c r="N562" s="25"/>
      <c r="O562" s="25"/>
      <c r="P562" s="25"/>
      <c r="Q562" s="24">
        <f t="shared" si="32"/>
        <v>0</v>
      </c>
      <c r="R562" s="388"/>
    </row>
    <row r="563" spans="1:18" ht="12.75" customHeight="1">
      <c r="A563" s="23"/>
      <c r="B563" s="23"/>
      <c r="C563" s="458" t="s">
        <v>549</v>
      </c>
      <c r="D563" s="136" t="s">
        <v>429</v>
      </c>
      <c r="E563" s="185"/>
      <c r="F563" s="23">
        <v>162642</v>
      </c>
      <c r="G563" s="25"/>
      <c r="H563" s="298"/>
      <c r="I563" s="25">
        <v>539</v>
      </c>
      <c r="J563" s="25"/>
      <c r="K563" s="25"/>
      <c r="L563" s="15">
        <v>-539</v>
      </c>
      <c r="M563" s="25"/>
      <c r="N563" s="25"/>
      <c r="O563" s="25"/>
      <c r="P563" s="25"/>
      <c r="Q563" s="24">
        <f t="shared" si="32"/>
        <v>0</v>
      </c>
      <c r="R563" s="388" t="s">
        <v>658</v>
      </c>
    </row>
    <row r="564" spans="1:18" ht="25.5" customHeight="1" hidden="1">
      <c r="A564" s="23"/>
      <c r="B564" s="23"/>
      <c r="C564" s="458" t="s">
        <v>550</v>
      </c>
      <c r="D564" s="136" t="s">
        <v>453</v>
      </c>
      <c r="E564" s="185"/>
      <c r="F564" s="23">
        <v>162643</v>
      </c>
      <c r="G564" s="25"/>
      <c r="H564" s="298"/>
      <c r="I564" s="25"/>
      <c r="J564" s="25"/>
      <c r="K564" s="25"/>
      <c r="L564" s="15"/>
      <c r="M564" s="25"/>
      <c r="N564" s="25"/>
      <c r="O564" s="25"/>
      <c r="P564" s="25"/>
      <c r="Q564" s="24">
        <f t="shared" si="32"/>
        <v>0</v>
      </c>
      <c r="R564" s="388"/>
    </row>
    <row r="565" spans="1:18" ht="26.25" customHeight="1">
      <c r="A565" s="23"/>
      <c r="B565" s="23"/>
      <c r="C565" s="458" t="s">
        <v>1169</v>
      </c>
      <c r="D565" s="369" t="s">
        <v>945</v>
      </c>
      <c r="E565" s="185"/>
      <c r="F565" s="23">
        <v>162678</v>
      </c>
      <c r="G565" s="25"/>
      <c r="H565" s="298"/>
      <c r="I565" s="25">
        <v>19528</v>
      </c>
      <c r="J565" s="25"/>
      <c r="K565" s="25"/>
      <c r="L565" s="15">
        <v>-18531</v>
      </c>
      <c r="M565" s="25"/>
      <c r="N565" s="25"/>
      <c r="O565" s="25"/>
      <c r="P565" s="25"/>
      <c r="Q565" s="24">
        <f t="shared" si="32"/>
        <v>997</v>
      </c>
      <c r="R565" s="388" t="s">
        <v>147</v>
      </c>
    </row>
    <row r="566" spans="1:18" ht="12.75" customHeight="1">
      <c r="A566" s="23"/>
      <c r="B566" s="23"/>
      <c r="C566" s="458" t="s">
        <v>1170</v>
      </c>
      <c r="D566" s="460" t="s">
        <v>1168</v>
      </c>
      <c r="E566" s="185"/>
      <c r="F566" s="23">
        <v>162672</v>
      </c>
      <c r="G566" s="25"/>
      <c r="H566" s="298"/>
      <c r="I566" s="25">
        <v>5380</v>
      </c>
      <c r="J566" s="25"/>
      <c r="K566" s="25"/>
      <c r="L566" s="15">
        <v>-5380</v>
      </c>
      <c r="M566" s="25"/>
      <c r="N566" s="25"/>
      <c r="O566" s="25"/>
      <c r="P566" s="25"/>
      <c r="Q566" s="24">
        <f t="shared" si="32"/>
        <v>0</v>
      </c>
      <c r="R566" s="388" t="s">
        <v>147</v>
      </c>
    </row>
    <row r="567" spans="1:18" ht="27.75" customHeight="1" hidden="1">
      <c r="A567" s="23"/>
      <c r="B567" s="23"/>
      <c r="C567" s="458" t="s">
        <v>1171</v>
      </c>
      <c r="D567" s="461" t="s">
        <v>701</v>
      </c>
      <c r="E567" s="185"/>
      <c r="F567" s="23">
        <v>162664</v>
      </c>
      <c r="G567" s="25"/>
      <c r="H567" s="298"/>
      <c r="I567" s="25"/>
      <c r="J567" s="25"/>
      <c r="K567" s="25"/>
      <c r="L567" s="15"/>
      <c r="M567" s="25"/>
      <c r="N567" s="25"/>
      <c r="O567" s="25"/>
      <c r="P567" s="25"/>
      <c r="Q567" s="24">
        <f t="shared" si="32"/>
        <v>0</v>
      </c>
      <c r="R567" s="388"/>
    </row>
    <row r="568" spans="1:18" ht="38.25" customHeight="1" hidden="1">
      <c r="A568" s="23"/>
      <c r="B568" s="23"/>
      <c r="C568" s="458" t="s">
        <v>1173</v>
      </c>
      <c r="D568" s="461" t="s">
        <v>702</v>
      </c>
      <c r="E568" s="185"/>
      <c r="F568" s="23">
        <v>162665</v>
      </c>
      <c r="G568" s="25"/>
      <c r="H568" s="298"/>
      <c r="I568" s="25"/>
      <c r="J568" s="25"/>
      <c r="K568" s="25"/>
      <c r="L568" s="25"/>
      <c r="M568" s="25"/>
      <c r="N568" s="25"/>
      <c r="O568" s="25"/>
      <c r="P568" s="25"/>
      <c r="Q568" s="24">
        <f t="shared" si="32"/>
        <v>0</v>
      </c>
      <c r="R568" s="388"/>
    </row>
    <row r="569" spans="1:18" ht="27.75" customHeight="1" hidden="1">
      <c r="A569" s="23"/>
      <c r="B569" s="23"/>
      <c r="C569" s="458" t="s">
        <v>1174</v>
      </c>
      <c r="D569" s="462" t="s">
        <v>476</v>
      </c>
      <c r="E569" s="185"/>
      <c r="F569" s="23">
        <v>162662</v>
      </c>
      <c r="G569" s="25"/>
      <c r="H569" s="298"/>
      <c r="I569" s="25"/>
      <c r="J569" s="25"/>
      <c r="K569" s="25"/>
      <c r="L569" s="25"/>
      <c r="M569" s="25"/>
      <c r="N569" s="25"/>
      <c r="O569" s="25"/>
      <c r="P569" s="25"/>
      <c r="Q569" s="24">
        <f t="shared" si="32"/>
        <v>0</v>
      </c>
      <c r="R569" s="388"/>
    </row>
    <row r="570" spans="1:18" ht="40.5" customHeight="1" hidden="1">
      <c r="A570" s="23"/>
      <c r="B570" s="23"/>
      <c r="C570" s="458" t="s">
        <v>1175</v>
      </c>
      <c r="D570" s="463" t="s">
        <v>1172</v>
      </c>
      <c r="E570" s="185"/>
      <c r="F570" s="23">
        <v>162671</v>
      </c>
      <c r="G570" s="25"/>
      <c r="H570" s="298"/>
      <c r="I570" s="25"/>
      <c r="J570" s="25"/>
      <c r="K570" s="25"/>
      <c r="L570" s="25"/>
      <c r="M570" s="25"/>
      <c r="N570" s="25"/>
      <c r="O570" s="25"/>
      <c r="P570" s="25"/>
      <c r="Q570" s="24">
        <f t="shared" si="32"/>
        <v>0</v>
      </c>
      <c r="R570" s="388"/>
    </row>
    <row r="571" spans="1:18" ht="25.5" customHeight="1" hidden="1">
      <c r="A571" s="23"/>
      <c r="B571" s="23"/>
      <c r="C571" s="458" t="s">
        <v>1177</v>
      </c>
      <c r="D571" s="461" t="s">
        <v>1176</v>
      </c>
      <c r="E571" s="185"/>
      <c r="F571" s="23">
        <v>162673</v>
      </c>
      <c r="G571" s="25"/>
      <c r="H571" s="298"/>
      <c r="I571" s="25"/>
      <c r="J571" s="25"/>
      <c r="K571" s="25"/>
      <c r="L571" s="25"/>
      <c r="M571" s="25"/>
      <c r="N571" s="25"/>
      <c r="O571" s="25"/>
      <c r="P571" s="25"/>
      <c r="Q571" s="24">
        <f t="shared" si="32"/>
        <v>0</v>
      </c>
      <c r="R571" s="388"/>
    </row>
    <row r="572" spans="1:18" ht="12.75" customHeight="1" hidden="1">
      <c r="A572" s="23"/>
      <c r="B572" s="23"/>
      <c r="C572" s="458" t="s">
        <v>1178</v>
      </c>
      <c r="D572" s="464" t="s">
        <v>492</v>
      </c>
      <c r="E572" s="185"/>
      <c r="F572" s="23">
        <v>162618</v>
      </c>
      <c r="G572" s="25"/>
      <c r="H572" s="298"/>
      <c r="I572" s="25"/>
      <c r="J572" s="25"/>
      <c r="K572" s="25"/>
      <c r="L572" s="25"/>
      <c r="M572" s="25"/>
      <c r="N572" s="25"/>
      <c r="O572" s="25"/>
      <c r="P572" s="25"/>
      <c r="Q572" s="24">
        <f t="shared" si="32"/>
        <v>0</v>
      </c>
      <c r="R572" s="388"/>
    </row>
    <row r="573" spans="1:18" ht="12.75" customHeight="1" hidden="1">
      <c r="A573" s="23"/>
      <c r="B573" s="23"/>
      <c r="C573" s="458" t="s">
        <v>1179</v>
      </c>
      <c r="D573" s="465" t="s">
        <v>419</v>
      </c>
      <c r="E573" s="185"/>
      <c r="F573" s="23">
        <v>162653</v>
      </c>
      <c r="G573" s="25"/>
      <c r="H573" s="298"/>
      <c r="I573" s="25"/>
      <c r="J573" s="25"/>
      <c r="K573" s="25"/>
      <c r="L573" s="25"/>
      <c r="M573" s="25"/>
      <c r="N573" s="25"/>
      <c r="O573" s="25"/>
      <c r="P573" s="25"/>
      <c r="Q573" s="24">
        <f t="shared" si="32"/>
        <v>0</v>
      </c>
      <c r="R573" s="388"/>
    </row>
    <row r="574" spans="1:18" ht="12.75" customHeight="1">
      <c r="A574" s="23"/>
      <c r="B574" s="23"/>
      <c r="C574" s="458" t="s">
        <v>418</v>
      </c>
      <c r="D574" s="466" t="s">
        <v>383</v>
      </c>
      <c r="E574" s="185"/>
      <c r="F574" s="23">
        <v>164604</v>
      </c>
      <c r="G574" s="25"/>
      <c r="H574" s="298"/>
      <c r="I574" s="25"/>
      <c r="J574" s="25"/>
      <c r="K574" s="25"/>
      <c r="L574" s="25"/>
      <c r="M574" s="15">
        <v>-11000</v>
      </c>
      <c r="N574" s="25"/>
      <c r="O574" s="25"/>
      <c r="P574" s="25"/>
      <c r="Q574" s="24">
        <f t="shared" si="32"/>
        <v>-11000</v>
      </c>
      <c r="R574" s="388" t="s">
        <v>147</v>
      </c>
    </row>
    <row r="575" spans="1:18" ht="12.75" customHeight="1">
      <c r="A575" s="23" t="s">
        <v>1366</v>
      </c>
      <c r="B575" s="23"/>
      <c r="C575" s="422" t="s">
        <v>891</v>
      </c>
      <c r="D575" s="423" t="s">
        <v>551</v>
      </c>
      <c r="E575" s="185"/>
      <c r="F575" s="23"/>
      <c r="G575" s="25"/>
      <c r="H575" s="298"/>
      <c r="I575" s="25"/>
      <c r="J575" s="25"/>
      <c r="K575" s="25"/>
      <c r="L575" s="25"/>
      <c r="M575" s="25"/>
      <c r="N575" s="25"/>
      <c r="O575" s="25"/>
      <c r="P575" s="25"/>
      <c r="Q575" s="24"/>
      <c r="R575" s="388"/>
    </row>
    <row r="576" spans="1:18" ht="12.75" customHeight="1">
      <c r="A576" s="23"/>
      <c r="B576" s="23"/>
      <c r="C576" s="452"/>
      <c r="D576" s="450" t="s">
        <v>198</v>
      </c>
      <c r="E576" s="185"/>
      <c r="F576" s="23"/>
      <c r="G576" s="25"/>
      <c r="H576" s="298"/>
      <c r="I576" s="25"/>
      <c r="J576" s="25"/>
      <c r="K576" s="25"/>
      <c r="L576" s="25"/>
      <c r="M576" s="25"/>
      <c r="N576" s="25"/>
      <c r="O576" s="25"/>
      <c r="P576" s="25"/>
      <c r="Q576" s="24"/>
      <c r="R576" s="388"/>
    </row>
    <row r="577" spans="1:18" ht="25.5" customHeight="1">
      <c r="A577" s="23"/>
      <c r="B577" s="23"/>
      <c r="C577" s="452" t="s">
        <v>350</v>
      </c>
      <c r="D577" s="467" t="s">
        <v>1180</v>
      </c>
      <c r="E577" s="185"/>
      <c r="F577" s="23">
        <v>162701</v>
      </c>
      <c r="G577" s="25"/>
      <c r="H577" s="298"/>
      <c r="I577" s="25">
        <v>2530</v>
      </c>
      <c r="J577" s="25"/>
      <c r="K577" s="25"/>
      <c r="L577" s="25">
        <v>-2530</v>
      </c>
      <c r="M577" s="25"/>
      <c r="N577" s="25"/>
      <c r="O577" s="25"/>
      <c r="P577" s="25"/>
      <c r="Q577" s="24">
        <f>SUM(G577:P577)</f>
        <v>0</v>
      </c>
      <c r="R577" s="388" t="s">
        <v>147</v>
      </c>
    </row>
    <row r="578" spans="1:18" ht="39" customHeight="1" hidden="1">
      <c r="A578" s="23"/>
      <c r="B578" s="23"/>
      <c r="C578" s="452" t="s">
        <v>1181</v>
      </c>
      <c r="D578" s="468" t="s">
        <v>477</v>
      </c>
      <c r="E578" s="185"/>
      <c r="F578" s="23">
        <v>162711</v>
      </c>
      <c r="G578" s="25"/>
      <c r="H578" s="298"/>
      <c r="I578" s="25"/>
      <c r="J578" s="25"/>
      <c r="K578" s="25"/>
      <c r="L578" s="25"/>
      <c r="M578" s="25"/>
      <c r="N578" s="25"/>
      <c r="O578" s="25"/>
      <c r="P578" s="25"/>
      <c r="Q578" s="24">
        <f>SUM(G578:P578)</f>
        <v>0</v>
      </c>
      <c r="R578" s="388"/>
    </row>
    <row r="579" spans="1:18" ht="50.25" customHeight="1" hidden="1">
      <c r="A579" s="23"/>
      <c r="B579" s="23"/>
      <c r="C579" s="452" t="s">
        <v>946</v>
      </c>
      <c r="D579" s="469" t="s">
        <v>947</v>
      </c>
      <c r="E579" s="185"/>
      <c r="F579" s="23">
        <v>162712</v>
      </c>
      <c r="G579" s="25"/>
      <c r="H579" s="298"/>
      <c r="I579" s="25"/>
      <c r="J579" s="25"/>
      <c r="K579" s="25"/>
      <c r="L579" s="25"/>
      <c r="M579" s="25"/>
      <c r="N579" s="25"/>
      <c r="O579" s="25"/>
      <c r="P579" s="25"/>
      <c r="Q579" s="24">
        <f>SUM(G579:P579)</f>
        <v>0</v>
      </c>
      <c r="R579" s="388"/>
    </row>
    <row r="580" spans="1:18" ht="12.75" customHeight="1" hidden="1">
      <c r="A580" s="23"/>
      <c r="B580" s="23"/>
      <c r="C580" s="422" t="s">
        <v>678</v>
      </c>
      <c r="D580" s="470" t="s">
        <v>679</v>
      </c>
      <c r="E580" s="185"/>
      <c r="F580" s="23"/>
      <c r="G580" s="25"/>
      <c r="H580" s="298"/>
      <c r="I580" s="25"/>
      <c r="J580" s="25"/>
      <c r="K580" s="25"/>
      <c r="L580" s="25"/>
      <c r="M580" s="25"/>
      <c r="N580" s="25"/>
      <c r="O580" s="25"/>
      <c r="P580" s="25"/>
      <c r="Q580" s="24"/>
      <c r="R580" s="388"/>
    </row>
    <row r="581" spans="1:18" ht="12.75" customHeight="1" hidden="1">
      <c r="A581" s="23"/>
      <c r="B581" s="23"/>
      <c r="C581" s="446"/>
      <c r="D581" s="132" t="s">
        <v>198</v>
      </c>
      <c r="E581" s="185"/>
      <c r="F581" s="23"/>
      <c r="G581" s="25"/>
      <c r="H581" s="298"/>
      <c r="I581" s="25"/>
      <c r="J581" s="25"/>
      <c r="K581" s="25"/>
      <c r="L581" s="25"/>
      <c r="M581" s="25"/>
      <c r="N581" s="25"/>
      <c r="O581" s="25"/>
      <c r="P581" s="25"/>
      <c r="Q581" s="24"/>
      <c r="R581" s="388"/>
    </row>
    <row r="582" spans="1:18" ht="24.75" customHeight="1" hidden="1">
      <c r="A582" s="23"/>
      <c r="B582" s="23"/>
      <c r="C582" s="446" t="s">
        <v>1182</v>
      </c>
      <c r="D582" s="471" t="s">
        <v>948</v>
      </c>
      <c r="E582" s="185"/>
      <c r="F582" s="23">
        <v>164906</v>
      </c>
      <c r="G582" s="25"/>
      <c r="H582" s="298"/>
      <c r="I582" s="25"/>
      <c r="J582" s="25"/>
      <c r="K582" s="25"/>
      <c r="L582" s="15"/>
      <c r="M582" s="15"/>
      <c r="N582" s="25"/>
      <c r="O582" s="25"/>
      <c r="P582" s="25"/>
      <c r="Q582" s="24">
        <f>SUM(G582:P582)</f>
        <v>0</v>
      </c>
      <c r="R582" s="388"/>
    </row>
    <row r="583" spans="1:18" ht="12.75" customHeight="1">
      <c r="A583" s="23"/>
      <c r="B583" s="23"/>
      <c r="C583" s="422" t="s">
        <v>680</v>
      </c>
      <c r="D583" s="423" t="s">
        <v>681</v>
      </c>
      <c r="E583" s="185"/>
      <c r="F583" s="23"/>
      <c r="G583" s="25"/>
      <c r="H583" s="298"/>
      <c r="I583" s="25"/>
      <c r="J583" s="25"/>
      <c r="K583" s="25"/>
      <c r="L583" s="15"/>
      <c r="M583" s="15"/>
      <c r="N583" s="25"/>
      <c r="O583" s="25"/>
      <c r="P583" s="25"/>
      <c r="Q583" s="24"/>
      <c r="R583" s="388"/>
    </row>
    <row r="584" spans="1:18" ht="12.75" customHeight="1" hidden="1">
      <c r="A584" s="23"/>
      <c r="B584" s="23"/>
      <c r="C584" s="452" t="s">
        <v>682</v>
      </c>
      <c r="D584" s="421" t="s">
        <v>949</v>
      </c>
      <c r="E584" s="185"/>
      <c r="F584" s="23">
        <v>162903</v>
      </c>
      <c r="G584" s="25"/>
      <c r="H584" s="298"/>
      <c r="I584" s="25"/>
      <c r="J584" s="25"/>
      <c r="K584" s="25"/>
      <c r="L584" s="15"/>
      <c r="M584" s="15"/>
      <c r="N584" s="25"/>
      <c r="O584" s="25"/>
      <c r="P584" s="25"/>
      <c r="Q584" s="24">
        <f aca="true" t="shared" si="33" ref="Q584:Q597">SUM(G584:P584)</f>
        <v>0</v>
      </c>
      <c r="R584" s="388"/>
    </row>
    <row r="585" spans="1:18" ht="26.25" customHeight="1">
      <c r="A585" s="23"/>
      <c r="B585" s="23"/>
      <c r="C585" s="452" t="s">
        <v>683</v>
      </c>
      <c r="D585" s="385" t="s">
        <v>950</v>
      </c>
      <c r="E585" s="185"/>
      <c r="F585" s="23">
        <v>162904</v>
      </c>
      <c r="G585" s="25"/>
      <c r="H585" s="298"/>
      <c r="I585" s="25">
        <v>28</v>
      </c>
      <c r="J585" s="25"/>
      <c r="K585" s="25"/>
      <c r="L585" s="15"/>
      <c r="M585" s="15"/>
      <c r="N585" s="25"/>
      <c r="O585" s="25"/>
      <c r="P585" s="25"/>
      <c r="Q585" s="24">
        <f t="shared" si="33"/>
        <v>28</v>
      </c>
      <c r="R585" s="388" t="s">
        <v>658</v>
      </c>
    </row>
    <row r="586" spans="1:18" ht="12.75" customHeight="1" hidden="1">
      <c r="A586" s="23"/>
      <c r="B586" s="23"/>
      <c r="C586" s="452" t="s">
        <v>684</v>
      </c>
      <c r="D586" s="385" t="s">
        <v>951</v>
      </c>
      <c r="E586" s="185"/>
      <c r="F586" s="23">
        <v>164506</v>
      </c>
      <c r="G586" s="25"/>
      <c r="H586" s="298"/>
      <c r="I586" s="25"/>
      <c r="J586" s="25"/>
      <c r="K586" s="25"/>
      <c r="L586" s="15"/>
      <c r="M586" s="15"/>
      <c r="N586" s="25"/>
      <c r="O586" s="25"/>
      <c r="P586" s="25"/>
      <c r="Q586" s="24">
        <f t="shared" si="33"/>
        <v>0</v>
      </c>
      <c r="R586" s="388"/>
    </row>
    <row r="587" spans="1:18" ht="39.75" customHeight="1" hidden="1">
      <c r="A587" s="23"/>
      <c r="B587" s="23"/>
      <c r="C587" s="452" t="s">
        <v>685</v>
      </c>
      <c r="D587" s="471" t="s">
        <v>952</v>
      </c>
      <c r="E587" s="14"/>
      <c r="F587" s="13">
        <v>162905</v>
      </c>
      <c r="G587" s="20"/>
      <c r="H587" s="20"/>
      <c r="I587" s="20"/>
      <c r="J587" s="15"/>
      <c r="K587" s="15"/>
      <c r="L587" s="15"/>
      <c r="M587" s="20"/>
      <c r="N587" s="15"/>
      <c r="O587" s="15"/>
      <c r="P587" s="20"/>
      <c r="Q587" s="16">
        <f t="shared" si="33"/>
        <v>0</v>
      </c>
      <c r="R587" s="388"/>
    </row>
    <row r="588" spans="1:18" ht="29.25" customHeight="1" hidden="1">
      <c r="A588" s="23"/>
      <c r="B588" s="23"/>
      <c r="C588" s="452" t="s">
        <v>279</v>
      </c>
      <c r="D588" s="144" t="s">
        <v>494</v>
      </c>
      <c r="E588" s="14"/>
      <c r="F588" s="13">
        <v>172905</v>
      </c>
      <c r="G588" s="15"/>
      <c r="H588" s="15"/>
      <c r="I588" s="15"/>
      <c r="J588" s="15"/>
      <c r="K588" s="15"/>
      <c r="L588" s="15"/>
      <c r="M588" s="15"/>
      <c r="N588" s="15"/>
      <c r="O588" s="20"/>
      <c r="P588" s="20"/>
      <c r="Q588" s="16">
        <f t="shared" si="33"/>
        <v>0</v>
      </c>
      <c r="R588" s="388"/>
    </row>
    <row r="589" spans="1:18" ht="17.25" customHeight="1">
      <c r="A589" s="23"/>
      <c r="B589" s="23"/>
      <c r="C589" s="452" t="s">
        <v>280</v>
      </c>
      <c r="D589" s="471" t="s">
        <v>953</v>
      </c>
      <c r="E589" s="185"/>
      <c r="F589" s="23">
        <v>154908</v>
      </c>
      <c r="G589" s="25"/>
      <c r="H589" s="298"/>
      <c r="I589" s="25"/>
      <c r="J589" s="25"/>
      <c r="K589" s="25"/>
      <c r="L589" s="15"/>
      <c r="M589" s="15">
        <v>320</v>
      </c>
      <c r="N589" s="25"/>
      <c r="O589" s="25"/>
      <c r="P589" s="25"/>
      <c r="Q589" s="24">
        <f t="shared" si="33"/>
        <v>320</v>
      </c>
      <c r="R589" s="388" t="s">
        <v>147</v>
      </c>
    </row>
    <row r="590" spans="1:18" ht="29.25" customHeight="1" hidden="1">
      <c r="A590" s="23"/>
      <c r="B590" s="23"/>
      <c r="C590" s="452" t="s">
        <v>384</v>
      </c>
      <c r="D590" s="369" t="s">
        <v>954</v>
      </c>
      <c r="E590" s="185"/>
      <c r="F590" s="23">
        <v>162906</v>
      </c>
      <c r="G590" s="25"/>
      <c r="H590" s="298"/>
      <c r="I590" s="25"/>
      <c r="J590" s="25"/>
      <c r="K590" s="25"/>
      <c r="L590" s="15"/>
      <c r="M590" s="15"/>
      <c r="N590" s="25"/>
      <c r="O590" s="25"/>
      <c r="P590" s="25"/>
      <c r="Q590" s="24">
        <f t="shared" si="33"/>
        <v>0</v>
      </c>
      <c r="R590" s="388"/>
    </row>
    <row r="591" spans="1:18" ht="36" customHeight="1" hidden="1">
      <c r="A591" s="23"/>
      <c r="B591" s="23"/>
      <c r="C591" s="452" t="s">
        <v>381</v>
      </c>
      <c r="D591" s="149" t="s">
        <v>553</v>
      </c>
      <c r="E591" s="14"/>
      <c r="F591" s="13">
        <v>174902</v>
      </c>
      <c r="G591" s="15"/>
      <c r="H591" s="15"/>
      <c r="I591" s="15"/>
      <c r="J591" s="15"/>
      <c r="K591" s="15"/>
      <c r="L591" s="15"/>
      <c r="M591" s="15"/>
      <c r="N591" s="15"/>
      <c r="O591" s="20"/>
      <c r="P591" s="20"/>
      <c r="Q591" s="16">
        <f t="shared" si="33"/>
        <v>0</v>
      </c>
      <c r="R591" s="388"/>
    </row>
    <row r="592" spans="1:18" ht="15.75" customHeight="1" hidden="1">
      <c r="A592" s="23"/>
      <c r="B592" s="23"/>
      <c r="C592" s="452" t="s">
        <v>382</v>
      </c>
      <c r="D592" s="428" t="s">
        <v>955</v>
      </c>
      <c r="E592" s="14"/>
      <c r="F592" s="13">
        <v>162907</v>
      </c>
      <c r="G592" s="15"/>
      <c r="H592" s="15"/>
      <c r="I592" s="15"/>
      <c r="J592" s="15"/>
      <c r="K592" s="15"/>
      <c r="L592" s="15"/>
      <c r="M592" s="15"/>
      <c r="N592" s="15"/>
      <c r="O592" s="20"/>
      <c r="P592" s="20"/>
      <c r="Q592" s="16">
        <f t="shared" si="33"/>
        <v>0</v>
      </c>
      <c r="R592" s="388"/>
    </row>
    <row r="593" spans="1:18" ht="15.75" customHeight="1">
      <c r="A593" s="23"/>
      <c r="B593" s="23"/>
      <c r="C593" s="452" t="s">
        <v>439</v>
      </c>
      <c r="D593" s="697" t="s">
        <v>440</v>
      </c>
      <c r="E593" s="14"/>
      <c r="F593" s="13">
        <v>162908</v>
      </c>
      <c r="G593" s="15"/>
      <c r="H593" s="15"/>
      <c r="I593" s="15">
        <v>-10000</v>
      </c>
      <c r="J593" s="15"/>
      <c r="K593" s="15"/>
      <c r="L593" s="15"/>
      <c r="M593" s="15"/>
      <c r="N593" s="15"/>
      <c r="O593" s="20"/>
      <c r="P593" s="20"/>
      <c r="Q593" s="16">
        <f t="shared" si="33"/>
        <v>-10000</v>
      </c>
      <c r="R593" s="388" t="s">
        <v>147</v>
      </c>
    </row>
    <row r="594" spans="1:18" ht="12.75" customHeight="1">
      <c r="A594" s="23"/>
      <c r="B594" s="23"/>
      <c r="C594" s="422"/>
      <c r="D594" s="132" t="s">
        <v>198</v>
      </c>
      <c r="E594" s="185"/>
      <c r="F594" s="23"/>
      <c r="G594" s="25"/>
      <c r="H594" s="298"/>
      <c r="I594" s="25"/>
      <c r="J594" s="25"/>
      <c r="K594" s="25"/>
      <c r="L594" s="15"/>
      <c r="M594" s="15"/>
      <c r="N594" s="25"/>
      <c r="O594" s="25"/>
      <c r="P594" s="25"/>
      <c r="Q594" s="24"/>
      <c r="R594" s="388"/>
    </row>
    <row r="595" spans="1:18" ht="25.5" customHeight="1" hidden="1">
      <c r="A595" s="23"/>
      <c r="B595" s="23"/>
      <c r="C595" s="452" t="s">
        <v>552</v>
      </c>
      <c r="D595" s="472" t="s">
        <v>1183</v>
      </c>
      <c r="E595" s="185"/>
      <c r="F595" s="23">
        <v>162909</v>
      </c>
      <c r="G595" s="25"/>
      <c r="H595" s="298"/>
      <c r="I595" s="25"/>
      <c r="J595" s="25"/>
      <c r="K595" s="25"/>
      <c r="L595" s="15"/>
      <c r="M595" s="15"/>
      <c r="N595" s="25"/>
      <c r="O595" s="25"/>
      <c r="P595" s="25"/>
      <c r="Q595" s="24">
        <f t="shared" si="33"/>
        <v>0</v>
      </c>
      <c r="R595" s="388"/>
    </row>
    <row r="596" spans="1:18" ht="14.25" customHeight="1">
      <c r="A596" s="23"/>
      <c r="B596" s="23"/>
      <c r="C596" s="452" t="s">
        <v>493</v>
      </c>
      <c r="D596" s="472" t="s">
        <v>1184</v>
      </c>
      <c r="E596" s="185"/>
      <c r="F596" s="23">
        <v>162901</v>
      </c>
      <c r="G596" s="25"/>
      <c r="H596" s="298"/>
      <c r="I596" s="25"/>
      <c r="J596" s="25"/>
      <c r="K596" s="25"/>
      <c r="L596" s="15">
        <v>4700</v>
      </c>
      <c r="M596" s="15"/>
      <c r="N596" s="25"/>
      <c r="O596" s="25"/>
      <c r="P596" s="25"/>
      <c r="Q596" s="24">
        <f t="shared" si="33"/>
        <v>4700</v>
      </c>
      <c r="R596" s="388" t="s">
        <v>147</v>
      </c>
    </row>
    <row r="597" spans="1:18" ht="26.25" customHeight="1">
      <c r="A597" s="23"/>
      <c r="B597" s="23"/>
      <c r="C597" s="452" t="s">
        <v>790</v>
      </c>
      <c r="D597" s="473" t="s">
        <v>1185</v>
      </c>
      <c r="E597" s="185"/>
      <c r="F597" s="23">
        <v>162910</v>
      </c>
      <c r="G597" s="25"/>
      <c r="H597" s="298"/>
      <c r="I597" s="25">
        <v>500</v>
      </c>
      <c r="J597" s="25"/>
      <c r="K597" s="25"/>
      <c r="L597" s="15">
        <v>-500</v>
      </c>
      <c r="M597" s="15"/>
      <c r="N597" s="25"/>
      <c r="O597" s="25"/>
      <c r="P597" s="25"/>
      <c r="Q597" s="24">
        <f t="shared" si="33"/>
        <v>0</v>
      </c>
      <c r="R597" s="388"/>
    </row>
    <row r="598" spans="1:18" ht="12.75" customHeight="1">
      <c r="A598" s="23"/>
      <c r="B598" s="23"/>
      <c r="C598" s="474">
        <v>10</v>
      </c>
      <c r="D598" s="475" t="s">
        <v>956</v>
      </c>
      <c r="E598" s="437"/>
      <c r="F598" s="665"/>
      <c r="G598" s="388"/>
      <c r="H598" s="388"/>
      <c r="I598" s="388"/>
      <c r="J598" s="388"/>
      <c r="K598" s="388"/>
      <c r="L598" s="388"/>
      <c r="M598" s="388"/>
      <c r="N598" s="388"/>
      <c r="O598" s="388"/>
      <c r="P598" s="388"/>
      <c r="Q598" s="572"/>
      <c r="R598" s="388"/>
    </row>
    <row r="599" spans="1:18" ht="27.75" customHeight="1">
      <c r="A599" s="23"/>
      <c r="B599" s="23"/>
      <c r="C599" s="387" t="s">
        <v>957</v>
      </c>
      <c r="D599" s="188" t="s">
        <v>958</v>
      </c>
      <c r="E599" s="185"/>
      <c r="F599" s="23">
        <v>162684</v>
      </c>
      <c r="G599" s="25"/>
      <c r="H599" s="25"/>
      <c r="I599" s="25">
        <v>5398</v>
      </c>
      <c r="J599" s="25"/>
      <c r="K599" s="25"/>
      <c r="L599" s="25">
        <v>-5398</v>
      </c>
      <c r="M599" s="25"/>
      <c r="N599" s="25"/>
      <c r="O599" s="25"/>
      <c r="P599" s="25"/>
      <c r="Q599" s="24">
        <f>SUM(G599:P599)</f>
        <v>0</v>
      </c>
      <c r="R599" s="388" t="s">
        <v>147</v>
      </c>
    </row>
    <row r="600" spans="1:18" ht="18" customHeight="1" hidden="1">
      <c r="A600" s="23"/>
      <c r="B600" s="23"/>
      <c r="C600" s="387" t="s">
        <v>433</v>
      </c>
      <c r="D600" s="188" t="s">
        <v>438</v>
      </c>
      <c r="E600" s="185"/>
      <c r="F600" s="23">
        <v>162688</v>
      </c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4">
        <f>SUM(G600:P600)</f>
        <v>0</v>
      </c>
      <c r="R600" s="388"/>
    </row>
    <row r="601" spans="1:18" ht="12.75" customHeight="1">
      <c r="A601" s="17"/>
      <c r="B601" s="17"/>
      <c r="C601" s="346"/>
      <c r="D601" s="18" t="s">
        <v>463</v>
      </c>
      <c r="E601" s="347"/>
      <c r="F601" s="17"/>
      <c r="G601" s="19">
        <f>SUM(G502:G600)</f>
        <v>0</v>
      </c>
      <c r="H601" s="19">
        <f aca="true" t="shared" si="34" ref="H601:Q601">SUM(H502:H600)</f>
        <v>0</v>
      </c>
      <c r="I601" s="19">
        <f t="shared" si="34"/>
        <v>32523</v>
      </c>
      <c r="J601" s="19">
        <f t="shared" si="34"/>
        <v>0</v>
      </c>
      <c r="K601" s="19">
        <f t="shared" si="34"/>
        <v>0</v>
      </c>
      <c r="L601" s="19">
        <f t="shared" si="34"/>
        <v>-27351</v>
      </c>
      <c r="M601" s="19">
        <f t="shared" si="34"/>
        <v>-11890</v>
      </c>
      <c r="N601" s="19">
        <f t="shared" si="34"/>
        <v>0</v>
      </c>
      <c r="O601" s="19">
        <f t="shared" si="34"/>
        <v>0</v>
      </c>
      <c r="P601" s="19">
        <f t="shared" si="34"/>
        <v>0</v>
      </c>
      <c r="Q601" s="19">
        <f t="shared" si="34"/>
        <v>-6718</v>
      </c>
      <c r="R601" s="576"/>
    </row>
    <row r="602" spans="1:18" ht="13.5" customHeight="1">
      <c r="A602" s="23">
        <v>1</v>
      </c>
      <c r="B602" s="23">
        <v>17</v>
      </c>
      <c r="C602" s="387"/>
      <c r="D602" s="28" t="s">
        <v>1186</v>
      </c>
      <c r="E602" s="185"/>
      <c r="F602" s="23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4"/>
      <c r="R602" s="388"/>
    </row>
    <row r="603" spans="1:18" ht="13.5" customHeight="1">
      <c r="A603" s="23"/>
      <c r="B603" s="23"/>
      <c r="C603" s="387"/>
      <c r="D603" s="382" t="s">
        <v>360</v>
      </c>
      <c r="E603" s="476"/>
      <c r="F603" s="13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24"/>
      <c r="R603" s="388"/>
    </row>
    <row r="604" spans="1:18" ht="13.5" customHeight="1">
      <c r="A604" s="23"/>
      <c r="B604" s="23"/>
      <c r="C604" s="387"/>
      <c r="D604" s="16" t="s">
        <v>1238</v>
      </c>
      <c r="E604" s="15">
        <v>1</v>
      </c>
      <c r="F604" s="13">
        <v>171905</v>
      </c>
      <c r="G604" s="15"/>
      <c r="H604" s="15"/>
      <c r="I604" s="15">
        <v>1500</v>
      </c>
      <c r="J604" s="15"/>
      <c r="K604" s="15"/>
      <c r="L604" s="15"/>
      <c r="M604" s="15"/>
      <c r="N604" s="15"/>
      <c r="O604" s="15"/>
      <c r="P604" s="15"/>
      <c r="Q604" s="24">
        <f aca="true" t="shared" si="35" ref="Q604:Q614">SUM(G604:P604)</f>
        <v>1500</v>
      </c>
      <c r="R604" s="388" t="s">
        <v>658</v>
      </c>
    </row>
    <row r="605" spans="1:18" ht="13.5" customHeight="1">
      <c r="A605" s="23"/>
      <c r="B605" s="23"/>
      <c r="C605" s="387"/>
      <c r="D605" s="16" t="s">
        <v>555</v>
      </c>
      <c r="E605" s="15">
        <v>1</v>
      </c>
      <c r="F605" s="13">
        <v>171903</v>
      </c>
      <c r="G605" s="15"/>
      <c r="H605" s="15"/>
      <c r="I605" s="15">
        <v>-500</v>
      </c>
      <c r="J605" s="15"/>
      <c r="K605" s="15"/>
      <c r="L605" s="15"/>
      <c r="M605" s="15"/>
      <c r="N605" s="15"/>
      <c r="O605" s="15"/>
      <c r="P605" s="15"/>
      <c r="Q605" s="24">
        <f t="shared" si="35"/>
        <v>-500</v>
      </c>
      <c r="R605" s="388" t="s">
        <v>658</v>
      </c>
    </row>
    <row r="606" spans="1:18" ht="13.5" customHeight="1" hidden="1">
      <c r="A606" s="23"/>
      <c r="B606" s="23"/>
      <c r="C606" s="387"/>
      <c r="D606" s="16" t="s">
        <v>959</v>
      </c>
      <c r="E606" s="477">
        <v>1</v>
      </c>
      <c r="F606" s="13">
        <v>171920</v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24">
        <f t="shared" si="35"/>
        <v>0</v>
      </c>
      <c r="R606" s="388"/>
    </row>
    <row r="607" spans="1:18" ht="13.5" customHeight="1" hidden="1">
      <c r="A607" s="23"/>
      <c r="B607" s="23"/>
      <c r="C607" s="387"/>
      <c r="D607" s="197" t="s">
        <v>960</v>
      </c>
      <c r="E607" s="478">
        <v>1</v>
      </c>
      <c r="F607" s="13">
        <v>171940</v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24">
        <f t="shared" si="35"/>
        <v>0</v>
      </c>
      <c r="R607" s="388"/>
    </row>
    <row r="608" spans="1:18" ht="13.5" customHeight="1">
      <c r="A608" s="23"/>
      <c r="B608" s="23"/>
      <c r="C608" s="387"/>
      <c r="D608" s="197" t="s">
        <v>961</v>
      </c>
      <c r="E608" s="478">
        <v>1</v>
      </c>
      <c r="F608" s="13">
        <v>171956</v>
      </c>
      <c r="G608" s="15"/>
      <c r="H608" s="15"/>
      <c r="I608" s="15">
        <v>-1000</v>
      </c>
      <c r="J608" s="15"/>
      <c r="K608" s="15"/>
      <c r="L608" s="15"/>
      <c r="M608" s="15"/>
      <c r="N608" s="15"/>
      <c r="O608" s="15"/>
      <c r="P608" s="15"/>
      <c r="Q608" s="24">
        <f t="shared" si="35"/>
        <v>-1000</v>
      </c>
      <c r="R608" s="388" t="s">
        <v>658</v>
      </c>
    </row>
    <row r="609" spans="1:18" ht="13.5" customHeight="1" hidden="1">
      <c r="A609" s="23"/>
      <c r="B609" s="23"/>
      <c r="C609" s="387"/>
      <c r="D609" s="197" t="s">
        <v>962</v>
      </c>
      <c r="E609" s="478">
        <v>1</v>
      </c>
      <c r="F609" s="13">
        <v>171958</v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24">
        <f t="shared" si="35"/>
        <v>0</v>
      </c>
      <c r="R609" s="388"/>
    </row>
    <row r="610" spans="1:18" ht="24.75" customHeight="1" hidden="1">
      <c r="A610" s="23"/>
      <c r="B610" s="23"/>
      <c r="C610" s="387"/>
      <c r="D610" s="197" t="s">
        <v>963</v>
      </c>
      <c r="E610" s="478">
        <v>1</v>
      </c>
      <c r="F610" s="13">
        <v>171959</v>
      </c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24">
        <f t="shared" si="35"/>
        <v>0</v>
      </c>
      <c r="R610" s="388"/>
    </row>
    <row r="611" spans="1:18" ht="15" customHeight="1" hidden="1">
      <c r="A611" s="23"/>
      <c r="B611" s="23"/>
      <c r="C611" s="387"/>
      <c r="D611" s="197" t="s">
        <v>964</v>
      </c>
      <c r="E611" s="478">
        <v>1</v>
      </c>
      <c r="F611" s="13">
        <v>171904</v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24">
        <f t="shared" si="35"/>
        <v>0</v>
      </c>
      <c r="R611" s="388"/>
    </row>
    <row r="612" spans="1:18" ht="13.5" customHeight="1" hidden="1">
      <c r="A612" s="23"/>
      <c r="B612" s="23"/>
      <c r="C612" s="387"/>
      <c r="D612" s="16" t="s">
        <v>1240</v>
      </c>
      <c r="E612" s="15">
        <v>1</v>
      </c>
      <c r="F612" s="13">
        <v>171902</v>
      </c>
      <c r="G612" s="15"/>
      <c r="H612" s="15"/>
      <c r="I612" s="15"/>
      <c r="J612" s="342"/>
      <c r="K612" s="342"/>
      <c r="L612" s="15"/>
      <c r="M612" s="15"/>
      <c r="N612" s="15"/>
      <c r="O612" s="15"/>
      <c r="P612" s="15"/>
      <c r="Q612" s="24">
        <f t="shared" si="35"/>
        <v>0</v>
      </c>
      <c r="R612" s="388"/>
    </row>
    <row r="613" spans="1:18" ht="13.5" customHeight="1" hidden="1">
      <c r="A613" s="23"/>
      <c r="B613" s="23"/>
      <c r="C613" s="387"/>
      <c r="D613" s="16" t="s">
        <v>965</v>
      </c>
      <c r="E613" s="15">
        <v>1</v>
      </c>
      <c r="F613" s="13">
        <v>171925</v>
      </c>
      <c r="G613" s="15"/>
      <c r="H613" s="15"/>
      <c r="I613" s="15"/>
      <c r="J613" s="342"/>
      <c r="K613" s="342"/>
      <c r="L613" s="15"/>
      <c r="M613" s="15"/>
      <c r="N613" s="15"/>
      <c r="O613" s="15"/>
      <c r="P613" s="15"/>
      <c r="Q613" s="24">
        <f t="shared" si="35"/>
        <v>0</v>
      </c>
      <c r="R613" s="388"/>
    </row>
    <row r="614" spans="1:18" ht="13.5" customHeight="1" hidden="1">
      <c r="A614" s="23"/>
      <c r="B614" s="23"/>
      <c r="C614" s="387"/>
      <c r="D614" s="16" t="s">
        <v>29</v>
      </c>
      <c r="E614" s="15">
        <v>1</v>
      </c>
      <c r="F614" s="13">
        <v>171954</v>
      </c>
      <c r="G614" s="15"/>
      <c r="H614" s="15"/>
      <c r="I614" s="15"/>
      <c r="J614" s="342"/>
      <c r="K614" s="342"/>
      <c r="L614" s="15"/>
      <c r="M614" s="15"/>
      <c r="N614" s="15"/>
      <c r="O614" s="15"/>
      <c r="P614" s="15"/>
      <c r="Q614" s="24">
        <f t="shared" si="35"/>
        <v>0</v>
      </c>
      <c r="R614" s="388"/>
    </row>
    <row r="615" spans="1:18" ht="13.5" customHeight="1" hidden="1">
      <c r="A615" s="23"/>
      <c r="B615" s="23"/>
      <c r="C615" s="387"/>
      <c r="D615" s="16" t="s">
        <v>966</v>
      </c>
      <c r="E615" s="15"/>
      <c r="F615" s="13"/>
      <c r="G615" s="15"/>
      <c r="H615" s="15"/>
      <c r="I615" s="15"/>
      <c r="J615" s="342"/>
      <c r="K615" s="342"/>
      <c r="L615" s="15"/>
      <c r="M615" s="15"/>
      <c r="N615" s="15"/>
      <c r="O615" s="15"/>
      <c r="P615" s="15"/>
      <c r="Q615" s="24"/>
      <c r="R615" s="388"/>
    </row>
    <row r="616" spans="1:18" ht="13.5" customHeight="1" hidden="1">
      <c r="A616" s="23"/>
      <c r="B616" s="23"/>
      <c r="C616" s="387"/>
      <c r="D616" s="16" t="s">
        <v>967</v>
      </c>
      <c r="E616" s="15">
        <v>2</v>
      </c>
      <c r="F616" s="13">
        <v>171943</v>
      </c>
      <c r="G616" s="15"/>
      <c r="H616" s="15"/>
      <c r="I616" s="15"/>
      <c r="J616" s="342"/>
      <c r="K616" s="15"/>
      <c r="L616" s="15"/>
      <c r="M616" s="15"/>
      <c r="N616" s="15"/>
      <c r="O616" s="15"/>
      <c r="P616" s="15"/>
      <c r="Q616" s="24">
        <f>SUM(G616:P616)</f>
        <v>0</v>
      </c>
      <c r="R616" s="388"/>
    </row>
    <row r="617" spans="1:18" ht="13.5" customHeight="1">
      <c r="A617" s="17"/>
      <c r="B617" s="17"/>
      <c r="C617" s="346"/>
      <c r="D617" s="18" t="s">
        <v>968</v>
      </c>
      <c r="E617" s="347"/>
      <c r="F617" s="17"/>
      <c r="G617" s="19">
        <f aca="true" t="shared" si="36" ref="G617:N617">SUM(G603:G616)</f>
        <v>0</v>
      </c>
      <c r="H617" s="19">
        <f t="shared" si="36"/>
        <v>0</v>
      </c>
      <c r="I617" s="19">
        <f t="shared" si="36"/>
        <v>0</v>
      </c>
      <c r="J617" s="19">
        <f t="shared" si="36"/>
        <v>0</v>
      </c>
      <c r="K617" s="19">
        <f t="shared" si="36"/>
        <v>0</v>
      </c>
      <c r="L617" s="19">
        <f t="shared" si="36"/>
        <v>0</v>
      </c>
      <c r="M617" s="19">
        <f t="shared" si="36"/>
        <v>0</v>
      </c>
      <c r="N617" s="19">
        <f t="shared" si="36"/>
        <v>0</v>
      </c>
      <c r="O617" s="19"/>
      <c r="P617" s="19">
        <f>SUM(P603:P616)</f>
        <v>0</v>
      </c>
      <c r="Q617" s="18">
        <f>SUM(Q603:Q616)</f>
        <v>0</v>
      </c>
      <c r="R617" s="576"/>
    </row>
    <row r="618" spans="1:18" ht="13.5" customHeight="1">
      <c r="A618" s="183"/>
      <c r="B618" s="183"/>
      <c r="C618" s="365"/>
      <c r="D618" s="117" t="s">
        <v>969</v>
      </c>
      <c r="E618" s="22"/>
      <c r="F618" s="183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1"/>
      <c r="R618" s="388"/>
    </row>
    <row r="619" spans="1:18" ht="27.75" customHeight="1" hidden="1">
      <c r="A619" s="183"/>
      <c r="B619" s="183"/>
      <c r="C619" s="205" t="s">
        <v>623</v>
      </c>
      <c r="D619" s="479" t="s">
        <v>970</v>
      </c>
      <c r="E619" s="479"/>
      <c r="F619" s="675">
        <v>171980</v>
      </c>
      <c r="G619" s="374"/>
      <c r="H619" s="374"/>
      <c r="I619" s="374"/>
      <c r="J619" s="374"/>
      <c r="K619" s="374"/>
      <c r="L619" s="375"/>
      <c r="M619" s="375"/>
      <c r="N619" s="375"/>
      <c r="O619" s="375"/>
      <c r="P619" s="374"/>
      <c r="Q619" s="119">
        <f>SUM(G619:P619)</f>
        <v>0</v>
      </c>
      <c r="R619" s="388"/>
    </row>
    <row r="620" spans="1:18" ht="16.5" customHeight="1" hidden="1">
      <c r="A620" s="183"/>
      <c r="B620" s="183"/>
      <c r="C620" s="13" t="s">
        <v>744</v>
      </c>
      <c r="D620" s="724" t="s">
        <v>30</v>
      </c>
      <c r="E620" s="729"/>
      <c r="F620" s="675">
        <v>172913</v>
      </c>
      <c r="G620" s="374"/>
      <c r="H620" s="374"/>
      <c r="I620" s="374"/>
      <c r="J620" s="374"/>
      <c r="K620" s="374"/>
      <c r="L620" s="375"/>
      <c r="M620" s="375"/>
      <c r="N620" s="375"/>
      <c r="O620" s="375"/>
      <c r="P620" s="374"/>
      <c r="Q620" s="119">
        <f>SUM(G620:P620)</f>
        <v>0</v>
      </c>
      <c r="R620" s="388"/>
    </row>
    <row r="621" spans="1:18" ht="16.5" customHeight="1">
      <c r="A621" s="183"/>
      <c r="B621" s="183"/>
      <c r="C621" s="766" t="s">
        <v>135</v>
      </c>
      <c r="D621" s="356" t="s">
        <v>1316</v>
      </c>
      <c r="E621" s="735"/>
      <c r="F621" s="675">
        <v>172918</v>
      </c>
      <c r="G621" s="374"/>
      <c r="H621" s="374"/>
      <c r="I621" s="375">
        <v>2243</v>
      </c>
      <c r="J621" s="374"/>
      <c r="K621" s="374"/>
      <c r="L621" s="375"/>
      <c r="M621" s="375"/>
      <c r="N621" s="375"/>
      <c r="O621" s="375"/>
      <c r="P621" s="374"/>
      <c r="Q621" s="119">
        <f>SUM(G621:P621)</f>
        <v>2243</v>
      </c>
      <c r="R621" s="388" t="s">
        <v>147</v>
      </c>
    </row>
    <row r="622" spans="1:18" ht="26.25" customHeight="1">
      <c r="A622" s="183"/>
      <c r="B622" s="365"/>
      <c r="C622" s="13" t="s">
        <v>151</v>
      </c>
      <c r="D622" s="178" t="s">
        <v>152</v>
      </c>
      <c r="E622" s="735"/>
      <c r="F622" s="675">
        <v>174904</v>
      </c>
      <c r="G622" s="374"/>
      <c r="H622" s="374"/>
      <c r="I622" s="374"/>
      <c r="J622" s="374"/>
      <c r="K622" s="374"/>
      <c r="L622" s="375"/>
      <c r="M622" s="375"/>
      <c r="N622" s="375">
        <v>2300</v>
      </c>
      <c r="O622" s="375"/>
      <c r="P622" s="374"/>
      <c r="Q622" s="119">
        <f>SUM(G622:P622)</f>
        <v>2300</v>
      </c>
      <c r="R622" s="388" t="s">
        <v>147</v>
      </c>
    </row>
    <row r="623" spans="1:18" ht="13.5" customHeight="1" hidden="1">
      <c r="A623" s="183"/>
      <c r="B623" s="183"/>
      <c r="C623" s="441"/>
      <c r="D623" s="767" t="s">
        <v>198</v>
      </c>
      <c r="E623" s="22"/>
      <c r="F623" s="183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119"/>
      <c r="R623" s="388"/>
    </row>
    <row r="624" spans="1:18" ht="13.5" customHeight="1" hidden="1">
      <c r="A624" s="183"/>
      <c r="B624" s="183"/>
      <c r="C624" s="446" t="s">
        <v>459</v>
      </c>
      <c r="D624" s="480" t="s">
        <v>454</v>
      </c>
      <c r="E624" s="22"/>
      <c r="F624" s="13">
        <v>172910</v>
      </c>
      <c r="G624" s="20"/>
      <c r="H624" s="20"/>
      <c r="I624" s="15"/>
      <c r="J624" s="20"/>
      <c r="K624" s="20"/>
      <c r="L624" s="15"/>
      <c r="M624" s="15"/>
      <c r="N624" s="15"/>
      <c r="O624" s="15"/>
      <c r="P624" s="15"/>
      <c r="Q624" s="119">
        <f>SUM(G624:P624)</f>
        <v>0</v>
      </c>
      <c r="R624" s="388"/>
    </row>
    <row r="625" spans="1:18" ht="27.75" customHeight="1" hidden="1">
      <c r="A625" s="183"/>
      <c r="B625" s="183"/>
      <c r="C625" s="446" t="s">
        <v>460</v>
      </c>
      <c r="D625" s="481" t="s">
        <v>1187</v>
      </c>
      <c r="E625" s="22"/>
      <c r="F625" s="13">
        <v>172904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19">
        <f>SUM(G625:P625)</f>
        <v>0</v>
      </c>
      <c r="R625" s="388"/>
    </row>
    <row r="626" spans="1:18" ht="14.25" customHeight="1" hidden="1">
      <c r="A626" s="391"/>
      <c r="B626" s="391"/>
      <c r="C626" s="446" t="s">
        <v>461</v>
      </c>
      <c r="D626" s="482" t="s">
        <v>758</v>
      </c>
      <c r="E626" s="483"/>
      <c r="F626" s="675">
        <v>174905</v>
      </c>
      <c r="G626" s="374"/>
      <c r="H626" s="374"/>
      <c r="I626" s="374"/>
      <c r="J626" s="374"/>
      <c r="K626" s="374"/>
      <c r="L626" s="375"/>
      <c r="M626" s="375"/>
      <c r="N626" s="375"/>
      <c r="O626" s="375"/>
      <c r="P626" s="374"/>
      <c r="Q626" s="24">
        <f aca="true" t="shared" si="37" ref="Q626:Q631">SUM(G626:P626)</f>
        <v>0</v>
      </c>
      <c r="R626" s="388"/>
    </row>
    <row r="627" spans="1:18" ht="14.25" customHeight="1" hidden="1">
      <c r="A627" s="391"/>
      <c r="B627" s="391"/>
      <c r="C627" s="446" t="s">
        <v>1188</v>
      </c>
      <c r="D627" s="726" t="s">
        <v>753</v>
      </c>
      <c r="E627" s="185"/>
      <c r="F627" s="23">
        <v>174908</v>
      </c>
      <c r="G627" s="25"/>
      <c r="H627" s="298"/>
      <c r="I627" s="25"/>
      <c r="J627" s="25"/>
      <c r="K627" s="25"/>
      <c r="L627" s="25"/>
      <c r="M627" s="25"/>
      <c r="N627" s="25"/>
      <c r="O627" s="25"/>
      <c r="P627" s="25"/>
      <c r="Q627" s="24">
        <f t="shared" si="37"/>
        <v>0</v>
      </c>
      <c r="R627" s="388"/>
    </row>
    <row r="628" spans="1:18" ht="14.25" customHeight="1" hidden="1">
      <c r="A628" s="391"/>
      <c r="B628" s="391"/>
      <c r="C628" s="446" t="s">
        <v>1189</v>
      </c>
      <c r="D628" s="136" t="s">
        <v>972</v>
      </c>
      <c r="E628" s="185"/>
      <c r="F628" s="23">
        <v>162652</v>
      </c>
      <c r="G628" s="25"/>
      <c r="H628" s="298"/>
      <c r="I628" s="25"/>
      <c r="J628" s="25"/>
      <c r="K628" s="25"/>
      <c r="L628" s="15"/>
      <c r="M628" s="25"/>
      <c r="N628" s="25"/>
      <c r="O628" s="25"/>
      <c r="P628" s="25"/>
      <c r="Q628" s="24">
        <f t="shared" si="37"/>
        <v>0</v>
      </c>
      <c r="R628" s="388"/>
    </row>
    <row r="629" spans="1:18" ht="14.25" customHeight="1" hidden="1">
      <c r="A629" s="391"/>
      <c r="B629" s="391"/>
      <c r="C629" s="446" t="s">
        <v>971</v>
      </c>
      <c r="D629" s="136" t="s">
        <v>1163</v>
      </c>
      <c r="E629" s="185"/>
      <c r="F629" s="23">
        <v>162603</v>
      </c>
      <c r="G629" s="25"/>
      <c r="H629" s="298"/>
      <c r="I629" s="25"/>
      <c r="J629" s="25"/>
      <c r="K629" s="25"/>
      <c r="L629" s="15"/>
      <c r="M629" s="25"/>
      <c r="N629" s="25"/>
      <c r="O629" s="25"/>
      <c r="P629" s="25"/>
      <c r="Q629" s="24">
        <f t="shared" si="37"/>
        <v>0</v>
      </c>
      <c r="R629" s="388"/>
    </row>
    <row r="630" spans="1:18" ht="27" customHeight="1" hidden="1">
      <c r="A630" s="391"/>
      <c r="B630" s="391"/>
      <c r="C630" s="446" t="s">
        <v>973</v>
      </c>
      <c r="D630" s="467" t="s">
        <v>1164</v>
      </c>
      <c r="E630" s="185"/>
      <c r="F630" s="23">
        <v>162676</v>
      </c>
      <c r="G630" s="25"/>
      <c r="H630" s="298"/>
      <c r="I630" s="25"/>
      <c r="J630" s="25"/>
      <c r="K630" s="25"/>
      <c r="L630" s="15"/>
      <c r="M630" s="25"/>
      <c r="N630" s="25"/>
      <c r="O630" s="25"/>
      <c r="P630" s="25"/>
      <c r="Q630" s="24">
        <f t="shared" si="37"/>
        <v>0</v>
      </c>
      <c r="R630" s="388"/>
    </row>
    <row r="631" spans="1:18" ht="14.25" customHeight="1" hidden="1">
      <c r="A631" s="391"/>
      <c r="B631" s="391"/>
      <c r="C631" s="446" t="s">
        <v>974</v>
      </c>
      <c r="D631" s="142" t="s">
        <v>349</v>
      </c>
      <c r="E631" s="185"/>
      <c r="F631" s="23">
        <v>162631</v>
      </c>
      <c r="G631" s="25"/>
      <c r="H631" s="298"/>
      <c r="I631" s="25"/>
      <c r="J631" s="25"/>
      <c r="K631" s="25"/>
      <c r="L631" s="25"/>
      <c r="M631" s="25"/>
      <c r="N631" s="25"/>
      <c r="O631" s="25"/>
      <c r="P631" s="25"/>
      <c r="Q631" s="24">
        <f t="shared" si="37"/>
        <v>0</v>
      </c>
      <c r="R631" s="388"/>
    </row>
    <row r="632" spans="1:18" ht="13.5" customHeight="1">
      <c r="A632" s="17"/>
      <c r="B632" s="17"/>
      <c r="C632" s="346"/>
      <c r="D632" s="18" t="s">
        <v>464</v>
      </c>
      <c r="E632" s="347"/>
      <c r="F632" s="17"/>
      <c r="G632" s="19">
        <f aca="true" t="shared" si="38" ref="G632:Q632">SUM(G617:G631)</f>
        <v>0</v>
      </c>
      <c r="H632" s="19">
        <f t="shared" si="38"/>
        <v>0</v>
      </c>
      <c r="I632" s="19">
        <f t="shared" si="38"/>
        <v>2243</v>
      </c>
      <c r="J632" s="19">
        <f t="shared" si="38"/>
        <v>0</v>
      </c>
      <c r="K632" s="19">
        <f t="shared" si="38"/>
        <v>0</v>
      </c>
      <c r="L632" s="19">
        <f t="shared" si="38"/>
        <v>0</v>
      </c>
      <c r="M632" s="19">
        <f t="shared" si="38"/>
        <v>0</v>
      </c>
      <c r="N632" s="19">
        <f t="shared" si="38"/>
        <v>2300</v>
      </c>
      <c r="O632" s="19">
        <f t="shared" si="38"/>
        <v>0</v>
      </c>
      <c r="P632" s="19">
        <f t="shared" si="38"/>
        <v>0</v>
      </c>
      <c r="Q632" s="18">
        <f t="shared" si="38"/>
        <v>4543</v>
      </c>
      <c r="R632" s="576"/>
    </row>
    <row r="633" spans="1:18" ht="13.5" customHeight="1">
      <c r="A633" s="23">
        <v>1</v>
      </c>
      <c r="B633" s="23">
        <v>18</v>
      </c>
      <c r="C633" s="387"/>
      <c r="D633" s="28" t="s">
        <v>423</v>
      </c>
      <c r="E633" s="27"/>
      <c r="F633" s="186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4"/>
      <c r="R633" s="388"/>
    </row>
    <row r="634" spans="1:18" ht="13.5" customHeight="1">
      <c r="A634" s="23"/>
      <c r="B634" s="23"/>
      <c r="C634" s="387"/>
      <c r="D634" s="24" t="s">
        <v>360</v>
      </c>
      <c r="E634" s="78"/>
      <c r="F634" s="23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4"/>
      <c r="R634" s="388"/>
    </row>
    <row r="635" spans="1:18" ht="13.5" customHeight="1" hidden="1">
      <c r="A635" s="23"/>
      <c r="B635" s="23"/>
      <c r="C635" s="387"/>
      <c r="D635" s="24" t="s">
        <v>757</v>
      </c>
      <c r="E635" s="15">
        <v>2</v>
      </c>
      <c r="F635" s="13">
        <v>181905</v>
      </c>
      <c r="G635" s="25"/>
      <c r="H635" s="25"/>
      <c r="I635" s="15"/>
      <c r="J635" s="25"/>
      <c r="K635" s="25"/>
      <c r="L635" s="25"/>
      <c r="M635" s="25"/>
      <c r="N635" s="25"/>
      <c r="O635" s="25"/>
      <c r="P635" s="25"/>
      <c r="Q635" s="24">
        <f>SUM(G635:P635)</f>
        <v>0</v>
      </c>
      <c r="R635" s="388"/>
    </row>
    <row r="636" spans="1:18" ht="27.75" customHeight="1">
      <c r="A636" s="23"/>
      <c r="B636" s="23"/>
      <c r="C636" s="387"/>
      <c r="D636" s="197" t="s">
        <v>1239</v>
      </c>
      <c r="E636" s="15">
        <v>1</v>
      </c>
      <c r="F636" s="13">
        <v>181901</v>
      </c>
      <c r="G636" s="25">
        <v>30</v>
      </c>
      <c r="H636" s="25">
        <v>8</v>
      </c>
      <c r="I636" s="15">
        <v>-38</v>
      </c>
      <c r="J636" s="25"/>
      <c r="K636" s="25"/>
      <c r="L636" s="25"/>
      <c r="M636" s="25"/>
      <c r="N636" s="25"/>
      <c r="O636" s="25"/>
      <c r="P636" s="25"/>
      <c r="Q636" s="24">
        <f>SUM(G636:P636)</f>
        <v>0</v>
      </c>
      <c r="R636" s="388" t="s">
        <v>147</v>
      </c>
    </row>
    <row r="637" spans="1:18" ht="13.5" customHeight="1" hidden="1">
      <c r="A637" s="23"/>
      <c r="B637" s="23"/>
      <c r="C637" s="387"/>
      <c r="D637" s="16" t="s">
        <v>975</v>
      </c>
      <c r="E637" s="15">
        <v>1</v>
      </c>
      <c r="F637" s="13">
        <v>181906</v>
      </c>
      <c r="G637" s="25"/>
      <c r="H637" s="25"/>
      <c r="I637" s="15"/>
      <c r="J637" s="25"/>
      <c r="K637" s="25"/>
      <c r="L637" s="25"/>
      <c r="M637" s="25"/>
      <c r="N637" s="25"/>
      <c r="O637" s="25"/>
      <c r="P637" s="25"/>
      <c r="Q637" s="24">
        <f>SUM(G637:P637)</f>
        <v>0</v>
      </c>
      <c r="R637" s="388"/>
    </row>
    <row r="638" spans="1:18" ht="15" customHeight="1">
      <c r="A638" s="23"/>
      <c r="B638" s="23"/>
      <c r="C638" s="387"/>
      <c r="D638" s="343" t="s">
        <v>414</v>
      </c>
      <c r="E638" s="353"/>
      <c r="F638" s="652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4"/>
      <c r="R638" s="388"/>
    </row>
    <row r="639" spans="1:18" ht="24.75" customHeight="1">
      <c r="A639" s="23"/>
      <c r="B639" s="23"/>
      <c r="C639" s="387"/>
      <c r="D639" s="202" t="s">
        <v>976</v>
      </c>
      <c r="E639" s="337">
        <v>1</v>
      </c>
      <c r="F639" s="23">
        <v>181907</v>
      </c>
      <c r="G639" s="25"/>
      <c r="H639" s="25"/>
      <c r="I639" s="25">
        <v>275</v>
      </c>
      <c r="J639" s="25"/>
      <c r="K639" s="25"/>
      <c r="L639" s="25"/>
      <c r="M639" s="25"/>
      <c r="N639" s="25"/>
      <c r="O639" s="25"/>
      <c r="P639" s="25"/>
      <c r="Q639" s="24">
        <f>SUM(G639:P639)</f>
        <v>275</v>
      </c>
      <c r="R639" s="388" t="s">
        <v>147</v>
      </c>
    </row>
    <row r="640" spans="1:18" ht="12.75" customHeight="1" hidden="1">
      <c r="A640" s="23"/>
      <c r="B640" s="23"/>
      <c r="C640" s="387"/>
      <c r="D640" s="202" t="s">
        <v>977</v>
      </c>
      <c r="E640" s="337">
        <v>1</v>
      </c>
      <c r="F640" s="23">
        <v>181909</v>
      </c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4">
        <f>SUM(G640:P640)</f>
        <v>0</v>
      </c>
      <c r="R640" s="388"/>
    </row>
    <row r="641" spans="1:18" ht="17.25" customHeight="1" hidden="1">
      <c r="A641" s="23"/>
      <c r="B641" s="23"/>
      <c r="C641" s="387"/>
      <c r="D641" s="202" t="s">
        <v>978</v>
      </c>
      <c r="E641" s="337">
        <v>1</v>
      </c>
      <c r="F641" s="23">
        <v>181913</v>
      </c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4">
        <f>SUM(G641:P641)</f>
        <v>0</v>
      </c>
      <c r="R641" s="388"/>
    </row>
    <row r="642" spans="1:18" ht="17.25" customHeight="1" hidden="1">
      <c r="A642" s="23"/>
      <c r="B642" s="23"/>
      <c r="C642" s="387"/>
      <c r="D642" s="202" t="s">
        <v>431</v>
      </c>
      <c r="E642" s="337"/>
      <c r="F642" s="23">
        <v>181908</v>
      </c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4">
        <f>SUM(G642:P642)</f>
        <v>0</v>
      </c>
      <c r="R642" s="388"/>
    </row>
    <row r="643" spans="1:18" ht="15" customHeight="1" hidden="1">
      <c r="A643" s="23"/>
      <c r="B643" s="23"/>
      <c r="C643" s="387"/>
      <c r="D643" s="202" t="s">
        <v>979</v>
      </c>
      <c r="E643" s="337"/>
      <c r="F643" s="23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4"/>
      <c r="R643" s="388"/>
    </row>
    <row r="644" spans="1:18" ht="15" customHeight="1" hidden="1">
      <c r="A644" s="23"/>
      <c r="B644" s="23"/>
      <c r="C644" s="387"/>
      <c r="D644" s="202" t="s">
        <v>980</v>
      </c>
      <c r="E644" s="337">
        <v>1</v>
      </c>
      <c r="F644" s="23">
        <v>181902</v>
      </c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4">
        <f>SUM(G644:P644)</f>
        <v>0</v>
      </c>
      <c r="R644" s="388"/>
    </row>
    <row r="645" spans="1:18" ht="13.5" customHeight="1" hidden="1">
      <c r="A645" s="484"/>
      <c r="B645" s="484"/>
      <c r="C645" s="484"/>
      <c r="D645" s="24" t="s">
        <v>981</v>
      </c>
      <c r="E645" s="25">
        <v>1</v>
      </c>
      <c r="F645" s="23">
        <v>181904</v>
      </c>
      <c r="G645" s="484"/>
      <c r="H645" s="484"/>
      <c r="I645" s="485"/>
      <c r="J645" s="486"/>
      <c r="K645" s="486"/>
      <c r="L645" s="484"/>
      <c r="M645" s="484"/>
      <c r="N645" s="484"/>
      <c r="O645" s="484"/>
      <c r="P645" s="484"/>
      <c r="Q645" s="24">
        <f>SUM(G645:P645)</f>
        <v>0</v>
      </c>
      <c r="R645" s="388"/>
    </row>
    <row r="646" spans="1:18" ht="15" customHeight="1">
      <c r="A646" s="19"/>
      <c r="B646" s="19"/>
      <c r="C646" s="18"/>
      <c r="D646" s="18" t="s">
        <v>982</v>
      </c>
      <c r="E646" s="347"/>
      <c r="F646" s="17"/>
      <c r="G646" s="19">
        <f>SUM(G636:G645)</f>
        <v>30</v>
      </c>
      <c r="H646" s="19">
        <f>SUM(H636:H645)</f>
        <v>8</v>
      </c>
      <c r="I646" s="19">
        <f aca="true" t="shared" si="39" ref="I646:O646">SUM(I633:I645)</f>
        <v>237</v>
      </c>
      <c r="J646" s="19">
        <f t="shared" si="39"/>
        <v>0</v>
      </c>
      <c r="K646" s="19">
        <f t="shared" si="39"/>
        <v>0</v>
      </c>
      <c r="L646" s="19">
        <f t="shared" si="39"/>
        <v>0</v>
      </c>
      <c r="M646" s="19">
        <f t="shared" si="39"/>
        <v>0</v>
      </c>
      <c r="N646" s="19">
        <f t="shared" si="39"/>
        <v>0</v>
      </c>
      <c r="O646" s="19">
        <f t="shared" si="39"/>
        <v>0</v>
      </c>
      <c r="P646" s="19">
        <f>SUM(P633:P645)</f>
        <v>0</v>
      </c>
      <c r="Q646" s="18">
        <f>SUM(Q633:Q645)</f>
        <v>275</v>
      </c>
      <c r="R646" s="576"/>
    </row>
    <row r="647" spans="1:18" ht="15" customHeight="1">
      <c r="A647" s="20"/>
      <c r="B647" s="20"/>
      <c r="C647" s="21"/>
      <c r="D647" s="487" t="s">
        <v>983</v>
      </c>
      <c r="E647" s="22"/>
      <c r="F647" s="183"/>
      <c r="G647" s="20"/>
      <c r="H647" s="20"/>
      <c r="I647" s="20"/>
      <c r="J647" s="20"/>
      <c r="K647" s="20"/>
      <c r="L647" s="15"/>
      <c r="M647" s="15"/>
      <c r="N647" s="15"/>
      <c r="O647" s="15"/>
      <c r="P647" s="15"/>
      <c r="Q647" s="16"/>
      <c r="R647" s="388"/>
    </row>
    <row r="648" spans="1:18" ht="15" customHeight="1" hidden="1">
      <c r="A648" s="20"/>
      <c r="B648" s="20"/>
      <c r="C648" s="365" t="s">
        <v>623</v>
      </c>
      <c r="D648" s="119" t="s">
        <v>984</v>
      </c>
      <c r="E648" s="22"/>
      <c r="F648" s="13">
        <v>182903</v>
      </c>
      <c r="G648" s="20"/>
      <c r="H648" s="20"/>
      <c r="I648" s="20"/>
      <c r="J648" s="20"/>
      <c r="K648" s="20"/>
      <c r="L648" s="15"/>
      <c r="M648" s="15"/>
      <c r="N648" s="15"/>
      <c r="O648" s="15"/>
      <c r="P648" s="15"/>
      <c r="Q648" s="16">
        <f>SUM(G648:P648)</f>
        <v>0</v>
      </c>
      <c r="R648" s="388"/>
    </row>
    <row r="649" spans="1:18" ht="15" customHeight="1" hidden="1">
      <c r="A649" s="20"/>
      <c r="B649" s="20"/>
      <c r="C649" s="365"/>
      <c r="D649" s="119" t="s">
        <v>1403</v>
      </c>
      <c r="E649" s="22"/>
      <c r="F649" s="13"/>
      <c r="G649" s="20"/>
      <c r="H649" s="20"/>
      <c r="I649" s="20"/>
      <c r="J649" s="20"/>
      <c r="K649" s="20"/>
      <c r="L649" s="15"/>
      <c r="M649" s="15"/>
      <c r="N649" s="15"/>
      <c r="O649" s="15"/>
      <c r="P649" s="15"/>
      <c r="Q649" s="16"/>
      <c r="R649" s="388"/>
    </row>
    <row r="650" spans="1:18" ht="15" customHeight="1" hidden="1">
      <c r="A650" s="20"/>
      <c r="B650" s="20"/>
      <c r="C650" s="365" t="s">
        <v>496</v>
      </c>
      <c r="D650" s="130" t="s">
        <v>1190</v>
      </c>
      <c r="E650" s="22"/>
      <c r="F650" s="13">
        <v>182904</v>
      </c>
      <c r="G650" s="20"/>
      <c r="H650" s="20"/>
      <c r="I650" s="20"/>
      <c r="J650" s="20"/>
      <c r="K650" s="20"/>
      <c r="L650" s="15"/>
      <c r="M650" s="15"/>
      <c r="N650" s="15"/>
      <c r="O650" s="15"/>
      <c r="P650" s="15"/>
      <c r="Q650" s="16">
        <f>SUM(L650:P650)</f>
        <v>0</v>
      </c>
      <c r="R650" s="388"/>
    </row>
    <row r="651" spans="1:18" ht="15" customHeight="1">
      <c r="A651" s="19"/>
      <c r="B651" s="19"/>
      <c r="C651" s="18"/>
      <c r="D651" s="18" t="s">
        <v>465</v>
      </c>
      <c r="E651" s="347"/>
      <c r="F651" s="17"/>
      <c r="G651" s="19">
        <f aca="true" t="shared" si="40" ref="G651:Q651">SUM(G646:G650)</f>
        <v>30</v>
      </c>
      <c r="H651" s="19">
        <f t="shared" si="40"/>
        <v>8</v>
      </c>
      <c r="I651" s="19">
        <f t="shared" si="40"/>
        <v>237</v>
      </c>
      <c r="J651" s="19">
        <f t="shared" si="40"/>
        <v>0</v>
      </c>
      <c r="K651" s="19">
        <f t="shared" si="40"/>
        <v>0</v>
      </c>
      <c r="L651" s="19">
        <f t="shared" si="40"/>
        <v>0</v>
      </c>
      <c r="M651" s="19">
        <f t="shared" si="40"/>
        <v>0</v>
      </c>
      <c r="N651" s="19">
        <f t="shared" si="40"/>
        <v>0</v>
      </c>
      <c r="O651" s="19">
        <f t="shared" si="40"/>
        <v>0</v>
      </c>
      <c r="P651" s="19">
        <f t="shared" si="40"/>
        <v>0</v>
      </c>
      <c r="Q651" s="18">
        <f t="shared" si="40"/>
        <v>275</v>
      </c>
      <c r="R651" s="576"/>
    </row>
    <row r="652" spans="1:18" ht="15" customHeight="1">
      <c r="A652" s="23">
        <v>1</v>
      </c>
      <c r="B652" s="23">
        <v>19</v>
      </c>
      <c r="C652" s="387"/>
      <c r="D652" s="28" t="s">
        <v>985</v>
      </c>
      <c r="E652" s="185"/>
      <c r="F652" s="23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4"/>
      <c r="R652" s="388"/>
    </row>
    <row r="653" spans="1:18" ht="15" customHeight="1" hidden="1">
      <c r="A653" s="23"/>
      <c r="B653" s="23"/>
      <c r="C653" s="387"/>
      <c r="D653" s="118" t="s">
        <v>986</v>
      </c>
      <c r="E653" s="78"/>
      <c r="F653" s="23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4"/>
      <c r="R653" s="388"/>
    </row>
    <row r="654" spans="1:18" ht="15" customHeight="1" hidden="1">
      <c r="A654" s="23"/>
      <c r="B654" s="23"/>
      <c r="C654" s="387"/>
      <c r="D654" s="24" t="s">
        <v>987</v>
      </c>
      <c r="E654" s="337">
        <v>1</v>
      </c>
      <c r="F654" s="23">
        <v>191101</v>
      </c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4">
        <f>SUM(G654:P654)</f>
        <v>0</v>
      </c>
      <c r="R654" s="388"/>
    </row>
    <row r="655" spans="1:18" ht="15" customHeight="1" hidden="1">
      <c r="A655" s="23"/>
      <c r="B655" s="23"/>
      <c r="C655" s="387"/>
      <c r="D655" s="16" t="s">
        <v>31</v>
      </c>
      <c r="E655" s="337">
        <v>1</v>
      </c>
      <c r="F655" s="23">
        <v>191901</v>
      </c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4">
        <f>SUM(G655:P655)</f>
        <v>0</v>
      </c>
      <c r="R655" s="388"/>
    </row>
    <row r="656" spans="1:18" ht="15" customHeight="1">
      <c r="A656" s="23"/>
      <c r="B656" s="23"/>
      <c r="C656" s="387"/>
      <c r="D656" s="343" t="s">
        <v>414</v>
      </c>
      <c r="E656" s="353"/>
      <c r="F656" s="652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4"/>
      <c r="R656" s="388"/>
    </row>
    <row r="657" spans="1:18" ht="15" customHeight="1" hidden="1">
      <c r="A657" s="23"/>
      <c r="B657" s="23"/>
      <c r="C657" s="387"/>
      <c r="D657" s="24" t="s">
        <v>988</v>
      </c>
      <c r="E657" s="337">
        <v>1</v>
      </c>
      <c r="F657" s="23">
        <v>191102</v>
      </c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4">
        <f>SUM(G657:P657)</f>
        <v>0</v>
      </c>
      <c r="R657" s="388"/>
    </row>
    <row r="658" spans="1:18" ht="15" customHeight="1">
      <c r="A658" s="23"/>
      <c r="B658" s="23"/>
      <c r="C658" s="387"/>
      <c r="D658" s="24" t="s">
        <v>707</v>
      </c>
      <c r="E658" s="25">
        <v>1</v>
      </c>
      <c r="F658" s="23">
        <v>191103</v>
      </c>
      <c r="G658" s="25"/>
      <c r="H658" s="25"/>
      <c r="I658" s="15">
        <v>5486</v>
      </c>
      <c r="J658" s="15"/>
      <c r="K658" s="15"/>
      <c r="L658" s="25"/>
      <c r="M658" s="25"/>
      <c r="N658" s="25"/>
      <c r="O658" s="25"/>
      <c r="P658" s="25"/>
      <c r="Q658" s="24">
        <f>SUM(G658:P658)</f>
        <v>5486</v>
      </c>
      <c r="R658" s="388" t="s">
        <v>147</v>
      </c>
    </row>
    <row r="659" spans="1:18" ht="15" customHeight="1" hidden="1">
      <c r="A659" s="23"/>
      <c r="B659" s="23"/>
      <c r="C659" s="387"/>
      <c r="D659" s="24" t="s">
        <v>989</v>
      </c>
      <c r="E659" s="25">
        <v>1</v>
      </c>
      <c r="F659" s="23">
        <v>191105</v>
      </c>
      <c r="G659" s="25"/>
      <c r="H659" s="25"/>
      <c r="I659" s="15"/>
      <c r="J659" s="25"/>
      <c r="K659" s="25"/>
      <c r="L659" s="25"/>
      <c r="M659" s="25"/>
      <c r="N659" s="25"/>
      <c r="O659" s="25"/>
      <c r="P659" s="25"/>
      <c r="Q659" s="24">
        <f>SUM(G659:P659)</f>
        <v>0</v>
      </c>
      <c r="R659" s="388"/>
    </row>
    <row r="660" spans="1:18" ht="15" customHeight="1" hidden="1">
      <c r="A660" s="23"/>
      <c r="B660" s="23"/>
      <c r="C660" s="387"/>
      <c r="D660" s="24" t="s">
        <v>990</v>
      </c>
      <c r="E660" s="25">
        <v>1</v>
      </c>
      <c r="F660" s="23">
        <v>196901</v>
      </c>
      <c r="G660" s="25"/>
      <c r="H660" s="25"/>
      <c r="I660" s="15"/>
      <c r="J660" s="25"/>
      <c r="K660" s="25"/>
      <c r="L660" s="25"/>
      <c r="M660" s="25"/>
      <c r="N660" s="25"/>
      <c r="O660" s="25"/>
      <c r="P660" s="25"/>
      <c r="Q660" s="24">
        <f>SUM(G660:P660)</f>
        <v>0</v>
      </c>
      <c r="R660" s="388"/>
    </row>
    <row r="661" spans="1:18" ht="15" customHeight="1" hidden="1">
      <c r="A661" s="23"/>
      <c r="B661" s="23"/>
      <c r="C661" s="387"/>
      <c r="D661" s="24" t="s">
        <v>360</v>
      </c>
      <c r="E661" s="25"/>
      <c r="F661" s="23"/>
      <c r="G661" s="25"/>
      <c r="H661" s="25"/>
      <c r="I661" s="15"/>
      <c r="J661" s="25"/>
      <c r="K661" s="25"/>
      <c r="L661" s="25"/>
      <c r="M661" s="25"/>
      <c r="N661" s="25"/>
      <c r="O661" s="25"/>
      <c r="P661" s="25"/>
      <c r="Q661" s="24"/>
      <c r="R661" s="388"/>
    </row>
    <row r="662" spans="1:18" ht="15" customHeight="1" hidden="1">
      <c r="A662" s="23"/>
      <c r="B662" s="23"/>
      <c r="C662" s="387"/>
      <c r="D662" s="24" t="s">
        <v>991</v>
      </c>
      <c r="E662" s="25">
        <v>1</v>
      </c>
      <c r="F662" s="23">
        <v>191104</v>
      </c>
      <c r="G662" s="25"/>
      <c r="H662" s="25"/>
      <c r="I662" s="15"/>
      <c r="J662" s="25"/>
      <c r="K662" s="25"/>
      <c r="L662" s="25"/>
      <c r="M662" s="25"/>
      <c r="N662" s="25"/>
      <c r="O662" s="25"/>
      <c r="P662" s="25"/>
      <c r="Q662" s="24">
        <f>SUM(G662:P662)</f>
        <v>0</v>
      </c>
      <c r="R662" s="388"/>
    </row>
    <row r="663" spans="1:18" ht="13.5" customHeight="1" hidden="1">
      <c r="A663" s="23"/>
      <c r="B663" s="23"/>
      <c r="C663" s="387"/>
      <c r="D663" s="119" t="s">
        <v>992</v>
      </c>
      <c r="E663" s="25"/>
      <c r="F663" s="23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4">
        <f>SUM(G663:P663)</f>
        <v>0</v>
      </c>
      <c r="R663" s="388"/>
    </row>
    <row r="664" spans="1:18" ht="13.5" customHeight="1" hidden="1">
      <c r="A664" s="23"/>
      <c r="B664" s="23"/>
      <c r="C664" s="387"/>
      <c r="D664" s="24" t="s">
        <v>993</v>
      </c>
      <c r="E664" s="25">
        <v>2</v>
      </c>
      <c r="F664" s="23">
        <v>191109</v>
      </c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4">
        <f>SUM(G664:P664)</f>
        <v>0</v>
      </c>
      <c r="R664" s="388"/>
    </row>
    <row r="665" spans="1:18" ht="13.5" customHeight="1" hidden="1">
      <c r="A665" s="23"/>
      <c r="B665" s="23"/>
      <c r="C665" s="387"/>
      <c r="D665" s="24" t="s">
        <v>994</v>
      </c>
      <c r="E665" s="25"/>
      <c r="F665" s="23"/>
      <c r="G665" s="15"/>
      <c r="H665" s="15"/>
      <c r="I665" s="15"/>
      <c r="J665" s="15"/>
      <c r="K665" s="15"/>
      <c r="L665" s="25"/>
      <c r="M665" s="25"/>
      <c r="N665" s="25"/>
      <c r="O665" s="25"/>
      <c r="P665" s="25"/>
      <c r="Q665" s="24"/>
      <c r="R665" s="388"/>
    </row>
    <row r="666" spans="1:18" ht="13.5" customHeight="1" hidden="1">
      <c r="A666" s="23"/>
      <c r="B666" s="23"/>
      <c r="C666" s="387"/>
      <c r="D666" s="24" t="s">
        <v>995</v>
      </c>
      <c r="E666" s="25">
        <v>2</v>
      </c>
      <c r="F666" s="23">
        <v>191401</v>
      </c>
      <c r="G666" s="15"/>
      <c r="H666" s="15"/>
      <c r="I666" s="15"/>
      <c r="J666" s="15"/>
      <c r="K666" s="15"/>
      <c r="L666" s="25"/>
      <c r="M666" s="25"/>
      <c r="N666" s="25"/>
      <c r="O666" s="25"/>
      <c r="P666" s="25"/>
      <c r="Q666" s="24">
        <f>SUM(G666:P666)</f>
        <v>0</v>
      </c>
      <c r="R666" s="388"/>
    </row>
    <row r="667" spans="1:18" ht="15" customHeight="1">
      <c r="A667" s="23"/>
      <c r="B667" s="23"/>
      <c r="C667" s="387"/>
      <c r="D667" s="343" t="s">
        <v>414</v>
      </c>
      <c r="E667" s="353"/>
      <c r="F667" s="652"/>
      <c r="G667" s="15"/>
      <c r="H667" s="15"/>
      <c r="I667" s="15"/>
      <c r="J667" s="15"/>
      <c r="K667" s="15"/>
      <c r="L667" s="25"/>
      <c r="M667" s="25"/>
      <c r="N667" s="25"/>
      <c r="O667" s="25"/>
      <c r="P667" s="25"/>
      <c r="Q667" s="24"/>
      <c r="R667" s="388"/>
    </row>
    <row r="668" spans="1:18" ht="23.25" customHeight="1">
      <c r="A668" s="23"/>
      <c r="B668" s="23"/>
      <c r="C668" s="387"/>
      <c r="D668" s="204" t="s">
        <v>361</v>
      </c>
      <c r="E668" s="337">
        <v>1</v>
      </c>
      <c r="F668" s="23">
        <v>191905</v>
      </c>
      <c r="G668" s="15"/>
      <c r="H668" s="15"/>
      <c r="I668" s="15"/>
      <c r="J668" s="15"/>
      <c r="K668" s="15">
        <v>34896</v>
      </c>
      <c r="L668" s="25"/>
      <c r="M668" s="25"/>
      <c r="N668" s="25"/>
      <c r="O668" s="25"/>
      <c r="P668" s="25"/>
      <c r="Q668" s="24">
        <f>SUM(G668:P668)</f>
        <v>34896</v>
      </c>
      <c r="R668" s="388" t="s">
        <v>147</v>
      </c>
    </row>
    <row r="669" spans="1:18" ht="21.75" customHeight="1" hidden="1">
      <c r="A669" s="23"/>
      <c r="B669" s="23"/>
      <c r="C669" s="387"/>
      <c r="D669" s="202" t="s">
        <v>1096</v>
      </c>
      <c r="E669" s="337">
        <v>1</v>
      </c>
      <c r="F669" s="23">
        <v>191128</v>
      </c>
      <c r="G669" s="15"/>
      <c r="H669" s="15"/>
      <c r="I669" s="15"/>
      <c r="J669" s="15"/>
      <c r="K669" s="15"/>
      <c r="L669" s="25"/>
      <c r="M669" s="25"/>
      <c r="N669" s="25"/>
      <c r="O669" s="25"/>
      <c r="P669" s="25"/>
      <c r="Q669" s="24"/>
      <c r="R669" s="388"/>
    </row>
    <row r="670" spans="1:18" ht="13.5" customHeight="1" hidden="1">
      <c r="A670" s="23"/>
      <c r="B670" s="23"/>
      <c r="C670" s="387"/>
      <c r="D670" s="24" t="s">
        <v>996</v>
      </c>
      <c r="E670" s="337"/>
      <c r="F670" s="23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4"/>
      <c r="R670" s="388"/>
    </row>
    <row r="671" spans="1:18" ht="13.5" customHeight="1" hidden="1">
      <c r="A671" s="23"/>
      <c r="B671" s="23"/>
      <c r="C671" s="387"/>
      <c r="D671" s="24" t="s">
        <v>997</v>
      </c>
      <c r="E671" s="25">
        <v>2</v>
      </c>
      <c r="F671" s="23">
        <v>191151</v>
      </c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4">
        <f>SUM(G671:P671)</f>
        <v>0</v>
      </c>
      <c r="R671" s="388"/>
    </row>
    <row r="672" spans="1:18" ht="15" customHeight="1" hidden="1">
      <c r="A672" s="23"/>
      <c r="B672" s="23"/>
      <c r="C672" s="387"/>
      <c r="D672" s="343" t="s">
        <v>414</v>
      </c>
      <c r="E672" s="353"/>
      <c r="F672" s="652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4"/>
      <c r="R672" s="388"/>
    </row>
    <row r="673" spans="1:18" ht="13.5" customHeight="1" hidden="1">
      <c r="A673" s="23"/>
      <c r="B673" s="23"/>
      <c r="C673" s="387"/>
      <c r="D673" s="24" t="s">
        <v>998</v>
      </c>
      <c r="E673" s="25">
        <v>1</v>
      </c>
      <c r="F673" s="23">
        <v>191121</v>
      </c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4">
        <f>SUM(G673:P673)</f>
        <v>0</v>
      </c>
      <c r="R673" s="388"/>
    </row>
    <row r="674" spans="1:18" ht="13.5" customHeight="1" hidden="1">
      <c r="A674" s="23"/>
      <c r="B674" s="23"/>
      <c r="C674" s="387"/>
      <c r="D674" s="24" t="s">
        <v>999</v>
      </c>
      <c r="E674" s="337"/>
      <c r="F674" s="23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4"/>
      <c r="R674" s="388"/>
    </row>
    <row r="675" spans="1:18" ht="24.75" customHeight="1" hidden="1">
      <c r="A675" s="23"/>
      <c r="B675" s="23"/>
      <c r="C675" s="387"/>
      <c r="D675" s="202" t="s">
        <v>1000</v>
      </c>
      <c r="E675" s="353">
        <v>2</v>
      </c>
      <c r="F675" s="652">
        <v>191142</v>
      </c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4">
        <f>SUM(G675:P675)</f>
        <v>0</v>
      </c>
      <c r="R675" s="388"/>
    </row>
    <row r="676" spans="1:18" ht="21.75" customHeight="1" hidden="1">
      <c r="A676" s="23"/>
      <c r="B676" s="23"/>
      <c r="C676" s="387"/>
      <c r="D676" s="202" t="s">
        <v>1001</v>
      </c>
      <c r="E676" s="353">
        <v>2</v>
      </c>
      <c r="F676" s="652">
        <v>191154</v>
      </c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4">
        <f>SUM(G676:P676)</f>
        <v>0</v>
      </c>
      <c r="R676" s="388"/>
    </row>
    <row r="677" spans="1:18" ht="13.5" customHeight="1">
      <c r="A677" s="23"/>
      <c r="B677" s="23"/>
      <c r="C677" s="387"/>
      <c r="D677" s="24" t="s">
        <v>1002</v>
      </c>
      <c r="E677" s="337"/>
      <c r="F677" s="23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4"/>
      <c r="R677" s="388"/>
    </row>
    <row r="678" spans="1:18" ht="13.5" customHeight="1">
      <c r="A678" s="23"/>
      <c r="B678" s="23"/>
      <c r="C678" s="387"/>
      <c r="D678" s="202" t="s">
        <v>1003</v>
      </c>
      <c r="E678" s="359">
        <v>1</v>
      </c>
      <c r="F678" s="653">
        <v>191129</v>
      </c>
      <c r="G678" s="25"/>
      <c r="H678" s="25"/>
      <c r="I678" s="25"/>
      <c r="J678" s="15"/>
      <c r="K678" s="15">
        <v>27342</v>
      </c>
      <c r="L678" s="25"/>
      <c r="M678" s="25"/>
      <c r="N678" s="25"/>
      <c r="O678" s="25"/>
      <c r="P678" s="25"/>
      <c r="Q678" s="24">
        <f aca="true" t="shared" si="41" ref="Q678:Q686">SUM(G678:P678)</f>
        <v>27342</v>
      </c>
      <c r="R678" s="388" t="s">
        <v>147</v>
      </c>
    </row>
    <row r="679" spans="1:18" ht="24.75" customHeight="1" hidden="1">
      <c r="A679" s="23"/>
      <c r="B679" s="23"/>
      <c r="C679" s="387"/>
      <c r="D679" s="202" t="s">
        <v>1197</v>
      </c>
      <c r="E679" s="353"/>
      <c r="F679" s="652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4">
        <f t="shared" si="41"/>
        <v>0</v>
      </c>
      <c r="R679" s="388"/>
    </row>
    <row r="680" spans="1:18" ht="21.75" customHeight="1" hidden="1">
      <c r="A680" s="23"/>
      <c r="B680" s="23"/>
      <c r="C680" s="387"/>
      <c r="D680" s="202" t="s">
        <v>1004</v>
      </c>
      <c r="E680" s="353">
        <v>1</v>
      </c>
      <c r="F680" s="652">
        <v>191152</v>
      </c>
      <c r="G680" s="25"/>
      <c r="H680" s="25"/>
      <c r="I680" s="15"/>
      <c r="J680" s="15"/>
      <c r="K680" s="15"/>
      <c r="L680" s="15"/>
      <c r="M680" s="15"/>
      <c r="N680" s="15"/>
      <c r="O680" s="15"/>
      <c r="P680" s="25"/>
      <c r="Q680" s="24">
        <f t="shared" si="41"/>
        <v>0</v>
      </c>
      <c r="R680" s="388"/>
    </row>
    <row r="681" spans="1:18" ht="13.5" customHeight="1" hidden="1">
      <c r="A681" s="23"/>
      <c r="B681" s="23"/>
      <c r="C681" s="387"/>
      <c r="D681" s="118" t="s">
        <v>1308</v>
      </c>
      <c r="E681" s="337"/>
      <c r="F681" s="23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4"/>
      <c r="R681" s="388"/>
    </row>
    <row r="682" spans="1:18" ht="13.5" customHeight="1" hidden="1">
      <c r="A682" s="23"/>
      <c r="B682" s="23"/>
      <c r="C682" s="387"/>
      <c r="D682" s="24" t="s">
        <v>32</v>
      </c>
      <c r="E682" s="25">
        <v>2</v>
      </c>
      <c r="F682" s="23">
        <v>191801</v>
      </c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4">
        <f t="shared" si="41"/>
        <v>0</v>
      </c>
      <c r="R682" s="388"/>
    </row>
    <row r="683" spans="1:18" ht="13.5" customHeight="1" hidden="1">
      <c r="A683" s="23"/>
      <c r="B683" s="23"/>
      <c r="C683" s="387"/>
      <c r="D683" s="16" t="s">
        <v>966</v>
      </c>
      <c r="E683" s="15"/>
      <c r="F683" s="687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4"/>
      <c r="R683" s="388"/>
    </row>
    <row r="684" spans="1:18" ht="13.5" customHeight="1" hidden="1">
      <c r="A684" s="23"/>
      <c r="B684" s="23"/>
      <c r="C684" s="387"/>
      <c r="D684" s="16" t="s">
        <v>21</v>
      </c>
      <c r="E684" s="15">
        <v>2</v>
      </c>
      <c r="F684" s="13">
        <v>191111</v>
      </c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4">
        <f t="shared" si="41"/>
        <v>0</v>
      </c>
      <c r="R684" s="388"/>
    </row>
    <row r="685" spans="1:18" ht="24.75" customHeight="1">
      <c r="A685" s="23"/>
      <c r="B685" s="23"/>
      <c r="C685" s="387"/>
      <c r="D685" s="59" t="s">
        <v>153</v>
      </c>
      <c r="E685" s="14"/>
      <c r="F685" s="687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4"/>
      <c r="R685" s="388"/>
    </row>
    <row r="686" spans="1:18" ht="27.75" customHeight="1">
      <c r="A686" s="23"/>
      <c r="B686" s="23"/>
      <c r="C686" s="387"/>
      <c r="D686" s="59" t="s">
        <v>1260</v>
      </c>
      <c r="E686" s="14">
        <v>2</v>
      </c>
      <c r="F686" s="688">
        <v>191607</v>
      </c>
      <c r="G686" s="25"/>
      <c r="H686" s="25"/>
      <c r="I686" s="25"/>
      <c r="J686" s="25"/>
      <c r="K686" s="25">
        <v>15000</v>
      </c>
      <c r="L686" s="25"/>
      <c r="M686" s="25"/>
      <c r="N686" s="25"/>
      <c r="O686" s="25"/>
      <c r="P686" s="25"/>
      <c r="Q686" s="24">
        <f t="shared" si="41"/>
        <v>15000</v>
      </c>
      <c r="R686" s="388" t="s">
        <v>147</v>
      </c>
    </row>
    <row r="687" spans="1:18" ht="13.5" customHeight="1">
      <c r="A687" s="17"/>
      <c r="B687" s="17"/>
      <c r="C687" s="346"/>
      <c r="D687" s="18" t="s">
        <v>1005</v>
      </c>
      <c r="E687" s="347"/>
      <c r="F687" s="17"/>
      <c r="G687" s="19">
        <f>SUM(G652:G686)</f>
        <v>0</v>
      </c>
      <c r="H687" s="19">
        <f aca="true" t="shared" si="42" ref="H687:Q687">SUM(H652:H686)</f>
        <v>0</v>
      </c>
      <c r="I687" s="19">
        <f t="shared" si="42"/>
        <v>5486</v>
      </c>
      <c r="J687" s="19">
        <f t="shared" si="42"/>
        <v>0</v>
      </c>
      <c r="K687" s="19">
        <f t="shared" si="42"/>
        <v>77238</v>
      </c>
      <c r="L687" s="19">
        <f t="shared" si="42"/>
        <v>0</v>
      </c>
      <c r="M687" s="19">
        <f t="shared" si="42"/>
        <v>0</v>
      </c>
      <c r="N687" s="19">
        <f t="shared" si="42"/>
        <v>0</v>
      </c>
      <c r="O687" s="19">
        <f t="shared" si="42"/>
        <v>0</v>
      </c>
      <c r="P687" s="19">
        <f t="shared" si="42"/>
        <v>0</v>
      </c>
      <c r="Q687" s="19">
        <f t="shared" si="42"/>
        <v>82724</v>
      </c>
      <c r="R687" s="576"/>
    </row>
    <row r="688" spans="1:18" ht="13.5" customHeight="1">
      <c r="A688" s="186"/>
      <c r="B688" s="186"/>
      <c r="C688" s="474"/>
      <c r="D688" s="24" t="s">
        <v>1006</v>
      </c>
      <c r="E688" s="185"/>
      <c r="F688" s="23"/>
      <c r="G688" s="26"/>
      <c r="H688" s="26"/>
      <c r="I688" s="26"/>
      <c r="J688" s="25"/>
      <c r="K688" s="25"/>
      <c r="L688" s="26"/>
      <c r="M688" s="26"/>
      <c r="N688" s="25"/>
      <c r="O688" s="25"/>
      <c r="P688" s="26"/>
      <c r="Q688" s="24">
        <f>SUM(G688:P688)</f>
        <v>0</v>
      </c>
      <c r="R688" s="388"/>
    </row>
    <row r="689" spans="1:18" ht="25.5" customHeight="1">
      <c r="A689" s="186"/>
      <c r="B689" s="186"/>
      <c r="C689" s="387" t="s">
        <v>562</v>
      </c>
      <c r="D689" s="806" t="s">
        <v>1039</v>
      </c>
      <c r="E689" s="185">
        <v>2</v>
      </c>
      <c r="F689" s="23">
        <v>192909</v>
      </c>
      <c r="G689" s="26"/>
      <c r="H689" s="26"/>
      <c r="I689" s="26"/>
      <c r="J689" s="25"/>
      <c r="K689" s="25"/>
      <c r="L689" s="25"/>
      <c r="M689" s="25"/>
      <c r="N689" s="25">
        <v>800</v>
      </c>
      <c r="O689" s="25"/>
      <c r="P689" s="26"/>
      <c r="Q689" s="24">
        <f>SUM(G689:P689)</f>
        <v>800</v>
      </c>
      <c r="R689" s="388" t="s">
        <v>147</v>
      </c>
    </row>
    <row r="690" spans="1:18" ht="13.5" customHeight="1">
      <c r="A690" s="17"/>
      <c r="B690" s="17"/>
      <c r="C690" s="346"/>
      <c r="D690" s="18" t="s">
        <v>692</v>
      </c>
      <c r="E690" s="347"/>
      <c r="F690" s="17"/>
      <c r="G690" s="19">
        <f aca="true" t="shared" si="43" ref="G690:Q690">SUM(G687:G689)</f>
        <v>0</v>
      </c>
      <c r="H690" s="19">
        <f t="shared" si="43"/>
        <v>0</v>
      </c>
      <c r="I690" s="19">
        <f t="shared" si="43"/>
        <v>5486</v>
      </c>
      <c r="J690" s="19">
        <f t="shared" si="43"/>
        <v>0</v>
      </c>
      <c r="K690" s="19">
        <f t="shared" si="43"/>
        <v>77238</v>
      </c>
      <c r="L690" s="19">
        <f t="shared" si="43"/>
        <v>0</v>
      </c>
      <c r="M690" s="19">
        <f t="shared" si="43"/>
        <v>0</v>
      </c>
      <c r="N690" s="19">
        <f t="shared" si="43"/>
        <v>800</v>
      </c>
      <c r="O690" s="19">
        <f t="shared" si="43"/>
        <v>0</v>
      </c>
      <c r="P690" s="19">
        <f t="shared" si="43"/>
        <v>0</v>
      </c>
      <c r="Q690" s="18">
        <f t="shared" si="43"/>
        <v>83524</v>
      </c>
      <c r="R690" s="576"/>
    </row>
    <row r="691" spans="1:18" ht="15" customHeight="1">
      <c r="A691" s="183">
        <v>1</v>
      </c>
      <c r="B691" s="183">
        <v>20</v>
      </c>
      <c r="C691" s="365"/>
      <c r="D691" s="201" t="s">
        <v>414</v>
      </c>
      <c r="E691" s="78"/>
      <c r="F691" s="23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1"/>
      <c r="R691" s="388"/>
    </row>
    <row r="692" spans="1:18" ht="13.5" customHeight="1">
      <c r="A692" s="17"/>
      <c r="B692" s="17"/>
      <c r="C692" s="346"/>
      <c r="D692" s="18" t="s">
        <v>1385</v>
      </c>
      <c r="E692" s="347"/>
      <c r="F692" s="17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8">
        <f>SUM(G692:P692)</f>
        <v>0</v>
      </c>
      <c r="R692" s="576"/>
    </row>
    <row r="693" spans="1:18" ht="13.5" customHeight="1">
      <c r="A693" s="391">
        <v>1</v>
      </c>
      <c r="B693" s="391" t="s">
        <v>1007</v>
      </c>
      <c r="C693" s="488"/>
      <c r="D693" s="489" t="s">
        <v>1008</v>
      </c>
      <c r="E693" s="490"/>
      <c r="F693" s="391"/>
      <c r="G693" s="374"/>
      <c r="H693" s="374"/>
      <c r="I693" s="388"/>
      <c r="J693" s="374"/>
      <c r="K693" s="374"/>
      <c r="L693" s="374"/>
      <c r="M693" s="374"/>
      <c r="N693" s="374"/>
      <c r="O693" s="374"/>
      <c r="P693" s="374"/>
      <c r="Q693" s="489"/>
      <c r="R693" s="388"/>
    </row>
    <row r="694" spans="1:18" ht="13.5" customHeight="1">
      <c r="A694" s="391"/>
      <c r="B694" s="391"/>
      <c r="C694" s="488"/>
      <c r="D694" s="343" t="s">
        <v>414</v>
      </c>
      <c r="E694" s="78"/>
      <c r="F694" s="23"/>
      <c r="G694" s="374"/>
      <c r="H694" s="374"/>
      <c r="I694" s="388"/>
      <c r="J694" s="374"/>
      <c r="K694" s="374"/>
      <c r="L694" s="374"/>
      <c r="M694" s="374"/>
      <c r="N694" s="374"/>
      <c r="O694" s="374"/>
      <c r="P694" s="374"/>
      <c r="Q694" s="489"/>
      <c r="R694" s="388"/>
    </row>
    <row r="695" spans="1:18" ht="13.5" customHeight="1">
      <c r="A695" s="391"/>
      <c r="B695" s="391"/>
      <c r="C695" s="488"/>
      <c r="D695" s="119" t="s">
        <v>1009</v>
      </c>
      <c r="E695" s="375">
        <v>2</v>
      </c>
      <c r="F695" s="182">
        <v>221901</v>
      </c>
      <c r="G695" s="491">
        <v>2057</v>
      </c>
      <c r="H695" s="375">
        <v>1030</v>
      </c>
      <c r="I695" s="25">
        <v>-2980</v>
      </c>
      <c r="J695" s="375"/>
      <c r="K695" s="375"/>
      <c r="L695" s="492"/>
      <c r="M695" s="492"/>
      <c r="N695" s="492"/>
      <c r="O695" s="492"/>
      <c r="P695" s="492"/>
      <c r="Q695" s="119">
        <f aca="true" t="shared" si="44" ref="Q695:Q706">SUM(G695:P695)</f>
        <v>107</v>
      </c>
      <c r="R695" s="388" t="s">
        <v>147</v>
      </c>
    </row>
    <row r="696" spans="1:18" ht="13.5" customHeight="1">
      <c r="A696" s="391"/>
      <c r="B696" s="391"/>
      <c r="C696" s="488"/>
      <c r="D696" s="116" t="s">
        <v>1241</v>
      </c>
      <c r="E696" s="81">
        <v>1</v>
      </c>
      <c r="F696" s="13">
        <v>221912</v>
      </c>
      <c r="G696" s="491">
        <v>26</v>
      </c>
      <c r="H696" s="375">
        <v>5</v>
      </c>
      <c r="I696" s="375">
        <v>-23</v>
      </c>
      <c r="J696" s="375"/>
      <c r="K696" s="375"/>
      <c r="L696" s="492"/>
      <c r="M696" s="492"/>
      <c r="N696" s="492"/>
      <c r="O696" s="492"/>
      <c r="P696" s="492"/>
      <c r="Q696" s="119">
        <f t="shared" si="44"/>
        <v>8</v>
      </c>
      <c r="R696" s="388" t="s">
        <v>147</v>
      </c>
    </row>
    <row r="697" spans="1:18" ht="13.5" customHeight="1">
      <c r="A697" s="391"/>
      <c r="B697" s="391"/>
      <c r="C697" s="488"/>
      <c r="D697" s="116" t="s">
        <v>1010</v>
      </c>
      <c r="E697" s="81">
        <v>2</v>
      </c>
      <c r="F697" s="13">
        <v>221916</v>
      </c>
      <c r="G697" s="491"/>
      <c r="H697" s="375"/>
      <c r="I697" s="375">
        <v>2000</v>
      </c>
      <c r="J697" s="375"/>
      <c r="K697" s="375">
        <v>-2000</v>
      </c>
      <c r="L697" s="492"/>
      <c r="M697" s="492"/>
      <c r="N697" s="492"/>
      <c r="O697" s="492"/>
      <c r="P697" s="492"/>
      <c r="Q697" s="119">
        <f t="shared" si="44"/>
        <v>0</v>
      </c>
      <c r="R697" s="388" t="s">
        <v>147</v>
      </c>
    </row>
    <row r="698" spans="1:18" ht="13.5" customHeight="1" hidden="1">
      <c r="A698" s="391"/>
      <c r="B698" s="391"/>
      <c r="C698" s="488"/>
      <c r="D698" s="116" t="s">
        <v>1011</v>
      </c>
      <c r="E698" s="81">
        <v>2</v>
      </c>
      <c r="F698" s="13">
        <v>221903</v>
      </c>
      <c r="G698" s="491"/>
      <c r="H698" s="375"/>
      <c r="I698" s="15"/>
      <c r="J698" s="375"/>
      <c r="K698" s="375"/>
      <c r="L698" s="492"/>
      <c r="M698" s="492"/>
      <c r="N698" s="492"/>
      <c r="O698" s="492"/>
      <c r="P698" s="492"/>
      <c r="Q698" s="119">
        <f t="shared" si="44"/>
        <v>0</v>
      </c>
      <c r="R698" s="388"/>
    </row>
    <row r="699" spans="1:18" ht="13.5" customHeight="1" hidden="1">
      <c r="A699" s="391"/>
      <c r="B699" s="391"/>
      <c r="C699" s="488"/>
      <c r="D699" s="16" t="s">
        <v>1012</v>
      </c>
      <c r="E699" s="81">
        <v>1</v>
      </c>
      <c r="F699" s="13">
        <v>221950</v>
      </c>
      <c r="G699" s="491"/>
      <c r="H699" s="375"/>
      <c r="I699" s="15"/>
      <c r="J699" s="375"/>
      <c r="K699" s="375"/>
      <c r="L699" s="492"/>
      <c r="M699" s="492"/>
      <c r="N699" s="492"/>
      <c r="O699" s="492"/>
      <c r="P699" s="492"/>
      <c r="Q699" s="119">
        <f t="shared" si="44"/>
        <v>0</v>
      </c>
      <c r="R699" s="388"/>
    </row>
    <row r="700" spans="1:18" ht="13.5" customHeight="1" hidden="1">
      <c r="A700" s="391"/>
      <c r="B700" s="391"/>
      <c r="C700" s="488"/>
      <c r="D700" s="16" t="s">
        <v>1013</v>
      </c>
      <c r="E700" s="81">
        <v>2</v>
      </c>
      <c r="F700" s="13">
        <v>221904</v>
      </c>
      <c r="G700" s="491"/>
      <c r="H700" s="375"/>
      <c r="I700" s="15"/>
      <c r="J700" s="375"/>
      <c r="K700" s="375"/>
      <c r="L700" s="492"/>
      <c r="M700" s="492"/>
      <c r="N700" s="492"/>
      <c r="O700" s="492"/>
      <c r="P700" s="492"/>
      <c r="Q700" s="119">
        <f t="shared" si="44"/>
        <v>0</v>
      </c>
      <c r="R700" s="388"/>
    </row>
    <row r="701" spans="1:18" ht="13.5" customHeight="1" hidden="1">
      <c r="A701" s="391"/>
      <c r="B701" s="391"/>
      <c r="C701" s="488"/>
      <c r="D701" s="24" t="s">
        <v>1014</v>
      </c>
      <c r="E701" s="25">
        <v>2</v>
      </c>
      <c r="F701" s="23">
        <v>221922</v>
      </c>
      <c r="G701" s="491"/>
      <c r="H701" s="375"/>
      <c r="I701" s="15"/>
      <c r="J701" s="375"/>
      <c r="K701" s="375"/>
      <c r="L701" s="492"/>
      <c r="M701" s="492"/>
      <c r="N701" s="492"/>
      <c r="O701" s="492"/>
      <c r="P701" s="492"/>
      <c r="Q701" s="119">
        <f t="shared" si="44"/>
        <v>0</v>
      </c>
      <c r="R701" s="388"/>
    </row>
    <row r="702" spans="1:18" ht="13.5" customHeight="1" hidden="1">
      <c r="A702" s="391"/>
      <c r="B702" s="391"/>
      <c r="C702" s="488"/>
      <c r="D702" s="24" t="s">
        <v>1015</v>
      </c>
      <c r="E702" s="337">
        <v>2</v>
      </c>
      <c r="F702" s="23">
        <v>191139</v>
      </c>
      <c r="G702" s="491"/>
      <c r="H702" s="375"/>
      <c r="I702" s="15"/>
      <c r="J702" s="375"/>
      <c r="K702" s="375"/>
      <c r="L702" s="492"/>
      <c r="M702" s="492"/>
      <c r="N702" s="492"/>
      <c r="O702" s="492"/>
      <c r="P702" s="492"/>
      <c r="Q702" s="119">
        <f t="shared" si="44"/>
        <v>0</v>
      </c>
      <c r="R702" s="388"/>
    </row>
    <row r="703" spans="1:18" ht="13.5" customHeight="1">
      <c r="A703" s="391"/>
      <c r="B703" s="391"/>
      <c r="C703" s="488"/>
      <c r="D703" s="24" t="s">
        <v>1016</v>
      </c>
      <c r="E703" s="337">
        <v>2</v>
      </c>
      <c r="F703" s="23">
        <v>221926</v>
      </c>
      <c r="G703" s="491">
        <v>4131</v>
      </c>
      <c r="H703" s="375">
        <v>1851</v>
      </c>
      <c r="I703" s="15">
        <v>1268</v>
      </c>
      <c r="J703" s="375"/>
      <c r="K703" s="375">
        <v>350</v>
      </c>
      <c r="L703" s="375">
        <v>1000</v>
      </c>
      <c r="M703" s="375">
        <v>500</v>
      </c>
      <c r="N703" s="492"/>
      <c r="O703" s="492"/>
      <c r="P703" s="492"/>
      <c r="Q703" s="119">
        <f t="shared" si="44"/>
        <v>9100</v>
      </c>
      <c r="R703" s="388" t="s">
        <v>147</v>
      </c>
    </row>
    <row r="704" spans="1:18" ht="13.5" customHeight="1" hidden="1">
      <c r="A704" s="391"/>
      <c r="B704" s="391"/>
      <c r="C704" s="488"/>
      <c r="D704" s="24" t="s">
        <v>1017</v>
      </c>
      <c r="E704" s="337">
        <v>2</v>
      </c>
      <c r="F704" s="23">
        <v>221927</v>
      </c>
      <c r="G704" s="491"/>
      <c r="H704" s="375"/>
      <c r="I704" s="15"/>
      <c r="J704" s="375"/>
      <c r="K704" s="375"/>
      <c r="L704" s="492"/>
      <c r="M704" s="492"/>
      <c r="N704" s="492"/>
      <c r="O704" s="492"/>
      <c r="P704" s="492"/>
      <c r="Q704" s="119">
        <f t="shared" si="44"/>
        <v>0</v>
      </c>
      <c r="R704" s="388"/>
    </row>
    <row r="705" spans="1:18" ht="13.5" customHeight="1">
      <c r="A705" s="391"/>
      <c r="B705" s="391"/>
      <c r="C705" s="488"/>
      <c r="D705" s="16" t="s">
        <v>1292</v>
      </c>
      <c r="E705" s="337">
        <v>2</v>
      </c>
      <c r="F705" s="23">
        <v>221928</v>
      </c>
      <c r="G705" s="491"/>
      <c r="H705" s="375"/>
      <c r="I705" s="15"/>
      <c r="J705" s="375"/>
      <c r="K705" s="375">
        <v>-4465</v>
      </c>
      <c r="L705" s="492"/>
      <c r="M705" s="492"/>
      <c r="N705" s="492"/>
      <c r="O705" s="492"/>
      <c r="P705" s="492"/>
      <c r="Q705" s="119">
        <f t="shared" si="44"/>
        <v>-4465</v>
      </c>
      <c r="R705" s="388" t="s">
        <v>147</v>
      </c>
    </row>
    <row r="706" spans="1:18" ht="26.25" customHeight="1">
      <c r="A706" s="391"/>
      <c r="B706" s="391"/>
      <c r="C706" s="488"/>
      <c r="D706" s="178" t="s">
        <v>155</v>
      </c>
      <c r="E706" s="337">
        <v>2</v>
      </c>
      <c r="F706" s="13">
        <v>221932</v>
      </c>
      <c r="G706" s="491"/>
      <c r="H706" s="375"/>
      <c r="I706" s="15"/>
      <c r="J706" s="375"/>
      <c r="K706" s="375">
        <v>5000</v>
      </c>
      <c r="L706" s="492"/>
      <c r="M706" s="492"/>
      <c r="N706" s="492"/>
      <c r="O706" s="492"/>
      <c r="P706" s="492"/>
      <c r="Q706" s="119">
        <f t="shared" si="44"/>
        <v>5000</v>
      </c>
      <c r="R706" s="388" t="s">
        <v>147</v>
      </c>
    </row>
    <row r="707" spans="1:18" ht="13.5" customHeight="1" hidden="1">
      <c r="A707" s="391"/>
      <c r="B707" s="391"/>
      <c r="C707" s="488"/>
      <c r="D707" s="24" t="s">
        <v>1018</v>
      </c>
      <c r="E707" s="337"/>
      <c r="F707" s="13"/>
      <c r="G707" s="25"/>
      <c r="H707" s="25"/>
      <c r="I707" s="15"/>
      <c r="J707" s="15"/>
      <c r="K707" s="15"/>
      <c r="L707" s="25"/>
      <c r="M707" s="25"/>
      <c r="N707" s="25"/>
      <c r="O707" s="25"/>
      <c r="P707" s="25"/>
      <c r="Q707" s="24"/>
      <c r="R707" s="388"/>
    </row>
    <row r="708" spans="1:18" ht="13.5" customHeight="1" hidden="1">
      <c r="A708" s="391"/>
      <c r="B708" s="391"/>
      <c r="C708" s="488"/>
      <c r="D708" s="24" t="s">
        <v>1019</v>
      </c>
      <c r="E708" s="25">
        <v>2</v>
      </c>
      <c r="F708" s="13">
        <v>191301</v>
      </c>
      <c r="G708" s="25"/>
      <c r="H708" s="25"/>
      <c r="I708" s="15"/>
      <c r="J708" s="15"/>
      <c r="K708" s="15"/>
      <c r="L708" s="25"/>
      <c r="M708" s="25"/>
      <c r="N708" s="25"/>
      <c r="O708" s="25"/>
      <c r="P708" s="25"/>
      <c r="Q708" s="24">
        <f>SUM(G708:P708)</f>
        <v>0</v>
      </c>
      <c r="R708" s="388"/>
    </row>
    <row r="709" spans="1:18" ht="13.5" customHeight="1" hidden="1">
      <c r="A709" s="391"/>
      <c r="B709" s="391"/>
      <c r="C709" s="488"/>
      <c r="D709" s="24" t="s">
        <v>1020</v>
      </c>
      <c r="E709" s="25">
        <v>2</v>
      </c>
      <c r="F709" s="13">
        <v>191302</v>
      </c>
      <c r="G709" s="25"/>
      <c r="H709" s="25"/>
      <c r="I709" s="15"/>
      <c r="J709" s="15"/>
      <c r="K709" s="15"/>
      <c r="L709" s="25"/>
      <c r="M709" s="25"/>
      <c r="N709" s="25"/>
      <c r="O709" s="25"/>
      <c r="P709" s="25"/>
      <c r="Q709" s="24">
        <f>SUM(G709:P709)</f>
        <v>0</v>
      </c>
      <c r="R709" s="388"/>
    </row>
    <row r="710" spans="1:18" ht="13.5" customHeight="1">
      <c r="A710" s="391"/>
      <c r="B710" s="391"/>
      <c r="C710" s="488"/>
      <c r="D710" s="24" t="s">
        <v>370</v>
      </c>
      <c r="E710" s="337"/>
      <c r="F710" s="13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4"/>
      <c r="R710" s="388"/>
    </row>
    <row r="711" spans="1:18" ht="13.5" customHeight="1">
      <c r="A711" s="391"/>
      <c r="B711" s="391"/>
      <c r="C711" s="488"/>
      <c r="D711" s="24" t="s">
        <v>371</v>
      </c>
      <c r="E711" s="25">
        <v>2</v>
      </c>
      <c r="F711" s="13">
        <v>191110</v>
      </c>
      <c r="G711" s="15">
        <v>2500</v>
      </c>
      <c r="H711" s="15">
        <v>1500</v>
      </c>
      <c r="I711" s="15">
        <v>1075</v>
      </c>
      <c r="J711" s="15"/>
      <c r="K711" s="15"/>
      <c r="L711" s="25"/>
      <c r="M711" s="25"/>
      <c r="N711" s="25"/>
      <c r="O711" s="25"/>
      <c r="P711" s="25"/>
      <c r="Q711" s="24">
        <f>SUM(G711:P711)</f>
        <v>5075</v>
      </c>
      <c r="R711" s="388" t="s">
        <v>147</v>
      </c>
    </row>
    <row r="712" spans="1:18" ht="13.5" customHeight="1">
      <c r="A712" s="391"/>
      <c r="B712" s="391"/>
      <c r="C712" s="488"/>
      <c r="D712" s="116" t="s">
        <v>359</v>
      </c>
      <c r="E712" s="81"/>
      <c r="F712" s="13"/>
      <c r="G712" s="493"/>
      <c r="H712" s="375"/>
      <c r="I712" s="15"/>
      <c r="J712" s="375"/>
      <c r="K712" s="375"/>
      <c r="L712" s="492"/>
      <c r="M712" s="492"/>
      <c r="N712" s="492"/>
      <c r="O712" s="492"/>
      <c r="P712" s="492"/>
      <c r="Q712" s="119"/>
      <c r="R712" s="388"/>
    </row>
    <row r="713" spans="1:18" ht="13.5" customHeight="1">
      <c r="A713" s="391"/>
      <c r="B713" s="391"/>
      <c r="C713" s="488"/>
      <c r="D713" s="202" t="s">
        <v>1075</v>
      </c>
      <c r="E713" s="494">
        <v>2</v>
      </c>
      <c r="F713" s="653">
        <v>221951</v>
      </c>
      <c r="G713" s="25"/>
      <c r="H713" s="25"/>
      <c r="I713" s="25"/>
      <c r="J713" s="25"/>
      <c r="K713" s="25">
        <v>703</v>
      </c>
      <c r="L713" s="25"/>
      <c r="M713" s="25"/>
      <c r="N713" s="25"/>
      <c r="O713" s="25"/>
      <c r="P713" s="25"/>
      <c r="Q713" s="24">
        <f>SUM(G713:P713)</f>
        <v>703</v>
      </c>
      <c r="R713" s="388" t="s">
        <v>147</v>
      </c>
    </row>
    <row r="714" spans="1:18" ht="13.5" customHeight="1">
      <c r="A714" s="391"/>
      <c r="B714" s="391"/>
      <c r="C714" s="495"/>
      <c r="D714" s="496" t="s">
        <v>708</v>
      </c>
      <c r="E714" s="81">
        <v>2</v>
      </c>
      <c r="F714" s="13" t="s">
        <v>1195</v>
      </c>
      <c r="G714" s="493"/>
      <c r="H714" s="375"/>
      <c r="I714" s="375">
        <v>-6018</v>
      </c>
      <c r="J714" s="375"/>
      <c r="K714" s="375">
        <v>5350</v>
      </c>
      <c r="L714" s="492"/>
      <c r="M714" s="492"/>
      <c r="N714" s="375"/>
      <c r="O714" s="492"/>
      <c r="P714" s="492"/>
      <c r="Q714" s="119">
        <f>SUM(G714:P714)</f>
        <v>-668</v>
      </c>
      <c r="R714" s="388" t="s">
        <v>147</v>
      </c>
    </row>
    <row r="715" spans="1:18" ht="13.5" customHeight="1">
      <c r="A715" s="391"/>
      <c r="B715" s="391"/>
      <c r="C715" s="497"/>
      <c r="D715" s="753" t="s">
        <v>156</v>
      </c>
      <c r="E715" s="81"/>
      <c r="F715" s="13">
        <v>162908</v>
      </c>
      <c r="G715" s="493"/>
      <c r="H715" s="375"/>
      <c r="I715" s="375">
        <v>10000</v>
      </c>
      <c r="J715" s="375"/>
      <c r="K715" s="375"/>
      <c r="L715" s="492"/>
      <c r="M715" s="492"/>
      <c r="N715" s="375"/>
      <c r="O715" s="492"/>
      <c r="P715" s="492"/>
      <c r="Q715" s="119">
        <f>SUM(G715:P715)</f>
        <v>10000</v>
      </c>
      <c r="R715" s="388" t="s">
        <v>147</v>
      </c>
    </row>
    <row r="716" spans="1:18" ht="13.5" customHeight="1" hidden="1">
      <c r="A716" s="391"/>
      <c r="B716" s="391"/>
      <c r="C716" s="488"/>
      <c r="D716" s="116" t="s">
        <v>1021</v>
      </c>
      <c r="E716" s="81"/>
      <c r="F716" s="13"/>
      <c r="G716" s="493"/>
      <c r="H716" s="375"/>
      <c r="I716" s="375"/>
      <c r="J716" s="375"/>
      <c r="K716" s="375"/>
      <c r="L716" s="492"/>
      <c r="M716" s="492"/>
      <c r="N716" s="492"/>
      <c r="O716" s="492"/>
      <c r="P716" s="492"/>
      <c r="Q716" s="119"/>
      <c r="R716" s="388"/>
    </row>
    <row r="717" spans="1:18" ht="13.5" customHeight="1" hidden="1">
      <c r="A717" s="391"/>
      <c r="B717" s="391"/>
      <c r="C717" s="488"/>
      <c r="D717" s="116" t="s">
        <v>1022</v>
      </c>
      <c r="E717" s="81">
        <v>2</v>
      </c>
      <c r="F717" s="13">
        <v>221929</v>
      </c>
      <c r="G717" s="493"/>
      <c r="H717" s="375"/>
      <c r="I717" s="375"/>
      <c r="J717" s="375"/>
      <c r="K717" s="375"/>
      <c r="L717" s="492"/>
      <c r="M717" s="492"/>
      <c r="N717" s="492"/>
      <c r="O717" s="492"/>
      <c r="P717" s="492"/>
      <c r="Q717" s="119">
        <f>SUM(G717:P717)</f>
        <v>0</v>
      </c>
      <c r="R717" s="388"/>
    </row>
    <row r="718" spans="1:18" ht="13.5" customHeight="1">
      <c r="A718" s="391"/>
      <c r="B718" s="391"/>
      <c r="C718" s="497"/>
      <c r="D718" s="116" t="s">
        <v>1023</v>
      </c>
      <c r="E718" s="81"/>
      <c r="F718" s="13"/>
      <c r="G718" s="493"/>
      <c r="H718" s="375"/>
      <c r="I718" s="375"/>
      <c r="J718" s="375"/>
      <c r="K718" s="375"/>
      <c r="L718" s="492"/>
      <c r="M718" s="492"/>
      <c r="N718" s="492"/>
      <c r="O718" s="492"/>
      <c r="P718" s="492"/>
      <c r="Q718" s="119"/>
      <c r="R718" s="388"/>
    </row>
    <row r="719" spans="1:18" ht="13.5" customHeight="1" hidden="1">
      <c r="A719" s="391"/>
      <c r="B719" s="391"/>
      <c r="C719" s="497"/>
      <c r="D719" s="116" t="s">
        <v>1024</v>
      </c>
      <c r="E719" s="81">
        <v>1</v>
      </c>
      <c r="F719" s="13">
        <v>221909</v>
      </c>
      <c r="G719" s="493"/>
      <c r="H719" s="375"/>
      <c r="I719" s="375"/>
      <c r="J719" s="375"/>
      <c r="K719" s="375"/>
      <c r="L719" s="492"/>
      <c r="M719" s="492"/>
      <c r="N719" s="492"/>
      <c r="O719" s="492"/>
      <c r="P719" s="492"/>
      <c r="Q719" s="119">
        <f>SUM(G719:P719)</f>
        <v>0</v>
      </c>
      <c r="R719" s="388"/>
    </row>
    <row r="720" spans="1:18" ht="13.5" customHeight="1">
      <c r="A720" s="391"/>
      <c r="B720" s="391"/>
      <c r="C720" s="488"/>
      <c r="D720" s="116" t="s">
        <v>1025</v>
      </c>
      <c r="E720" s="81">
        <v>1</v>
      </c>
      <c r="F720" s="13">
        <v>221913</v>
      </c>
      <c r="G720" s="491"/>
      <c r="H720" s="375"/>
      <c r="I720" s="375">
        <v>-2243</v>
      </c>
      <c r="J720" s="375"/>
      <c r="K720" s="375"/>
      <c r="L720" s="492"/>
      <c r="M720" s="492"/>
      <c r="N720" s="492"/>
      <c r="O720" s="492"/>
      <c r="P720" s="492"/>
      <c r="Q720" s="119">
        <f>SUM(G720:P720)</f>
        <v>-2243</v>
      </c>
      <c r="R720" s="388" t="s">
        <v>147</v>
      </c>
    </row>
    <row r="721" spans="1:18" ht="24.75" customHeight="1" hidden="1">
      <c r="A721" s="391"/>
      <c r="B721" s="391"/>
      <c r="C721" s="488"/>
      <c r="D721" s="498" t="s">
        <v>1026</v>
      </c>
      <c r="E721" s="81">
        <v>2</v>
      </c>
      <c r="F721" s="13">
        <v>221914</v>
      </c>
      <c r="G721" s="493"/>
      <c r="H721" s="375"/>
      <c r="I721" s="375"/>
      <c r="J721" s="375"/>
      <c r="K721" s="375"/>
      <c r="L721" s="492"/>
      <c r="M721" s="492"/>
      <c r="N721" s="492"/>
      <c r="O721" s="492"/>
      <c r="P721" s="492"/>
      <c r="Q721" s="119">
        <f>SUM(G721:P721)</f>
        <v>0</v>
      </c>
      <c r="R721" s="388"/>
    </row>
    <row r="722" spans="1:18" ht="14.25" customHeight="1">
      <c r="A722" s="391"/>
      <c r="B722" s="391"/>
      <c r="C722" s="488"/>
      <c r="D722" s="498" t="s">
        <v>1027</v>
      </c>
      <c r="E722" s="81">
        <v>2</v>
      </c>
      <c r="F722" s="13">
        <v>221930</v>
      </c>
      <c r="G722" s="493"/>
      <c r="H722" s="375"/>
      <c r="I722" s="375">
        <v>-500</v>
      </c>
      <c r="J722" s="375"/>
      <c r="K722" s="375"/>
      <c r="L722" s="492"/>
      <c r="M722" s="492"/>
      <c r="N722" s="492"/>
      <c r="O722" s="492"/>
      <c r="P722" s="492"/>
      <c r="Q722" s="119">
        <f>SUM(G722:P722)</f>
        <v>-500</v>
      </c>
      <c r="R722" s="388" t="s">
        <v>147</v>
      </c>
    </row>
    <row r="723" spans="1:18" ht="15" customHeight="1" hidden="1">
      <c r="A723" s="391"/>
      <c r="B723" s="391"/>
      <c r="C723" s="488"/>
      <c r="D723" s="498" t="s">
        <v>1028</v>
      </c>
      <c r="E723" s="81">
        <v>2</v>
      </c>
      <c r="F723" s="13">
        <v>221931</v>
      </c>
      <c r="G723" s="493"/>
      <c r="H723" s="375"/>
      <c r="I723" s="375"/>
      <c r="J723" s="375"/>
      <c r="K723" s="375"/>
      <c r="L723" s="492"/>
      <c r="M723" s="492"/>
      <c r="N723" s="492"/>
      <c r="O723" s="492"/>
      <c r="P723" s="492"/>
      <c r="Q723" s="119">
        <f>SUM(G723:P723)</f>
        <v>0</v>
      </c>
      <c r="R723" s="388"/>
    </row>
    <row r="724" spans="1:18" ht="13.5" customHeight="1">
      <c r="A724" s="17"/>
      <c r="B724" s="17"/>
      <c r="C724" s="346"/>
      <c r="D724" s="390" t="s">
        <v>1029</v>
      </c>
      <c r="E724" s="499"/>
      <c r="F724" s="17"/>
      <c r="G724" s="500">
        <f aca="true" t="shared" si="45" ref="G724:Q724">SUM(G695:G723)</f>
        <v>8714</v>
      </c>
      <c r="H724" s="500">
        <f t="shared" si="45"/>
        <v>4386</v>
      </c>
      <c r="I724" s="500">
        <f t="shared" si="45"/>
        <v>2579</v>
      </c>
      <c r="J724" s="500">
        <f t="shared" si="45"/>
        <v>0</v>
      </c>
      <c r="K724" s="500">
        <f t="shared" si="45"/>
        <v>4938</v>
      </c>
      <c r="L724" s="500">
        <f t="shared" si="45"/>
        <v>1000</v>
      </c>
      <c r="M724" s="500">
        <f t="shared" si="45"/>
        <v>500</v>
      </c>
      <c r="N724" s="500">
        <f t="shared" si="45"/>
        <v>0</v>
      </c>
      <c r="O724" s="500">
        <f t="shared" si="45"/>
        <v>0</v>
      </c>
      <c r="P724" s="500">
        <f t="shared" si="45"/>
        <v>0</v>
      </c>
      <c r="Q724" s="573">
        <f t="shared" si="45"/>
        <v>22117</v>
      </c>
      <c r="R724" s="576"/>
    </row>
    <row r="725" spans="1:18" ht="13.5" customHeight="1">
      <c r="A725" s="183"/>
      <c r="B725" s="183"/>
      <c r="C725" s="365"/>
      <c r="D725" s="501" t="s">
        <v>1006</v>
      </c>
      <c r="E725" s="502"/>
      <c r="F725" s="183"/>
      <c r="G725" s="503"/>
      <c r="H725" s="503"/>
      <c r="I725" s="503"/>
      <c r="J725" s="503"/>
      <c r="K725" s="503"/>
      <c r="L725" s="503"/>
      <c r="M725" s="503"/>
      <c r="N725" s="503"/>
      <c r="O725" s="503"/>
      <c r="P725" s="503"/>
      <c r="Q725" s="574"/>
      <c r="R725" s="388"/>
    </row>
    <row r="726" spans="1:18" ht="13.5" customHeight="1" hidden="1">
      <c r="A726" s="391"/>
      <c r="B726" s="391"/>
      <c r="C726" s="488" t="s">
        <v>623</v>
      </c>
      <c r="D726" s="457" t="s">
        <v>1030</v>
      </c>
      <c r="E726" s="185"/>
      <c r="F726" s="13">
        <v>222904</v>
      </c>
      <c r="G726" s="25"/>
      <c r="H726" s="298"/>
      <c r="I726" s="25"/>
      <c r="J726" s="25"/>
      <c r="K726" s="25"/>
      <c r="L726" s="25"/>
      <c r="M726" s="25"/>
      <c r="N726" s="25"/>
      <c r="O726" s="25"/>
      <c r="P726" s="25"/>
      <c r="Q726" s="24">
        <f>SUM(G726:P726)</f>
        <v>0</v>
      </c>
      <c r="R726" s="388"/>
    </row>
    <row r="727" spans="1:18" ht="29.25" customHeight="1">
      <c r="A727" s="391"/>
      <c r="B727" s="391"/>
      <c r="C727" s="754" t="s">
        <v>744</v>
      </c>
      <c r="D727" s="386" t="s">
        <v>157</v>
      </c>
      <c r="E727" s="185"/>
      <c r="F727" s="13">
        <v>222905</v>
      </c>
      <c r="G727" s="25"/>
      <c r="H727" s="298"/>
      <c r="I727" s="25"/>
      <c r="J727" s="25"/>
      <c r="K727" s="25"/>
      <c r="L727" s="25"/>
      <c r="M727" s="25"/>
      <c r="N727" s="25">
        <v>12000</v>
      </c>
      <c r="O727" s="25"/>
      <c r="P727" s="25"/>
      <c r="Q727" s="24">
        <f>SUM(G727:P727)</f>
        <v>12000</v>
      </c>
      <c r="R727" s="388" t="s">
        <v>147</v>
      </c>
    </row>
    <row r="728" spans="1:152" s="505" customFormat="1" ht="13.5" customHeight="1">
      <c r="A728" s="17"/>
      <c r="B728" s="17"/>
      <c r="C728" s="346"/>
      <c r="D728" s="768" t="s">
        <v>1297</v>
      </c>
      <c r="E728" s="347"/>
      <c r="F728" s="17"/>
      <c r="G728" s="19">
        <f>SUM(G724:G727)</f>
        <v>8714</v>
      </c>
      <c r="H728" s="19">
        <f aca="true" t="shared" si="46" ref="H728:Q728">SUM(H724:H727)</f>
        <v>4386</v>
      </c>
      <c r="I728" s="19">
        <f t="shared" si="46"/>
        <v>2579</v>
      </c>
      <c r="J728" s="19">
        <f t="shared" si="46"/>
        <v>0</v>
      </c>
      <c r="K728" s="19">
        <f t="shared" si="46"/>
        <v>4938</v>
      </c>
      <c r="L728" s="19">
        <f t="shared" si="46"/>
        <v>1000</v>
      </c>
      <c r="M728" s="19">
        <f t="shared" si="46"/>
        <v>500</v>
      </c>
      <c r="N728" s="19">
        <f t="shared" si="46"/>
        <v>12000</v>
      </c>
      <c r="O728" s="19">
        <f t="shared" si="46"/>
        <v>0</v>
      </c>
      <c r="P728" s="19">
        <f t="shared" si="46"/>
        <v>0</v>
      </c>
      <c r="Q728" s="19">
        <f t="shared" si="46"/>
        <v>34117</v>
      </c>
      <c r="R728" s="576"/>
      <c r="S728" s="504"/>
      <c r="T728" s="504"/>
      <c r="U728" s="504"/>
      <c r="V728" s="504"/>
      <c r="W728" s="504"/>
      <c r="X728" s="504"/>
      <c r="Y728" s="504"/>
      <c r="Z728" s="504"/>
      <c r="AA728" s="504"/>
      <c r="AB728" s="504"/>
      <c r="AC728" s="504"/>
      <c r="AD728" s="504"/>
      <c r="AE728" s="504"/>
      <c r="AF728" s="504"/>
      <c r="AG728" s="504"/>
      <c r="AH728" s="504"/>
      <c r="AI728" s="504"/>
      <c r="AJ728" s="504"/>
      <c r="AK728" s="504"/>
      <c r="AL728" s="504"/>
      <c r="AM728" s="504"/>
      <c r="AN728" s="504"/>
      <c r="AO728" s="504"/>
      <c r="AP728" s="504"/>
      <c r="AQ728" s="504"/>
      <c r="AR728" s="504"/>
      <c r="AS728" s="504"/>
      <c r="AT728" s="504"/>
      <c r="AU728" s="504"/>
      <c r="AV728" s="504"/>
      <c r="AW728" s="504"/>
      <c r="AX728" s="504"/>
      <c r="AY728" s="504"/>
      <c r="AZ728" s="504"/>
      <c r="BA728" s="504"/>
      <c r="BB728" s="504"/>
      <c r="BC728" s="504"/>
      <c r="BD728" s="504"/>
      <c r="BE728" s="504"/>
      <c r="BF728" s="504"/>
      <c r="BG728" s="504"/>
      <c r="BH728" s="504"/>
      <c r="BI728" s="504"/>
      <c r="BJ728" s="504"/>
      <c r="BK728" s="504"/>
      <c r="BL728" s="504"/>
      <c r="BM728" s="504"/>
      <c r="BN728" s="504"/>
      <c r="BO728" s="504"/>
      <c r="BP728" s="504"/>
      <c r="BQ728" s="504"/>
      <c r="BR728" s="504"/>
      <c r="BS728" s="504"/>
      <c r="BT728" s="504"/>
      <c r="BU728" s="504"/>
      <c r="BV728" s="504"/>
      <c r="BW728" s="504"/>
      <c r="BX728" s="504"/>
      <c r="BY728" s="504"/>
      <c r="BZ728" s="504"/>
      <c r="CA728" s="504"/>
      <c r="CB728" s="504"/>
      <c r="CC728" s="504"/>
      <c r="CD728" s="504"/>
      <c r="CE728" s="504"/>
      <c r="CF728" s="504"/>
      <c r="CG728" s="504"/>
      <c r="CH728" s="504"/>
      <c r="CI728" s="504"/>
      <c r="CJ728" s="504"/>
      <c r="CK728" s="504"/>
      <c r="CL728" s="504"/>
      <c r="CM728" s="504"/>
      <c r="CN728" s="504"/>
      <c r="CO728" s="504"/>
      <c r="CP728" s="504"/>
      <c r="CQ728" s="504"/>
      <c r="CR728" s="504"/>
      <c r="CS728" s="504"/>
      <c r="CT728" s="504"/>
      <c r="CU728" s="504"/>
      <c r="CV728" s="504"/>
      <c r="CW728" s="504"/>
      <c r="CX728" s="504"/>
      <c r="CY728" s="504"/>
      <c r="CZ728" s="504"/>
      <c r="DA728" s="504"/>
      <c r="DB728" s="504"/>
      <c r="DC728" s="504"/>
      <c r="DD728" s="504"/>
      <c r="DE728" s="504"/>
      <c r="DF728" s="504"/>
      <c r="DG728" s="504"/>
      <c r="DH728" s="504"/>
      <c r="DI728" s="504"/>
      <c r="DJ728" s="504"/>
      <c r="DK728" s="504"/>
      <c r="DL728" s="504"/>
      <c r="DM728" s="504"/>
      <c r="DN728" s="504"/>
      <c r="DO728" s="504"/>
      <c r="DP728" s="504"/>
      <c r="DQ728" s="504"/>
      <c r="DR728" s="504"/>
      <c r="DS728" s="504"/>
      <c r="DT728" s="504"/>
      <c r="DU728" s="504"/>
      <c r="DV728" s="504"/>
      <c r="DW728" s="504"/>
      <c r="DX728" s="504"/>
      <c r="DY728" s="504"/>
      <c r="DZ728" s="504"/>
      <c r="EA728" s="504"/>
      <c r="EB728" s="504"/>
      <c r="EC728" s="504"/>
      <c r="ED728" s="504"/>
      <c r="EE728" s="504"/>
      <c r="EF728" s="504"/>
      <c r="EG728" s="504"/>
      <c r="EH728" s="504"/>
      <c r="EI728" s="504"/>
      <c r="EJ728" s="504"/>
      <c r="EK728" s="504"/>
      <c r="EL728" s="504"/>
      <c r="EM728" s="504"/>
      <c r="EN728" s="504"/>
      <c r="EO728" s="504"/>
      <c r="EP728" s="504"/>
      <c r="EQ728" s="504"/>
      <c r="ER728" s="504"/>
      <c r="ES728" s="504"/>
      <c r="ET728" s="504"/>
      <c r="EU728" s="504"/>
      <c r="EV728" s="504"/>
    </row>
    <row r="729" spans="1:18" ht="13.5" customHeight="1">
      <c r="A729" s="186">
        <v>1</v>
      </c>
      <c r="B729" s="186">
        <v>30</v>
      </c>
      <c r="C729" s="474"/>
      <c r="D729" s="28" t="s">
        <v>1031</v>
      </c>
      <c r="E729" s="185"/>
      <c r="F729" s="23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4"/>
      <c r="R729" s="388"/>
    </row>
    <row r="730" spans="1:18" ht="13.5" customHeight="1" hidden="1">
      <c r="A730" s="186"/>
      <c r="B730" s="186">
        <v>31</v>
      </c>
      <c r="C730" s="474"/>
      <c r="D730" s="28" t="s">
        <v>568</v>
      </c>
      <c r="E730" s="27"/>
      <c r="F730" s="23">
        <v>311901</v>
      </c>
      <c r="G730" s="26"/>
      <c r="H730" s="26"/>
      <c r="I730" s="26"/>
      <c r="J730" s="26"/>
      <c r="K730" s="25"/>
      <c r="L730" s="26"/>
      <c r="M730" s="26"/>
      <c r="N730" s="26"/>
      <c r="O730" s="26"/>
      <c r="P730" s="25"/>
      <c r="Q730" s="24">
        <f>SUM(G730:P730)</f>
        <v>0</v>
      </c>
      <c r="R730" s="388"/>
    </row>
    <row r="731" spans="1:18" ht="13.5" customHeight="1">
      <c r="A731" s="23"/>
      <c r="B731" s="23">
        <v>32</v>
      </c>
      <c r="C731" s="387"/>
      <c r="D731" s="28" t="s">
        <v>466</v>
      </c>
      <c r="E731" s="185"/>
      <c r="F731" s="23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4"/>
      <c r="R731" s="388"/>
    </row>
    <row r="732" spans="1:18" ht="13.5" customHeight="1">
      <c r="A732" s="23"/>
      <c r="B732" s="23"/>
      <c r="C732" s="387"/>
      <c r="D732" s="24" t="s">
        <v>1032</v>
      </c>
      <c r="E732" s="25">
        <v>1</v>
      </c>
      <c r="F732" s="23">
        <v>321907</v>
      </c>
      <c r="G732" s="25"/>
      <c r="H732" s="25"/>
      <c r="I732" s="25"/>
      <c r="J732" s="25"/>
      <c r="K732" s="25">
        <v>-29383</v>
      </c>
      <c r="L732" s="25"/>
      <c r="M732" s="25"/>
      <c r="N732" s="25"/>
      <c r="O732" s="25"/>
      <c r="P732" s="25"/>
      <c r="Q732" s="24">
        <f>SUM(G732:P732)</f>
        <v>-29383</v>
      </c>
      <c r="R732" s="388" t="s">
        <v>147</v>
      </c>
    </row>
    <row r="733" spans="1:18" ht="12.75" customHeight="1" hidden="1">
      <c r="A733" s="506"/>
      <c r="B733" s="506"/>
      <c r="C733" s="506"/>
      <c r="D733" s="507" t="s">
        <v>1076</v>
      </c>
      <c r="E733" s="508">
        <v>1</v>
      </c>
      <c r="F733" s="668">
        <v>321903</v>
      </c>
      <c r="G733" s="506"/>
      <c r="H733" s="506"/>
      <c r="I733" s="508"/>
      <c r="J733" s="509"/>
      <c r="K733" s="508"/>
      <c r="L733" s="506"/>
      <c r="M733" s="506"/>
      <c r="N733" s="506"/>
      <c r="O733" s="506"/>
      <c r="P733" s="510"/>
      <c r="Q733" s="24">
        <f>SUM(G733:P733)</f>
        <v>0</v>
      </c>
      <c r="R733" s="388"/>
    </row>
    <row r="734" spans="1:18" ht="13.5" customHeight="1">
      <c r="A734" s="23"/>
      <c r="B734" s="23"/>
      <c r="C734" s="387"/>
      <c r="D734" s="24" t="s">
        <v>1033</v>
      </c>
      <c r="E734" s="337">
        <v>1</v>
      </c>
      <c r="F734" s="23">
        <v>321908</v>
      </c>
      <c r="G734" s="25"/>
      <c r="H734" s="25"/>
      <c r="I734" s="25"/>
      <c r="J734" s="25"/>
      <c r="K734" s="25">
        <v>-3284</v>
      </c>
      <c r="L734" s="25"/>
      <c r="M734" s="25"/>
      <c r="N734" s="25"/>
      <c r="O734" s="25"/>
      <c r="P734" s="25"/>
      <c r="Q734" s="24">
        <f>SUM(G734:P734)</f>
        <v>-3284</v>
      </c>
      <c r="R734" s="388" t="s">
        <v>147</v>
      </c>
    </row>
    <row r="735" spans="1:18" ht="24.75" customHeight="1">
      <c r="A735" s="23"/>
      <c r="B735" s="23"/>
      <c r="C735" s="387"/>
      <c r="D735" s="202" t="s">
        <v>1077</v>
      </c>
      <c r="E735" s="353">
        <v>1</v>
      </c>
      <c r="F735" s="652">
        <v>321926</v>
      </c>
      <c r="G735" s="25"/>
      <c r="H735" s="25"/>
      <c r="I735" s="25"/>
      <c r="J735" s="25"/>
      <c r="K735" s="25">
        <v>-83509</v>
      </c>
      <c r="L735" s="25"/>
      <c r="M735" s="25"/>
      <c r="N735" s="25"/>
      <c r="O735" s="25"/>
      <c r="P735" s="25"/>
      <c r="Q735" s="24">
        <f>SUM(G735:P735)</f>
        <v>-83509</v>
      </c>
      <c r="R735" s="388" t="s">
        <v>147</v>
      </c>
    </row>
    <row r="736" spans="1:18" ht="18" customHeight="1" hidden="1">
      <c r="A736" s="23"/>
      <c r="B736" s="23"/>
      <c r="C736" s="387"/>
      <c r="D736" s="203" t="s">
        <v>1034</v>
      </c>
      <c r="E736" s="353">
        <v>1</v>
      </c>
      <c r="F736" s="652">
        <v>321911</v>
      </c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4">
        <f>SUM(G736:P736)</f>
        <v>0</v>
      </c>
      <c r="R736" s="388"/>
    </row>
    <row r="737" spans="1:18" ht="24.75" customHeight="1" hidden="1">
      <c r="A737" s="23"/>
      <c r="B737" s="23"/>
      <c r="C737" s="387"/>
      <c r="D737" s="351" t="s">
        <v>1035</v>
      </c>
      <c r="E737" s="353"/>
      <c r="F737" s="652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4"/>
      <c r="R737" s="388"/>
    </row>
    <row r="738" spans="1:18" ht="13.5" customHeight="1" hidden="1">
      <c r="A738" s="23"/>
      <c r="B738" s="23"/>
      <c r="C738" s="387"/>
      <c r="D738" s="16" t="s">
        <v>1036</v>
      </c>
      <c r="E738" s="477">
        <v>2</v>
      </c>
      <c r="F738" s="13">
        <v>321953</v>
      </c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4">
        <f>SUM(G738:P738)</f>
        <v>0</v>
      </c>
      <c r="R738" s="388"/>
    </row>
    <row r="739" spans="1:18" ht="13.5" customHeight="1" hidden="1">
      <c r="A739" s="23"/>
      <c r="B739" s="23"/>
      <c r="C739" s="387"/>
      <c r="D739" s="24" t="s">
        <v>1037</v>
      </c>
      <c r="E739" s="337">
        <v>2</v>
      </c>
      <c r="F739" s="23">
        <v>321954</v>
      </c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4">
        <f>SUM(G739:P739)</f>
        <v>0</v>
      </c>
      <c r="R739" s="388"/>
    </row>
    <row r="740" spans="1:18" ht="13.5" customHeight="1" hidden="1">
      <c r="A740" s="23"/>
      <c r="B740" s="23"/>
      <c r="C740" s="387"/>
      <c r="D740" s="202" t="s">
        <v>1038</v>
      </c>
      <c r="E740" s="353">
        <v>2</v>
      </c>
      <c r="F740" s="652">
        <v>321906</v>
      </c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4">
        <f>SUM(G740:P740)</f>
        <v>0</v>
      </c>
      <c r="R740" s="388"/>
    </row>
    <row r="741" spans="1:18" ht="21.75" customHeight="1" hidden="1">
      <c r="A741" s="23"/>
      <c r="B741" s="23"/>
      <c r="C741" s="387"/>
      <c r="D741" s="351" t="s">
        <v>1043</v>
      </c>
      <c r="E741" s="353"/>
      <c r="F741" s="652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4"/>
      <c r="R741" s="388"/>
    </row>
    <row r="742" spans="1:18" ht="13.5" customHeight="1" hidden="1">
      <c r="A742" s="23"/>
      <c r="B742" s="23"/>
      <c r="C742" s="387"/>
      <c r="D742" s="24" t="s">
        <v>1044</v>
      </c>
      <c r="E742" s="337">
        <v>2</v>
      </c>
      <c r="F742" s="23">
        <v>321958</v>
      </c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4">
        <f>SUM(G742:P742)</f>
        <v>0</v>
      </c>
      <c r="R742" s="388"/>
    </row>
    <row r="743" spans="1:18" ht="13.5" customHeight="1" hidden="1">
      <c r="A743" s="23"/>
      <c r="B743" s="23"/>
      <c r="C743" s="387"/>
      <c r="D743" s="202" t="s">
        <v>1045</v>
      </c>
      <c r="E743" s="353">
        <v>2</v>
      </c>
      <c r="F743" s="652">
        <v>321956</v>
      </c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4">
        <f>SUM(G743:P743)</f>
        <v>0</v>
      </c>
      <c r="R743" s="388"/>
    </row>
    <row r="744" spans="1:18" ht="24" customHeight="1" hidden="1">
      <c r="A744" s="23"/>
      <c r="B744" s="23"/>
      <c r="C744" s="387"/>
      <c r="D744" s="351" t="s">
        <v>1046</v>
      </c>
      <c r="E744" s="353"/>
      <c r="F744" s="652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4"/>
      <c r="R744" s="388"/>
    </row>
    <row r="745" spans="1:18" ht="13.5" customHeight="1" hidden="1">
      <c r="A745" s="23"/>
      <c r="B745" s="23"/>
      <c r="C745" s="387"/>
      <c r="D745" s="24" t="s">
        <v>1047</v>
      </c>
      <c r="E745" s="337">
        <v>2</v>
      </c>
      <c r="F745" s="23">
        <v>321959</v>
      </c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4">
        <f>SUM(G745:P745)</f>
        <v>0</v>
      </c>
      <c r="R745" s="388"/>
    </row>
    <row r="746" spans="1:18" ht="22.5" customHeight="1" hidden="1">
      <c r="A746" s="23"/>
      <c r="B746" s="23"/>
      <c r="C746" s="387"/>
      <c r="D746" s="351" t="s">
        <v>1048</v>
      </c>
      <c r="E746" s="353"/>
      <c r="F746" s="652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4"/>
      <c r="R746" s="388"/>
    </row>
    <row r="747" spans="1:18" ht="15" customHeight="1" hidden="1">
      <c r="A747" s="23"/>
      <c r="B747" s="23"/>
      <c r="C747" s="387"/>
      <c r="D747" s="202" t="s">
        <v>1049</v>
      </c>
      <c r="E747" s="353">
        <v>2</v>
      </c>
      <c r="F747" s="652">
        <v>321960</v>
      </c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4">
        <f aca="true" t="shared" si="47" ref="Q747:Q753">SUM(G747:P747)</f>
        <v>0</v>
      </c>
      <c r="R747" s="388"/>
    </row>
    <row r="748" spans="1:18" ht="24" customHeight="1" hidden="1">
      <c r="A748" s="23"/>
      <c r="B748" s="23"/>
      <c r="C748" s="387"/>
      <c r="D748" s="511" t="s">
        <v>1050</v>
      </c>
      <c r="E748" s="512"/>
      <c r="F748" s="669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4"/>
      <c r="R748" s="388"/>
    </row>
    <row r="749" spans="1:18" ht="15" customHeight="1" hidden="1">
      <c r="A749" s="23"/>
      <c r="B749" s="23"/>
      <c r="C749" s="387"/>
      <c r="D749" s="178" t="s">
        <v>1051</v>
      </c>
      <c r="E749" s="353">
        <v>1</v>
      </c>
      <c r="F749" s="652">
        <v>321961</v>
      </c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4">
        <f t="shared" si="47"/>
        <v>0</v>
      </c>
      <c r="R749" s="388"/>
    </row>
    <row r="750" spans="1:18" ht="15" customHeight="1" hidden="1">
      <c r="A750" s="23"/>
      <c r="B750" s="23"/>
      <c r="C750" s="387"/>
      <c r="D750" s="178" t="s">
        <v>1052</v>
      </c>
      <c r="E750" s="353">
        <v>1</v>
      </c>
      <c r="F750" s="652">
        <v>321909</v>
      </c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4">
        <f t="shared" si="47"/>
        <v>0</v>
      </c>
      <c r="R750" s="388"/>
    </row>
    <row r="751" spans="1:18" ht="13.5" customHeight="1">
      <c r="A751" s="23"/>
      <c r="B751" s="23"/>
      <c r="C751" s="387"/>
      <c r="D751" s="117" t="s">
        <v>698</v>
      </c>
      <c r="E751" s="25"/>
      <c r="F751" s="23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4">
        <f t="shared" si="47"/>
        <v>0</v>
      </c>
      <c r="R751" s="388"/>
    </row>
    <row r="752" spans="1:18" ht="13.5" customHeight="1">
      <c r="A752" s="23"/>
      <c r="B752" s="23"/>
      <c r="C752" s="387" t="s">
        <v>562</v>
      </c>
      <c r="D752" s="151" t="s">
        <v>585</v>
      </c>
      <c r="E752" s="25"/>
      <c r="F752" s="23">
        <v>324902</v>
      </c>
      <c r="G752" s="25"/>
      <c r="H752" s="25"/>
      <c r="I752" s="25"/>
      <c r="J752" s="25"/>
      <c r="K752" s="25"/>
      <c r="L752" s="25"/>
      <c r="M752" s="25">
        <v>-1693</v>
      </c>
      <c r="N752" s="25"/>
      <c r="O752" s="25"/>
      <c r="P752" s="25"/>
      <c r="Q752" s="24">
        <f t="shared" si="47"/>
        <v>-1693</v>
      </c>
      <c r="R752" s="388" t="s">
        <v>147</v>
      </c>
    </row>
    <row r="753" spans="1:18" ht="13.5" customHeight="1">
      <c r="A753" s="23"/>
      <c r="B753" s="23"/>
      <c r="C753" s="387" t="s">
        <v>626</v>
      </c>
      <c r="D753" s="513" t="s">
        <v>1053</v>
      </c>
      <c r="E753" s="25"/>
      <c r="F753" s="23">
        <v>322902</v>
      </c>
      <c r="G753" s="374"/>
      <c r="H753" s="374"/>
      <c r="I753" s="374"/>
      <c r="J753" s="374"/>
      <c r="K753" s="374"/>
      <c r="L753" s="375">
        <v>-1839</v>
      </c>
      <c r="M753" s="375"/>
      <c r="N753" s="375"/>
      <c r="O753" s="374"/>
      <c r="P753" s="374"/>
      <c r="Q753" s="119">
        <f t="shared" si="47"/>
        <v>-1839</v>
      </c>
      <c r="R753" s="388" t="s">
        <v>147</v>
      </c>
    </row>
    <row r="754" spans="1:18" ht="15.75" customHeight="1">
      <c r="A754" s="17"/>
      <c r="B754" s="17"/>
      <c r="C754" s="346"/>
      <c r="D754" s="18" t="s">
        <v>467</v>
      </c>
      <c r="E754" s="347"/>
      <c r="F754" s="17"/>
      <c r="G754" s="19">
        <f aca="true" t="shared" si="48" ref="G754:Q754">SUM(G729:G753)</f>
        <v>0</v>
      </c>
      <c r="H754" s="19">
        <f t="shared" si="48"/>
        <v>0</v>
      </c>
      <c r="I754" s="19">
        <f t="shared" si="48"/>
        <v>0</v>
      </c>
      <c r="J754" s="19">
        <f t="shared" si="48"/>
        <v>0</v>
      </c>
      <c r="K754" s="19">
        <f t="shared" si="48"/>
        <v>-116176</v>
      </c>
      <c r="L754" s="19">
        <f t="shared" si="48"/>
        <v>-1839</v>
      </c>
      <c r="M754" s="19">
        <f t="shared" si="48"/>
        <v>-1693</v>
      </c>
      <c r="N754" s="19">
        <f t="shared" si="48"/>
        <v>0</v>
      </c>
      <c r="O754" s="19">
        <f t="shared" si="48"/>
        <v>0</v>
      </c>
      <c r="P754" s="19">
        <f t="shared" si="48"/>
        <v>0</v>
      </c>
      <c r="Q754" s="18">
        <f t="shared" si="48"/>
        <v>-119708</v>
      </c>
      <c r="R754" s="576"/>
    </row>
    <row r="755" spans="1:18" ht="15.75" customHeight="1">
      <c r="A755" s="17"/>
      <c r="B755" s="17"/>
      <c r="C755" s="346"/>
      <c r="D755" s="514" t="s">
        <v>455</v>
      </c>
      <c r="E755" s="515"/>
      <c r="F755" s="676"/>
      <c r="G755" s="516">
        <f aca="true" t="shared" si="49" ref="G755:Q755">SUM(G52+G234+G250+G494+G601+G632+G651+G690+G692+G728+G754)</f>
        <v>9392</v>
      </c>
      <c r="H755" s="516">
        <f t="shared" si="49"/>
        <v>4562</v>
      </c>
      <c r="I755" s="516">
        <f t="shared" si="49"/>
        <v>61840</v>
      </c>
      <c r="J755" s="516">
        <f t="shared" si="49"/>
        <v>5435</v>
      </c>
      <c r="K755" s="516">
        <f t="shared" si="49"/>
        <v>-24550</v>
      </c>
      <c r="L755" s="516">
        <f t="shared" si="49"/>
        <v>3146</v>
      </c>
      <c r="M755" s="516">
        <f t="shared" si="49"/>
        <v>304313</v>
      </c>
      <c r="N755" s="516">
        <f t="shared" si="49"/>
        <v>31360</v>
      </c>
      <c r="O755" s="516">
        <f t="shared" si="49"/>
        <v>0</v>
      </c>
      <c r="P755" s="516">
        <f t="shared" si="49"/>
        <v>0</v>
      </c>
      <c r="Q755" s="575">
        <f t="shared" si="49"/>
        <v>395498</v>
      </c>
      <c r="R755" s="576"/>
    </row>
    <row r="756" spans="1:18" ht="15.75" customHeight="1">
      <c r="A756" s="13"/>
      <c r="B756" s="13"/>
      <c r="C756" s="13"/>
      <c r="D756" s="331" t="s">
        <v>485</v>
      </c>
      <c r="E756" s="14"/>
      <c r="F756" s="14"/>
      <c r="G756" s="89">
        <f>'táj.4.'!C21</f>
        <v>47728</v>
      </c>
      <c r="H756" s="89">
        <f>'táj.4.'!D21</f>
        <v>12843</v>
      </c>
      <c r="I756" s="89">
        <f>'táj.4.'!E21</f>
        <v>2754</v>
      </c>
      <c r="J756" s="89">
        <f>'táj.4.'!F21</f>
        <v>0</v>
      </c>
      <c r="K756" s="89">
        <f>'táj.4.'!G21</f>
        <v>1549</v>
      </c>
      <c r="L756" s="89">
        <f>'táj.4.'!H21</f>
        <v>60689</v>
      </c>
      <c r="M756" s="89">
        <f>'táj.4.'!I21</f>
        <v>-8000</v>
      </c>
      <c r="N756" s="89">
        <f>'táj.4.'!J21</f>
        <v>0</v>
      </c>
      <c r="O756" s="89"/>
      <c r="P756" s="89">
        <f>'táj.4.'!K21</f>
        <v>0</v>
      </c>
      <c r="Q756" s="428">
        <f>SUM(G756:P756)</f>
        <v>117563</v>
      </c>
      <c r="R756" s="388"/>
    </row>
    <row r="757" spans="1:18" ht="15.75" customHeight="1">
      <c r="A757" s="17"/>
      <c r="B757" s="17"/>
      <c r="C757" s="346"/>
      <c r="D757" s="18" t="s">
        <v>468</v>
      </c>
      <c r="E757" s="518"/>
      <c r="F757" s="518"/>
      <c r="G757" s="62">
        <f aca="true" t="shared" si="50" ref="G757:Q757">SUM(G755:G756)</f>
        <v>57120</v>
      </c>
      <c r="H757" s="62">
        <f t="shared" si="50"/>
        <v>17405</v>
      </c>
      <c r="I757" s="62">
        <f t="shared" si="50"/>
        <v>64594</v>
      </c>
      <c r="J757" s="62">
        <f t="shared" si="50"/>
        <v>5435</v>
      </c>
      <c r="K757" s="62">
        <f t="shared" si="50"/>
        <v>-23001</v>
      </c>
      <c r="L757" s="19">
        <f t="shared" si="50"/>
        <v>63835</v>
      </c>
      <c r="M757" s="19">
        <f t="shared" si="50"/>
        <v>296313</v>
      </c>
      <c r="N757" s="19">
        <f t="shared" si="50"/>
        <v>31360</v>
      </c>
      <c r="O757" s="19">
        <f t="shared" si="50"/>
        <v>0</v>
      </c>
      <c r="P757" s="19">
        <f t="shared" si="50"/>
        <v>0</v>
      </c>
      <c r="Q757" s="18">
        <f t="shared" si="50"/>
        <v>513061</v>
      </c>
      <c r="R757" s="576"/>
    </row>
    <row r="758" spans="1:17" ht="15.75" customHeight="1">
      <c r="A758" s="519"/>
      <c r="B758" s="519"/>
      <c r="C758" s="519"/>
      <c r="D758" s="520"/>
      <c r="E758" s="520"/>
      <c r="F758" s="520"/>
      <c r="G758" s="520"/>
      <c r="H758" s="520"/>
      <c r="I758" s="520"/>
      <c r="J758" s="520"/>
      <c r="K758" s="520"/>
      <c r="L758" s="520"/>
      <c r="M758" s="520"/>
      <c r="N758" s="521"/>
      <c r="O758" s="564"/>
      <c r="P758" s="564"/>
      <c r="Q758" s="565"/>
    </row>
    <row r="759" spans="1:17" ht="12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567"/>
      <c r="P759" s="567"/>
      <c r="Q759" s="567"/>
    </row>
    <row r="760" spans="1:17" ht="12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2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2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</sheetData>
  <sheetProtection selectLockedCells="1" selectUnlockedCells="1"/>
  <mergeCells count="10">
    <mergeCell ref="R1:R2"/>
    <mergeCell ref="Q1:Q2"/>
    <mergeCell ref="O1:P1"/>
    <mergeCell ref="G1:N1"/>
    <mergeCell ref="F1:F2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2015. ÉVI KIADÁSI ELŐIRÁNYZATAINAK MÓDOSÍTÁSA A III. NEGYEDÉVBEN
&amp;R&amp;"Times New Roman CE,Félkövér dőlt"2. tájékoztató tábla
Adatok E Ft-ban</oddHeader>
    <oddFooter>&amp;LFeladat jellege:
1=kötelező
2=önként vállalt
&amp;C&amp;P. oldal&amp;R*  kgy= közgyűlési hatáskörben
pm=  polgármesteri hatáskörben
biz= bizottsági hatáskörben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21" sqref="A21:IV21"/>
    </sheetView>
  </sheetViews>
  <sheetFormatPr defaultColWidth="9.00390625" defaultRowHeight="12.75"/>
  <cols>
    <col min="1" max="1" width="3.00390625" style="36" customWidth="1"/>
    <col min="2" max="2" width="35.00390625" style="33" customWidth="1"/>
    <col min="3" max="3" width="12.625" style="33" customWidth="1"/>
    <col min="4" max="4" width="14.125" style="33" customWidth="1"/>
    <col min="5" max="5" width="10.5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3" width="13.125" style="33" customWidth="1"/>
    <col min="14" max="16384" width="9.375" style="33" customWidth="1"/>
  </cols>
  <sheetData>
    <row r="1" spans="1:13" ht="14.25" customHeight="1">
      <c r="A1" s="836" t="s">
        <v>719</v>
      </c>
      <c r="B1" s="836" t="s">
        <v>488</v>
      </c>
      <c r="C1" s="836" t="s">
        <v>725</v>
      </c>
      <c r="D1" s="838"/>
      <c r="E1" s="838"/>
      <c r="F1" s="838"/>
      <c r="G1" s="838"/>
      <c r="H1" s="838"/>
      <c r="I1" s="838"/>
      <c r="J1" s="839" t="s">
        <v>726</v>
      </c>
      <c r="K1" s="838"/>
      <c r="L1" s="838"/>
      <c r="M1" s="836" t="s">
        <v>727</v>
      </c>
    </row>
    <row r="2" spans="1:13" ht="90" customHeight="1">
      <c r="A2" s="837"/>
      <c r="B2" s="837"/>
      <c r="C2" s="123" t="s">
        <v>728</v>
      </c>
      <c r="D2" s="123" t="s">
        <v>729</v>
      </c>
      <c r="E2" s="123" t="s">
        <v>351</v>
      </c>
      <c r="F2" s="123" t="s">
        <v>730</v>
      </c>
      <c r="G2" s="123" t="s">
        <v>486</v>
      </c>
      <c r="H2" s="123" t="s">
        <v>731</v>
      </c>
      <c r="I2" s="123" t="s">
        <v>732</v>
      </c>
      <c r="J2" s="123" t="s">
        <v>733</v>
      </c>
      <c r="K2" s="123" t="s">
        <v>734</v>
      </c>
      <c r="L2" s="123" t="s">
        <v>735</v>
      </c>
      <c r="M2" s="836"/>
    </row>
    <row r="3" spans="1:13" ht="15" customHeight="1">
      <c r="A3" s="122">
        <v>2</v>
      </c>
      <c r="B3" s="110" t="s">
        <v>688</v>
      </c>
      <c r="C3" s="124">
        <v>2165</v>
      </c>
      <c r="D3" s="124"/>
      <c r="E3" s="124"/>
      <c r="F3" s="181">
        <v>595</v>
      </c>
      <c r="G3" s="181">
        <v>2205</v>
      </c>
      <c r="H3" s="181"/>
      <c r="I3" s="181"/>
      <c r="J3" s="181"/>
      <c r="K3" s="181">
        <v>5325</v>
      </c>
      <c r="L3" s="181"/>
      <c r="M3" s="181">
        <f>SUM(C3:L3)</f>
        <v>10290</v>
      </c>
    </row>
    <row r="4" spans="1:13" s="34" customFormat="1" ht="28.5" customHeight="1">
      <c r="A4" s="122">
        <v>3</v>
      </c>
      <c r="B4" s="110" t="s">
        <v>709</v>
      </c>
      <c r="C4" s="181">
        <v>2000</v>
      </c>
      <c r="D4" s="181"/>
      <c r="E4" s="181"/>
      <c r="F4" s="181"/>
      <c r="G4" s="181"/>
      <c r="H4" s="181"/>
      <c r="I4" s="181"/>
      <c r="J4" s="181"/>
      <c r="K4" s="181">
        <v>10932</v>
      </c>
      <c r="L4" s="181"/>
      <c r="M4" s="181">
        <f aca="true" t="shared" si="0" ref="M4:M20">SUM(C4:L4)</f>
        <v>12932</v>
      </c>
    </row>
    <row r="5" spans="1:13" s="34" customFormat="1" ht="19.5" customHeight="1">
      <c r="A5" s="122">
        <v>4</v>
      </c>
      <c r="B5" s="110" t="s">
        <v>710</v>
      </c>
      <c r="C5" s="181">
        <v>-3650</v>
      </c>
      <c r="D5" s="181"/>
      <c r="E5" s="181"/>
      <c r="F5" s="181"/>
      <c r="G5" s="181"/>
      <c r="H5" s="181"/>
      <c r="I5" s="181"/>
      <c r="J5" s="181"/>
      <c r="K5" s="181">
        <v>28999</v>
      </c>
      <c r="L5" s="181"/>
      <c r="M5" s="181">
        <f t="shared" si="0"/>
        <v>25349</v>
      </c>
    </row>
    <row r="6" spans="1:13" s="34" customFormat="1" ht="15" customHeight="1">
      <c r="A6" s="122">
        <v>5</v>
      </c>
      <c r="B6" s="80" t="s">
        <v>711</v>
      </c>
      <c r="C6" s="181"/>
      <c r="D6" s="181"/>
      <c r="E6" s="181"/>
      <c r="F6" s="181">
        <v>1270</v>
      </c>
      <c r="G6" s="181"/>
      <c r="H6" s="181"/>
      <c r="I6" s="181"/>
      <c r="J6" s="181"/>
      <c r="K6" s="181">
        <v>2318</v>
      </c>
      <c r="L6" s="181"/>
      <c r="M6" s="181">
        <f t="shared" si="0"/>
        <v>3588</v>
      </c>
    </row>
    <row r="7" spans="1:13" s="34" customFormat="1" ht="12.75">
      <c r="A7" s="122">
        <v>6</v>
      </c>
      <c r="B7" s="80" t="s">
        <v>712</v>
      </c>
      <c r="C7" s="181">
        <v>564</v>
      </c>
      <c r="D7" s="181">
        <v>-1000</v>
      </c>
      <c r="E7" s="181"/>
      <c r="F7" s="181"/>
      <c r="G7" s="181"/>
      <c r="H7" s="181"/>
      <c r="I7" s="181"/>
      <c r="J7" s="181"/>
      <c r="K7" s="181">
        <v>7339</v>
      </c>
      <c r="L7" s="181"/>
      <c r="M7" s="181">
        <f t="shared" si="0"/>
        <v>6903</v>
      </c>
    </row>
    <row r="8" spans="1:13" s="34" customFormat="1" ht="17.25" customHeight="1">
      <c r="A8" s="122">
        <v>7</v>
      </c>
      <c r="B8" s="80" t="s">
        <v>713</v>
      </c>
      <c r="C8" s="181">
        <v>908</v>
      </c>
      <c r="D8" s="181"/>
      <c r="E8" s="181"/>
      <c r="F8" s="181"/>
      <c r="G8" s="181"/>
      <c r="H8" s="181"/>
      <c r="I8" s="181"/>
      <c r="J8" s="181"/>
      <c r="K8" s="181">
        <v>6921</v>
      </c>
      <c r="L8" s="181"/>
      <c r="M8" s="181">
        <f t="shared" si="0"/>
        <v>7829</v>
      </c>
    </row>
    <row r="9" spans="1:13" s="34" customFormat="1" ht="15" customHeight="1">
      <c r="A9" s="122">
        <v>8</v>
      </c>
      <c r="B9" s="80" t="s">
        <v>714</v>
      </c>
      <c r="C9" s="181">
        <v>-869</v>
      </c>
      <c r="D9" s="181"/>
      <c r="E9" s="181"/>
      <c r="F9" s="181"/>
      <c r="G9" s="181"/>
      <c r="H9" s="181"/>
      <c r="I9" s="181"/>
      <c r="J9" s="181"/>
      <c r="K9" s="181">
        <v>7532</v>
      </c>
      <c r="L9" s="181"/>
      <c r="M9" s="181">
        <f t="shared" si="0"/>
        <v>6663</v>
      </c>
    </row>
    <row r="10" spans="1:13" s="34" customFormat="1" ht="19.5" customHeight="1">
      <c r="A10" s="122">
        <v>9</v>
      </c>
      <c r="B10" s="80" t="s">
        <v>715</v>
      </c>
      <c r="C10" s="181">
        <v>-157</v>
      </c>
      <c r="D10" s="181">
        <v>-180</v>
      </c>
      <c r="E10" s="181"/>
      <c r="F10" s="181"/>
      <c r="G10" s="181"/>
      <c r="H10" s="181"/>
      <c r="I10" s="181"/>
      <c r="J10" s="181"/>
      <c r="K10" s="181">
        <v>5485</v>
      </c>
      <c r="L10" s="181"/>
      <c r="M10" s="181">
        <f t="shared" si="0"/>
        <v>5148</v>
      </c>
    </row>
    <row r="11" spans="1:13" s="34" customFormat="1" ht="27" customHeight="1">
      <c r="A11" s="122">
        <v>10</v>
      </c>
      <c r="B11" s="121" t="s">
        <v>716</v>
      </c>
      <c r="C11" s="181">
        <v>2500</v>
      </c>
      <c r="D11" s="181"/>
      <c r="E11" s="181"/>
      <c r="F11" s="181">
        <v>1050</v>
      </c>
      <c r="G11" s="181"/>
      <c r="H11" s="181"/>
      <c r="I11" s="181"/>
      <c r="J11" s="181"/>
      <c r="K11" s="181">
        <v>1783</v>
      </c>
      <c r="L11" s="181"/>
      <c r="M11" s="181">
        <f t="shared" si="0"/>
        <v>5333</v>
      </c>
    </row>
    <row r="12" spans="1:13" s="34" customFormat="1" ht="20.25" customHeight="1">
      <c r="A12" s="122">
        <v>11</v>
      </c>
      <c r="B12" s="80" t="s">
        <v>717</v>
      </c>
      <c r="C12" s="181"/>
      <c r="D12" s="181"/>
      <c r="E12" s="181"/>
      <c r="F12" s="181"/>
      <c r="G12" s="181">
        <v>50</v>
      </c>
      <c r="H12" s="181">
        <v>410</v>
      </c>
      <c r="I12" s="181"/>
      <c r="J12" s="181"/>
      <c r="K12" s="181">
        <v>3393</v>
      </c>
      <c r="L12" s="181"/>
      <c r="M12" s="181">
        <f t="shared" si="0"/>
        <v>3853</v>
      </c>
    </row>
    <row r="13" spans="1:13" s="34" customFormat="1" ht="30" customHeight="1">
      <c r="A13" s="122">
        <v>12</v>
      </c>
      <c r="B13" s="121" t="s">
        <v>718</v>
      </c>
      <c r="C13" s="181">
        <v>-228</v>
      </c>
      <c r="D13" s="181"/>
      <c r="E13" s="181"/>
      <c r="F13" s="181"/>
      <c r="G13" s="181"/>
      <c r="H13" s="181"/>
      <c r="I13" s="181"/>
      <c r="J13" s="181"/>
      <c r="K13" s="181">
        <v>1048</v>
      </c>
      <c r="L13" s="181"/>
      <c r="M13" s="181">
        <f t="shared" si="0"/>
        <v>820</v>
      </c>
    </row>
    <row r="14" spans="1:13" s="34" customFormat="1" ht="16.5" customHeight="1">
      <c r="A14" s="122">
        <v>13</v>
      </c>
      <c r="B14" s="80" t="s">
        <v>497</v>
      </c>
      <c r="C14" s="181">
        <v>700</v>
      </c>
      <c r="D14" s="181"/>
      <c r="E14" s="181"/>
      <c r="F14" s="181"/>
      <c r="G14" s="181"/>
      <c r="H14" s="181">
        <v>25</v>
      </c>
      <c r="I14" s="181"/>
      <c r="J14" s="181"/>
      <c r="K14" s="181">
        <v>3975</v>
      </c>
      <c r="L14" s="181"/>
      <c r="M14" s="181">
        <f t="shared" si="0"/>
        <v>4700</v>
      </c>
    </row>
    <row r="15" spans="1:13" s="34" customFormat="1" ht="16.5" customHeight="1">
      <c r="A15" s="122">
        <v>14</v>
      </c>
      <c r="B15" s="80" t="s">
        <v>498</v>
      </c>
      <c r="C15" s="181">
        <v>1856</v>
      </c>
      <c r="D15" s="181">
        <v>460</v>
      </c>
      <c r="E15" s="181"/>
      <c r="F15" s="181">
        <v>7808</v>
      </c>
      <c r="G15" s="181"/>
      <c r="H15" s="181">
        <v>766</v>
      </c>
      <c r="I15" s="181">
        <v>500</v>
      </c>
      <c r="J15" s="181"/>
      <c r="K15" s="181">
        <v>452</v>
      </c>
      <c r="L15" s="181"/>
      <c r="M15" s="181">
        <f t="shared" si="0"/>
        <v>11842</v>
      </c>
    </row>
    <row r="16" spans="1:13" s="34" customFormat="1" ht="18" customHeight="1">
      <c r="A16" s="122">
        <v>15</v>
      </c>
      <c r="B16" s="80" t="s">
        <v>529</v>
      </c>
      <c r="C16" s="181"/>
      <c r="D16" s="181"/>
      <c r="E16" s="181"/>
      <c r="F16" s="181"/>
      <c r="G16" s="181"/>
      <c r="H16" s="181"/>
      <c r="I16" s="181"/>
      <c r="J16" s="181"/>
      <c r="K16" s="181">
        <v>2407</v>
      </c>
      <c r="L16" s="181"/>
      <c r="M16" s="181">
        <f t="shared" si="0"/>
        <v>2407</v>
      </c>
    </row>
    <row r="17" spans="1:13" s="34" customFormat="1" ht="18.75" customHeight="1">
      <c r="A17" s="122">
        <v>16</v>
      </c>
      <c r="B17" s="80" t="s">
        <v>505</v>
      </c>
      <c r="C17" s="181"/>
      <c r="D17" s="181"/>
      <c r="E17" s="181"/>
      <c r="F17" s="181"/>
      <c r="G17" s="181"/>
      <c r="H17" s="181"/>
      <c r="I17" s="181"/>
      <c r="J17" s="181"/>
      <c r="K17" s="181">
        <v>558</v>
      </c>
      <c r="L17" s="181"/>
      <c r="M17" s="181">
        <f t="shared" si="0"/>
        <v>558</v>
      </c>
    </row>
    <row r="18" spans="1:13" s="34" customFormat="1" ht="18" customHeight="1">
      <c r="A18" s="122">
        <v>17</v>
      </c>
      <c r="B18" s="80" t="s">
        <v>504</v>
      </c>
      <c r="C18" s="181"/>
      <c r="D18" s="181">
        <v>5514</v>
      </c>
      <c r="E18" s="181"/>
      <c r="F18" s="181"/>
      <c r="G18" s="181"/>
      <c r="H18" s="181"/>
      <c r="I18" s="181"/>
      <c r="J18" s="181"/>
      <c r="K18" s="181">
        <v>1479</v>
      </c>
      <c r="L18" s="181"/>
      <c r="M18" s="181">
        <f t="shared" si="0"/>
        <v>6993</v>
      </c>
    </row>
    <row r="19" spans="1:13" s="34" customFormat="1" ht="18.75" customHeight="1">
      <c r="A19" s="122">
        <v>18</v>
      </c>
      <c r="B19" s="47" t="s">
        <v>473</v>
      </c>
      <c r="C19" s="181"/>
      <c r="D19" s="181"/>
      <c r="E19" s="181"/>
      <c r="F19" s="181">
        <v>10</v>
      </c>
      <c r="G19" s="181"/>
      <c r="H19" s="181"/>
      <c r="I19" s="181"/>
      <c r="J19" s="181"/>
      <c r="K19" s="181">
        <v>84</v>
      </c>
      <c r="L19" s="181"/>
      <c r="M19" s="181">
        <f t="shared" si="0"/>
        <v>94</v>
      </c>
    </row>
    <row r="20" spans="1:13" s="34" customFormat="1" ht="18.75" customHeight="1">
      <c r="A20" s="122">
        <v>19</v>
      </c>
      <c r="B20" s="47" t="s">
        <v>86</v>
      </c>
      <c r="C20" s="181">
        <v>908</v>
      </c>
      <c r="D20" s="181"/>
      <c r="E20" s="181"/>
      <c r="F20" s="181">
        <v>2</v>
      </c>
      <c r="G20" s="181"/>
      <c r="H20" s="181"/>
      <c r="I20" s="181"/>
      <c r="J20" s="181"/>
      <c r="K20" s="181">
        <v>1351</v>
      </c>
      <c r="L20" s="181"/>
      <c r="M20" s="181">
        <f t="shared" si="0"/>
        <v>2261</v>
      </c>
    </row>
    <row r="21" spans="1:13" s="34" customFormat="1" ht="24" customHeight="1">
      <c r="A21" s="37"/>
      <c r="B21" s="38" t="s">
        <v>489</v>
      </c>
      <c r="C21" s="39">
        <f>SUM(C3:C20)</f>
        <v>6697</v>
      </c>
      <c r="D21" s="39">
        <f aca="true" t="shared" si="1" ref="D21:M21">SUM(D3:D20)</f>
        <v>4794</v>
      </c>
      <c r="E21" s="39">
        <f t="shared" si="1"/>
        <v>0</v>
      </c>
      <c r="F21" s="39">
        <f t="shared" si="1"/>
        <v>10735</v>
      </c>
      <c r="G21" s="39">
        <f t="shared" si="1"/>
        <v>2255</v>
      </c>
      <c r="H21" s="39">
        <f t="shared" si="1"/>
        <v>1201</v>
      </c>
      <c r="I21" s="39">
        <f t="shared" si="1"/>
        <v>500</v>
      </c>
      <c r="J21" s="39">
        <f t="shared" si="1"/>
        <v>0</v>
      </c>
      <c r="K21" s="39">
        <f t="shared" si="1"/>
        <v>91381</v>
      </c>
      <c r="L21" s="39">
        <f t="shared" si="1"/>
        <v>0</v>
      </c>
      <c r="M21" s="39">
        <f t="shared" si="1"/>
        <v>117563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M1:M2"/>
    <mergeCell ref="A1:A2"/>
    <mergeCell ref="B1:B2"/>
    <mergeCell ref="C1:I1"/>
    <mergeCell ref="J1:L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 ÁLTAL IRÁNYÍTOTT  KÖLTSÉGVETÉSI SZERVEK 
2015. ÉVI  BEVÉTELI ELŐIRÁNYZATAINAK  MÓDOSÍTÁSA A III.. NEGYEDÉVBEN&amp;R&amp;"Times New Roman,Dőlt"&amp;9
 3. tájékoztató tábla
Adatok E 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20" sqref="A20:IV20"/>
    </sheetView>
  </sheetViews>
  <sheetFormatPr defaultColWidth="9.00390625" defaultRowHeight="12.75"/>
  <cols>
    <col min="1" max="1" width="5.875" style="36" customWidth="1"/>
    <col min="2" max="2" width="40.625" style="33" customWidth="1"/>
    <col min="3" max="3" width="12.625" style="33" customWidth="1"/>
    <col min="4" max="4" width="14.125" style="33" customWidth="1"/>
    <col min="5" max="5" width="14.0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6384" width="9.375" style="33" customWidth="1"/>
  </cols>
  <sheetData>
    <row r="1" spans="1:12" ht="14.25" customHeight="1">
      <c r="A1" s="836" t="s">
        <v>719</v>
      </c>
      <c r="B1" s="836" t="s">
        <v>488</v>
      </c>
      <c r="C1" s="836" t="s">
        <v>720</v>
      </c>
      <c r="D1" s="842"/>
      <c r="E1" s="842"/>
      <c r="F1" s="842"/>
      <c r="G1" s="842"/>
      <c r="H1" s="842"/>
      <c r="I1" s="842"/>
      <c r="J1" s="842"/>
      <c r="K1" s="843" t="s">
        <v>724</v>
      </c>
      <c r="L1" s="843" t="s">
        <v>610</v>
      </c>
    </row>
    <row r="2" spans="1:12" ht="82.5" customHeight="1">
      <c r="A2" s="837"/>
      <c r="B2" s="837"/>
      <c r="C2" s="123" t="s">
        <v>338</v>
      </c>
      <c r="D2" s="123" t="s">
        <v>721</v>
      </c>
      <c r="E2" s="123" t="s">
        <v>472</v>
      </c>
      <c r="F2" s="123" t="s">
        <v>722</v>
      </c>
      <c r="G2" s="123" t="s">
        <v>341</v>
      </c>
      <c r="H2" s="123" t="s">
        <v>345</v>
      </c>
      <c r="I2" s="123" t="s">
        <v>346</v>
      </c>
      <c r="J2" s="123" t="s">
        <v>723</v>
      </c>
      <c r="K2" s="844"/>
      <c r="L2" s="844"/>
    </row>
    <row r="3" spans="1:12" ht="15" customHeight="1">
      <c r="A3" s="122">
        <v>2</v>
      </c>
      <c r="B3" s="110" t="s">
        <v>688</v>
      </c>
      <c r="C3" s="124">
        <v>2659</v>
      </c>
      <c r="D3" s="124">
        <v>720</v>
      </c>
      <c r="E3" s="124">
        <v>595</v>
      </c>
      <c r="F3" s="125"/>
      <c r="G3" s="125">
        <v>11</v>
      </c>
      <c r="H3" s="125">
        <v>9305</v>
      </c>
      <c r="I3" s="125">
        <v>-3000</v>
      </c>
      <c r="J3" s="125"/>
      <c r="K3" s="125"/>
      <c r="L3" s="125">
        <f>SUM(C3:K3)</f>
        <v>10290</v>
      </c>
    </row>
    <row r="4" spans="1:12" s="34" customFormat="1" ht="14.25" customHeight="1">
      <c r="A4" s="122">
        <v>3</v>
      </c>
      <c r="B4" s="110" t="s">
        <v>709</v>
      </c>
      <c r="C4" s="181">
        <v>7889</v>
      </c>
      <c r="D4" s="181">
        <v>2130</v>
      </c>
      <c r="E4" s="181">
        <v>943</v>
      </c>
      <c r="F4" s="181"/>
      <c r="G4" s="181">
        <v>470</v>
      </c>
      <c r="H4" s="181">
        <v>5500</v>
      </c>
      <c r="I4" s="181">
        <v>-4000</v>
      </c>
      <c r="J4" s="181"/>
      <c r="K4" s="181"/>
      <c r="L4" s="125">
        <f aca="true" t="shared" si="0" ref="L4:L20">SUM(C4:K4)</f>
        <v>12932</v>
      </c>
    </row>
    <row r="5" spans="1:12" s="34" customFormat="1" ht="16.5" customHeight="1">
      <c r="A5" s="122">
        <v>4</v>
      </c>
      <c r="B5" s="110" t="s">
        <v>710</v>
      </c>
      <c r="C5" s="181">
        <v>15706</v>
      </c>
      <c r="D5" s="181">
        <v>4243</v>
      </c>
      <c r="E5" s="181">
        <v>5400</v>
      </c>
      <c r="F5" s="181"/>
      <c r="G5" s="181"/>
      <c r="H5" s="181"/>
      <c r="I5" s="181"/>
      <c r="J5" s="181"/>
      <c r="K5" s="181"/>
      <c r="L5" s="125">
        <f t="shared" si="0"/>
        <v>25349</v>
      </c>
    </row>
    <row r="6" spans="1:12" s="34" customFormat="1" ht="15" customHeight="1">
      <c r="A6" s="122">
        <v>5</v>
      </c>
      <c r="B6" s="80" t="s">
        <v>711</v>
      </c>
      <c r="C6" s="181">
        <v>1164</v>
      </c>
      <c r="D6" s="181">
        <v>314</v>
      </c>
      <c r="E6" s="181">
        <v>1270</v>
      </c>
      <c r="F6" s="181"/>
      <c r="G6" s="181"/>
      <c r="H6" s="181">
        <v>840</v>
      </c>
      <c r="I6" s="181"/>
      <c r="J6" s="181"/>
      <c r="K6" s="181"/>
      <c r="L6" s="125">
        <f t="shared" si="0"/>
        <v>3588</v>
      </c>
    </row>
    <row r="7" spans="1:12" s="34" customFormat="1" ht="12.75">
      <c r="A7" s="122">
        <v>6</v>
      </c>
      <c r="B7" s="80" t="s">
        <v>712</v>
      </c>
      <c r="C7" s="181">
        <v>1322</v>
      </c>
      <c r="D7" s="181">
        <v>359</v>
      </c>
      <c r="E7" s="181">
        <v>6222</v>
      </c>
      <c r="F7" s="181"/>
      <c r="G7" s="181"/>
      <c r="H7" s="181"/>
      <c r="I7" s="181">
        <v>-1000</v>
      </c>
      <c r="J7" s="181"/>
      <c r="K7" s="181"/>
      <c r="L7" s="125">
        <f t="shared" si="0"/>
        <v>6903</v>
      </c>
    </row>
    <row r="8" spans="1:12" s="34" customFormat="1" ht="17.25" customHeight="1">
      <c r="A8" s="122">
        <v>7</v>
      </c>
      <c r="B8" s="80" t="s">
        <v>713</v>
      </c>
      <c r="C8" s="181">
        <v>1181</v>
      </c>
      <c r="D8" s="181">
        <v>331</v>
      </c>
      <c r="E8" s="181">
        <v>6167</v>
      </c>
      <c r="F8" s="181"/>
      <c r="G8" s="181">
        <v>50</v>
      </c>
      <c r="H8" s="181">
        <v>100</v>
      </c>
      <c r="I8" s="181"/>
      <c r="J8" s="181"/>
      <c r="K8" s="181"/>
      <c r="L8" s="125">
        <f t="shared" si="0"/>
        <v>7829</v>
      </c>
    </row>
    <row r="9" spans="1:12" s="34" customFormat="1" ht="15" customHeight="1">
      <c r="A9" s="122">
        <v>8</v>
      </c>
      <c r="B9" s="80" t="s">
        <v>714</v>
      </c>
      <c r="C9" s="181">
        <v>1622</v>
      </c>
      <c r="D9" s="181">
        <v>437</v>
      </c>
      <c r="E9" s="181">
        <v>4604</v>
      </c>
      <c r="F9" s="181"/>
      <c r="G9" s="181"/>
      <c r="H9" s="181"/>
      <c r="I9" s="181"/>
      <c r="J9" s="181"/>
      <c r="K9" s="181"/>
      <c r="L9" s="125">
        <f t="shared" si="0"/>
        <v>6663</v>
      </c>
    </row>
    <row r="10" spans="1:12" s="34" customFormat="1" ht="19.5" customHeight="1">
      <c r="A10" s="122">
        <v>9</v>
      </c>
      <c r="B10" s="80" t="s">
        <v>715</v>
      </c>
      <c r="C10" s="181">
        <v>1014</v>
      </c>
      <c r="D10" s="181">
        <v>272</v>
      </c>
      <c r="E10" s="181">
        <v>3942</v>
      </c>
      <c r="F10" s="181"/>
      <c r="G10" s="181"/>
      <c r="H10" s="181">
        <v>-80</v>
      </c>
      <c r="I10" s="181"/>
      <c r="J10" s="181"/>
      <c r="K10" s="181"/>
      <c r="L10" s="125">
        <f t="shared" si="0"/>
        <v>5148</v>
      </c>
    </row>
    <row r="11" spans="1:12" s="34" customFormat="1" ht="27" customHeight="1">
      <c r="A11" s="122">
        <v>10</v>
      </c>
      <c r="B11" s="121" t="s">
        <v>716</v>
      </c>
      <c r="C11" s="181">
        <v>603</v>
      </c>
      <c r="D11" s="181">
        <v>180</v>
      </c>
      <c r="E11" s="181">
        <v>1320</v>
      </c>
      <c r="F11" s="181"/>
      <c r="G11" s="181"/>
      <c r="H11" s="181">
        <v>3230</v>
      </c>
      <c r="I11" s="181"/>
      <c r="J11" s="181"/>
      <c r="K11" s="181"/>
      <c r="L11" s="125">
        <f t="shared" si="0"/>
        <v>5333</v>
      </c>
    </row>
    <row r="12" spans="1:12" s="34" customFormat="1" ht="20.25" customHeight="1">
      <c r="A12" s="122">
        <v>11</v>
      </c>
      <c r="B12" s="80" t="s">
        <v>717</v>
      </c>
      <c r="C12" s="181">
        <v>2463</v>
      </c>
      <c r="D12" s="181">
        <v>665</v>
      </c>
      <c r="E12" s="181">
        <v>-1635</v>
      </c>
      <c r="F12" s="181"/>
      <c r="G12" s="181"/>
      <c r="H12" s="181">
        <v>2360</v>
      </c>
      <c r="I12" s="181"/>
      <c r="J12" s="181"/>
      <c r="K12" s="181"/>
      <c r="L12" s="125">
        <f t="shared" si="0"/>
        <v>3853</v>
      </c>
    </row>
    <row r="13" spans="1:12" s="34" customFormat="1" ht="30" customHeight="1">
      <c r="A13" s="122">
        <v>12</v>
      </c>
      <c r="B13" s="121" t="s">
        <v>718</v>
      </c>
      <c r="C13" s="181">
        <v>645</v>
      </c>
      <c r="D13" s="181">
        <v>175</v>
      </c>
      <c r="E13" s="181">
        <v>-160</v>
      </c>
      <c r="F13" s="181"/>
      <c r="G13" s="181"/>
      <c r="H13" s="181">
        <v>160</v>
      </c>
      <c r="I13" s="181"/>
      <c r="J13" s="181"/>
      <c r="K13" s="181"/>
      <c r="L13" s="125">
        <f t="shared" si="0"/>
        <v>820</v>
      </c>
    </row>
    <row r="14" spans="1:12" s="34" customFormat="1" ht="16.5" customHeight="1">
      <c r="A14" s="122">
        <v>13</v>
      </c>
      <c r="B14" s="80" t="s">
        <v>497</v>
      </c>
      <c r="C14" s="181">
        <v>3130</v>
      </c>
      <c r="D14" s="181">
        <v>845</v>
      </c>
      <c r="E14" s="181">
        <v>-25925</v>
      </c>
      <c r="F14" s="181"/>
      <c r="G14" s="181"/>
      <c r="H14" s="181">
        <v>26650</v>
      </c>
      <c r="I14" s="181"/>
      <c r="J14" s="181"/>
      <c r="K14" s="181"/>
      <c r="L14" s="125">
        <f t="shared" si="0"/>
        <v>4700</v>
      </c>
    </row>
    <row r="15" spans="1:12" s="34" customFormat="1" ht="16.5" customHeight="1">
      <c r="A15" s="122">
        <v>14</v>
      </c>
      <c r="B15" s="80" t="s">
        <v>498</v>
      </c>
      <c r="C15" s="181">
        <v>2994</v>
      </c>
      <c r="D15" s="181">
        <v>726</v>
      </c>
      <c r="E15" s="181">
        <v>1254</v>
      </c>
      <c r="F15" s="181"/>
      <c r="G15" s="181">
        <v>908</v>
      </c>
      <c r="H15" s="181">
        <v>5960</v>
      </c>
      <c r="I15" s="181"/>
      <c r="J15" s="181"/>
      <c r="K15" s="181"/>
      <c r="L15" s="125">
        <f t="shared" si="0"/>
        <v>11842</v>
      </c>
    </row>
    <row r="16" spans="1:12" s="34" customFormat="1" ht="18" customHeight="1">
      <c r="A16" s="122">
        <v>15</v>
      </c>
      <c r="B16" s="80" t="s">
        <v>529</v>
      </c>
      <c r="C16" s="181">
        <v>1655</v>
      </c>
      <c r="D16" s="181">
        <v>447</v>
      </c>
      <c r="E16" s="181">
        <v>-505</v>
      </c>
      <c r="F16" s="181"/>
      <c r="G16" s="181">
        <v>110</v>
      </c>
      <c r="H16" s="181">
        <v>700</v>
      </c>
      <c r="I16" s="181"/>
      <c r="J16" s="181"/>
      <c r="K16" s="181"/>
      <c r="L16" s="125">
        <f t="shared" si="0"/>
        <v>2407</v>
      </c>
    </row>
    <row r="17" spans="1:12" s="34" customFormat="1" ht="18.75" customHeight="1">
      <c r="A17" s="122">
        <v>16</v>
      </c>
      <c r="B17" s="80" t="s">
        <v>505</v>
      </c>
      <c r="C17" s="181">
        <v>438</v>
      </c>
      <c r="D17" s="181">
        <v>120</v>
      </c>
      <c r="E17" s="181"/>
      <c r="F17" s="181"/>
      <c r="G17" s="181"/>
      <c r="H17" s="181"/>
      <c r="I17" s="181"/>
      <c r="J17" s="181"/>
      <c r="K17" s="181"/>
      <c r="L17" s="125">
        <f t="shared" si="0"/>
        <v>558</v>
      </c>
    </row>
    <row r="18" spans="1:12" s="34" customFormat="1" ht="18" customHeight="1">
      <c r="A18" s="122">
        <v>17</v>
      </c>
      <c r="B18" s="80" t="s">
        <v>504</v>
      </c>
      <c r="C18" s="181">
        <v>1164</v>
      </c>
      <c r="D18" s="181">
        <v>315</v>
      </c>
      <c r="E18" s="181"/>
      <c r="F18" s="181"/>
      <c r="G18" s="181"/>
      <c r="H18" s="181">
        <v>5514</v>
      </c>
      <c r="I18" s="181"/>
      <c r="J18" s="181"/>
      <c r="K18" s="181"/>
      <c r="L18" s="125">
        <f t="shared" si="0"/>
        <v>6993</v>
      </c>
    </row>
    <row r="19" spans="1:12" s="34" customFormat="1" ht="18.75" customHeight="1">
      <c r="A19" s="122">
        <v>18</v>
      </c>
      <c r="B19" s="47" t="s">
        <v>473</v>
      </c>
      <c r="C19" s="181">
        <v>76</v>
      </c>
      <c r="D19" s="181">
        <v>18</v>
      </c>
      <c r="E19" s="181">
        <v>-400</v>
      </c>
      <c r="F19" s="181"/>
      <c r="G19" s="181"/>
      <c r="H19" s="181">
        <v>400</v>
      </c>
      <c r="I19" s="181"/>
      <c r="J19" s="181"/>
      <c r="K19" s="181"/>
      <c r="L19" s="125">
        <f t="shared" si="0"/>
        <v>94</v>
      </c>
    </row>
    <row r="20" spans="1:12" s="34" customFormat="1" ht="18.75" customHeight="1">
      <c r="A20" s="122">
        <v>19</v>
      </c>
      <c r="B20" s="47" t="s">
        <v>86</v>
      </c>
      <c r="C20" s="181">
        <v>2003</v>
      </c>
      <c r="D20" s="181">
        <v>546</v>
      </c>
      <c r="E20" s="181">
        <v>-338</v>
      </c>
      <c r="F20" s="181"/>
      <c r="G20" s="181"/>
      <c r="H20" s="181">
        <v>50</v>
      </c>
      <c r="I20" s="181"/>
      <c r="J20" s="181"/>
      <c r="K20" s="181"/>
      <c r="L20" s="125">
        <f t="shared" si="0"/>
        <v>2261</v>
      </c>
    </row>
    <row r="21" spans="1:12" s="34" customFormat="1" ht="18" customHeight="1">
      <c r="A21" s="37"/>
      <c r="B21" s="38" t="s">
        <v>489</v>
      </c>
      <c r="C21" s="39">
        <f>SUM(C3:C20)</f>
        <v>47728</v>
      </c>
      <c r="D21" s="39">
        <f aca="true" t="shared" si="1" ref="D21:L21">SUM(D3:D20)</f>
        <v>12843</v>
      </c>
      <c r="E21" s="39">
        <f t="shared" si="1"/>
        <v>2754</v>
      </c>
      <c r="F21" s="39">
        <f t="shared" si="1"/>
        <v>0</v>
      </c>
      <c r="G21" s="39">
        <f t="shared" si="1"/>
        <v>1549</v>
      </c>
      <c r="H21" s="39">
        <f t="shared" si="1"/>
        <v>60689</v>
      </c>
      <c r="I21" s="39">
        <f t="shared" si="1"/>
        <v>-8000</v>
      </c>
      <c r="J21" s="39">
        <f t="shared" si="1"/>
        <v>0</v>
      </c>
      <c r="K21" s="39">
        <f t="shared" si="1"/>
        <v>0</v>
      </c>
      <c r="L21" s="39">
        <f t="shared" si="1"/>
        <v>117563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C1:J1"/>
    <mergeCell ref="K1:K2"/>
    <mergeCell ref="L1:L2"/>
    <mergeCell ref="A1:A2"/>
    <mergeCell ref="B1:B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ELŐIRÁNYZATAINAK MÓDOSÍTÁSA A III.. NEGYEDÉVBEN&amp;R&amp;"Times New Roman,Dőlt"&amp;9
 4. tájékoztató tábla
Adatok E 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1">
      <selection activeCell="D35" sqref="D35"/>
    </sheetView>
  </sheetViews>
  <sheetFormatPr defaultColWidth="9.00390625" defaultRowHeight="12.75"/>
  <cols>
    <col min="1" max="1" width="8.375" style="76" customWidth="1"/>
    <col min="2" max="2" width="59.375" style="64" customWidth="1"/>
    <col min="3" max="3" width="11.875" style="64" customWidth="1"/>
    <col min="4" max="5" width="11.875" style="31" customWidth="1"/>
    <col min="6" max="16384" width="9.375" style="31" customWidth="1"/>
  </cols>
  <sheetData>
    <row r="1" spans="1:5" s="52" customFormat="1" ht="69.75" customHeight="1" thickBot="1">
      <c r="A1" s="65" t="s">
        <v>1080</v>
      </c>
      <c r="B1" s="66" t="s">
        <v>686</v>
      </c>
      <c r="C1" s="72" t="s">
        <v>741</v>
      </c>
      <c r="D1" s="522" t="s">
        <v>739</v>
      </c>
      <c r="E1" s="522" t="s">
        <v>742</v>
      </c>
    </row>
    <row r="2" spans="1:5" s="69" customFormat="1" ht="14.25" customHeight="1">
      <c r="A2" s="67" t="s">
        <v>1081</v>
      </c>
      <c r="B2" s="68" t="s">
        <v>532</v>
      </c>
      <c r="C2" s="68"/>
      <c r="D2" s="561"/>
      <c r="E2" s="561"/>
    </row>
    <row r="3" spans="1:5" s="52" customFormat="1" ht="14.25" customHeight="1">
      <c r="A3" s="67" t="s">
        <v>1082</v>
      </c>
      <c r="B3" s="68" t="s">
        <v>1083</v>
      </c>
      <c r="C3" s="70"/>
      <c r="D3" s="560"/>
      <c r="E3" s="560"/>
    </row>
    <row r="4" spans="1:5" s="52" customFormat="1" ht="14.25" customHeight="1">
      <c r="A4" s="160" t="s">
        <v>1084</v>
      </c>
      <c r="B4" s="70" t="s">
        <v>1085</v>
      </c>
      <c r="C4" s="70"/>
      <c r="D4" s="560"/>
      <c r="E4" s="560"/>
    </row>
    <row r="5" spans="1:5" s="52" customFormat="1" ht="14.25" customHeight="1">
      <c r="A5" s="111" t="s">
        <v>1086</v>
      </c>
      <c r="B5" s="70" t="s">
        <v>1087</v>
      </c>
      <c r="C5" s="206">
        <v>100</v>
      </c>
      <c r="D5" s="517">
        <v>6969</v>
      </c>
      <c r="E5" s="517">
        <f aca="true" t="shared" si="0" ref="E5:E10">SUM(C5:D5)</f>
        <v>7069</v>
      </c>
    </row>
    <row r="6" spans="1:5" s="52" customFormat="1" ht="22.5" customHeight="1">
      <c r="A6" s="111" t="s">
        <v>1088</v>
      </c>
      <c r="B6" s="70" t="s">
        <v>1089</v>
      </c>
      <c r="C6" s="206">
        <v>886883</v>
      </c>
      <c r="D6" s="517"/>
      <c r="E6" s="517">
        <f t="shared" si="0"/>
        <v>886883</v>
      </c>
    </row>
    <row r="7" spans="1:5" s="52" customFormat="1" ht="24.75" customHeight="1">
      <c r="A7" s="111" t="s">
        <v>1090</v>
      </c>
      <c r="B7" s="70" t="s">
        <v>1091</v>
      </c>
      <c r="C7" s="206">
        <v>695886</v>
      </c>
      <c r="D7" s="517">
        <v>44296</v>
      </c>
      <c r="E7" s="517">
        <f t="shared" si="0"/>
        <v>740182</v>
      </c>
    </row>
    <row r="8" spans="1:5" s="52" customFormat="1" ht="15" customHeight="1">
      <c r="A8" s="111" t="s">
        <v>1092</v>
      </c>
      <c r="B8" s="70" t="s">
        <v>1093</v>
      </c>
      <c r="C8" s="206">
        <v>656366</v>
      </c>
      <c r="D8" s="517">
        <v>590</v>
      </c>
      <c r="E8" s="517">
        <f t="shared" si="0"/>
        <v>656956</v>
      </c>
    </row>
    <row r="9" spans="1:5" s="52" customFormat="1" ht="24.75" customHeight="1">
      <c r="A9" s="111" t="s">
        <v>1094</v>
      </c>
      <c r="B9" s="70" t="s">
        <v>941</v>
      </c>
      <c r="C9" s="70"/>
      <c r="D9" s="517">
        <v>82550</v>
      </c>
      <c r="E9" s="517">
        <f t="shared" si="0"/>
        <v>82550</v>
      </c>
    </row>
    <row r="10" spans="1:5" s="52" customFormat="1" ht="24.75" customHeight="1">
      <c r="A10" s="160" t="s">
        <v>1101</v>
      </c>
      <c r="B10" s="70" t="s">
        <v>1102</v>
      </c>
      <c r="C10" s="70">
        <v>1007964</v>
      </c>
      <c r="D10" s="517">
        <v>200262</v>
      </c>
      <c r="E10" s="517">
        <f t="shared" si="0"/>
        <v>1208226</v>
      </c>
    </row>
    <row r="11" spans="1:5" s="55" customFormat="1" ht="22.5" customHeight="1">
      <c r="A11" s="72"/>
      <c r="B11" s="73" t="s">
        <v>1103</v>
      </c>
      <c r="C11" s="73">
        <f>SUM(C4:C10)</f>
        <v>3247199</v>
      </c>
      <c r="D11" s="73">
        <f>SUM(D4:D10)</f>
        <v>334667</v>
      </c>
      <c r="E11" s="73">
        <f>SUM(E4:E10)</f>
        <v>3581866</v>
      </c>
    </row>
    <row r="12" spans="1:5" s="52" customFormat="1" ht="14.25" customHeight="1">
      <c r="A12" s="67" t="s">
        <v>1104</v>
      </c>
      <c r="B12" s="68" t="s">
        <v>1105</v>
      </c>
      <c r="C12" s="70"/>
      <c r="D12" s="517"/>
      <c r="E12" s="268"/>
    </row>
    <row r="13" spans="1:5" s="52" customFormat="1" ht="14.25" customHeight="1">
      <c r="A13" s="160" t="s">
        <v>1106</v>
      </c>
      <c r="B13" s="70" t="s">
        <v>1107</v>
      </c>
      <c r="C13" s="70"/>
      <c r="D13" s="517">
        <v>333448</v>
      </c>
      <c r="E13" s="517">
        <f>SUM(C13:D13)</f>
        <v>333448</v>
      </c>
    </row>
    <row r="14" spans="1:5" s="52" customFormat="1" ht="23.25" customHeight="1">
      <c r="A14" s="160" t="s">
        <v>1108</v>
      </c>
      <c r="B14" s="70" t="s">
        <v>1109</v>
      </c>
      <c r="C14" s="70">
        <v>3540847</v>
      </c>
      <c r="D14" s="517">
        <v>-34644</v>
      </c>
      <c r="E14" s="517">
        <f>SUM(C14:D14)</f>
        <v>3506203</v>
      </c>
    </row>
    <row r="15" spans="1:5" s="55" customFormat="1" ht="23.25" customHeight="1">
      <c r="A15" s="72"/>
      <c r="B15" s="73" t="s">
        <v>1110</v>
      </c>
      <c r="C15" s="73">
        <f>SUM(C13:C14)</f>
        <v>3540847</v>
      </c>
      <c r="D15" s="73">
        <f>SUM(D13:D14)</f>
        <v>298804</v>
      </c>
      <c r="E15" s="73">
        <f>SUM(E13:E14)</f>
        <v>3839651</v>
      </c>
    </row>
    <row r="16" spans="1:5" s="52" customFormat="1" ht="14.25" customHeight="1">
      <c r="A16" s="67" t="s">
        <v>1111</v>
      </c>
      <c r="B16" s="68" t="s">
        <v>351</v>
      </c>
      <c r="C16" s="70"/>
      <c r="D16" s="268"/>
      <c r="E16" s="268"/>
    </row>
    <row r="17" spans="1:5" s="52" customFormat="1" ht="14.25" customHeight="1">
      <c r="A17" s="703" t="s">
        <v>591</v>
      </c>
      <c r="B17" s="706" t="s">
        <v>921</v>
      </c>
      <c r="C17" s="70"/>
      <c r="D17" s="517">
        <v>600000</v>
      </c>
      <c r="E17" s="517">
        <v>600000</v>
      </c>
    </row>
    <row r="18" spans="1:5" s="52" customFormat="1" ht="14.25" customHeight="1">
      <c r="A18" s="160" t="s">
        <v>1112</v>
      </c>
      <c r="B18" s="70" t="s">
        <v>1113</v>
      </c>
      <c r="C18" s="70"/>
      <c r="D18" s="517"/>
      <c r="E18" s="268"/>
    </row>
    <row r="19" spans="1:5" s="52" customFormat="1" ht="14.25" customHeight="1">
      <c r="A19" s="111" t="s">
        <v>1114</v>
      </c>
      <c r="B19" s="70" t="s">
        <v>478</v>
      </c>
      <c r="C19" s="70">
        <v>4312000</v>
      </c>
      <c r="D19" s="517">
        <v>-600000</v>
      </c>
      <c r="E19" s="517">
        <f>SUM(C19:D19)</f>
        <v>3712000</v>
      </c>
    </row>
    <row r="20" spans="1:5" s="52" customFormat="1" ht="14.25" customHeight="1">
      <c r="A20" s="111" t="s">
        <v>1115</v>
      </c>
      <c r="B20" s="70" t="s">
        <v>1116</v>
      </c>
      <c r="C20" s="70">
        <v>228000</v>
      </c>
      <c r="D20" s="268"/>
      <c r="E20" s="517">
        <f>SUM(C20:D20)</f>
        <v>228000</v>
      </c>
    </row>
    <row r="21" spans="1:5" s="52" customFormat="1" ht="14.25" customHeight="1">
      <c r="A21" s="111" t="s">
        <v>1117</v>
      </c>
      <c r="B21" s="70" t="s">
        <v>1118</v>
      </c>
      <c r="C21" s="70">
        <v>5000</v>
      </c>
      <c r="D21" s="268"/>
      <c r="E21" s="517">
        <f>SUM(C21:D21)</f>
        <v>5000</v>
      </c>
    </row>
    <row r="22" spans="1:5" s="52" customFormat="1" ht="14.25" customHeight="1">
      <c r="A22" s="160" t="s">
        <v>1119</v>
      </c>
      <c r="B22" s="70" t="s">
        <v>1120</v>
      </c>
      <c r="C22" s="70">
        <v>7000</v>
      </c>
      <c r="D22" s="268">
        <v>23300</v>
      </c>
      <c r="E22" s="517">
        <f>SUM(C22:D22)</f>
        <v>30300</v>
      </c>
    </row>
    <row r="23" spans="1:5" ht="15" customHeight="1">
      <c r="A23" s="72"/>
      <c r="B23" s="73" t="s">
        <v>1121</v>
      </c>
      <c r="C23" s="73">
        <f>SUM(C16:C22)</f>
        <v>4552000</v>
      </c>
      <c r="D23" s="73">
        <f>SUM(D16:D22)</f>
        <v>23300</v>
      </c>
      <c r="E23" s="73">
        <f>SUM(E16:E22)</f>
        <v>4575300</v>
      </c>
    </row>
    <row r="24" spans="1:5" s="52" customFormat="1" ht="15" customHeight="1">
      <c r="A24" s="72" t="s">
        <v>1122</v>
      </c>
      <c r="B24" s="73" t="s">
        <v>730</v>
      </c>
      <c r="C24" s="73">
        <v>2490092</v>
      </c>
      <c r="D24" s="265">
        <v>401250</v>
      </c>
      <c r="E24" s="265">
        <f>SUM(C24:D24)</f>
        <v>2891342</v>
      </c>
    </row>
    <row r="25" spans="1:5" s="52" customFormat="1" ht="15" customHeight="1">
      <c r="A25" s="67" t="s">
        <v>1123</v>
      </c>
      <c r="B25" s="68" t="s">
        <v>486</v>
      </c>
      <c r="C25" s="70"/>
      <c r="D25" s="268"/>
      <c r="E25" s="268"/>
    </row>
    <row r="26" spans="1:5" s="52" customFormat="1" ht="15" customHeight="1">
      <c r="A26" s="71" t="s">
        <v>1124</v>
      </c>
      <c r="B26" s="70" t="s">
        <v>1125</v>
      </c>
      <c r="C26" s="70">
        <v>144480</v>
      </c>
      <c r="D26" s="517"/>
      <c r="E26" s="517">
        <f>SUM(C26:D26)</f>
        <v>144480</v>
      </c>
    </row>
    <row r="27" spans="1:5" s="52" customFormat="1" ht="15" customHeight="1">
      <c r="A27" s="71" t="s">
        <v>1159</v>
      </c>
      <c r="B27" s="70" t="s">
        <v>1160</v>
      </c>
      <c r="C27" s="70">
        <v>5000</v>
      </c>
      <c r="D27" s="517">
        <v>755</v>
      </c>
      <c r="E27" s="517">
        <f>SUM(C27:D27)</f>
        <v>5755</v>
      </c>
    </row>
    <row r="28" spans="1:5" s="52" customFormat="1" ht="15" customHeight="1">
      <c r="A28" s="71" t="s">
        <v>1319</v>
      </c>
      <c r="B28" s="70" t="s">
        <v>502</v>
      </c>
      <c r="C28" s="70"/>
      <c r="D28" s="517">
        <v>59100</v>
      </c>
      <c r="E28" s="517">
        <f>SUM(C28:D28)</f>
        <v>59100</v>
      </c>
    </row>
    <row r="29" spans="1:5" s="52" customFormat="1" ht="15" customHeight="1">
      <c r="A29" s="71" t="s">
        <v>1293</v>
      </c>
      <c r="B29" s="70" t="s">
        <v>1294</v>
      </c>
      <c r="C29" s="70"/>
      <c r="D29" s="517">
        <v>150000</v>
      </c>
      <c r="E29" s="517">
        <f>SUM(C29:D29)</f>
        <v>150000</v>
      </c>
    </row>
    <row r="30" spans="1:5" s="52" customFormat="1" ht="15" customHeight="1">
      <c r="A30" s="74"/>
      <c r="B30" s="73" t="s">
        <v>1126</v>
      </c>
      <c r="C30" s="73">
        <f>SUM(C26:C27)</f>
        <v>149480</v>
      </c>
      <c r="D30" s="73">
        <f>SUM(D26:D29)</f>
        <v>209855</v>
      </c>
      <c r="E30" s="73">
        <f>SUM(E26:E29)</f>
        <v>359335</v>
      </c>
    </row>
    <row r="31" spans="1:5" s="52" customFormat="1" ht="15" customHeight="1">
      <c r="A31" s="72" t="s">
        <v>1127</v>
      </c>
      <c r="B31" s="73" t="s">
        <v>731</v>
      </c>
      <c r="C31" s="73">
        <v>67000</v>
      </c>
      <c r="D31" s="265">
        <v>12663</v>
      </c>
      <c r="E31" s="265">
        <f>SUM(C31:D31)</f>
        <v>79663</v>
      </c>
    </row>
    <row r="32" spans="1:5" s="52" customFormat="1" ht="15" customHeight="1">
      <c r="A32" s="67" t="s">
        <v>1128</v>
      </c>
      <c r="B32" s="68" t="s">
        <v>732</v>
      </c>
      <c r="C32" s="68"/>
      <c r="D32" s="517"/>
      <c r="E32" s="268"/>
    </row>
    <row r="33" spans="1:5" s="52" customFormat="1" ht="24.75" customHeight="1">
      <c r="A33" s="71" t="s">
        <v>1129</v>
      </c>
      <c r="B33" s="70" t="s">
        <v>1130</v>
      </c>
      <c r="C33" s="70">
        <v>30000</v>
      </c>
      <c r="D33" s="70"/>
      <c r="E33" s="70">
        <f>SUM(C33:D33)</f>
        <v>30000</v>
      </c>
    </row>
    <row r="34" spans="1:5" s="52" customFormat="1" ht="15" customHeight="1">
      <c r="A34" s="71" t="s">
        <v>1131</v>
      </c>
      <c r="B34" s="70" t="s">
        <v>1132</v>
      </c>
      <c r="C34" s="70">
        <v>290000</v>
      </c>
      <c r="D34" s="70">
        <v>14350</v>
      </c>
      <c r="E34" s="70">
        <f>SUM(C34:D34)</f>
        <v>304350</v>
      </c>
    </row>
    <row r="35" spans="1:5" s="52" customFormat="1" ht="15" customHeight="1">
      <c r="A35" s="74"/>
      <c r="B35" s="73" t="s">
        <v>1133</v>
      </c>
      <c r="C35" s="73">
        <f>SUM(C33:C34)</f>
        <v>320000</v>
      </c>
      <c r="D35" s="73">
        <f>SUM(D33:D34)</f>
        <v>14350</v>
      </c>
      <c r="E35" s="73">
        <f>SUM(E33:E34)</f>
        <v>334350</v>
      </c>
    </row>
    <row r="36" spans="1:5" s="52" customFormat="1" ht="15" customHeight="1">
      <c r="A36" s="72" t="s">
        <v>1134</v>
      </c>
      <c r="B36" s="73" t="s">
        <v>725</v>
      </c>
      <c r="C36" s="73">
        <f>SUM(C11+C15+C23+C24+C30+C31+C35)</f>
        <v>14366618</v>
      </c>
      <c r="D36" s="73">
        <f>SUM(D11+D15+D23+D24+D30+D31+D35)</f>
        <v>1294889</v>
      </c>
      <c r="E36" s="73">
        <f>SUM(E11+E15+E23+E24+E30+E31+E35)</f>
        <v>15661507</v>
      </c>
    </row>
    <row r="37" spans="1:5" s="52" customFormat="1" ht="15.75" customHeight="1">
      <c r="A37" s="67" t="s">
        <v>1135</v>
      </c>
      <c r="B37" s="68" t="s">
        <v>726</v>
      </c>
      <c r="C37" s="68"/>
      <c r="D37" s="517"/>
      <c r="E37" s="268"/>
    </row>
    <row r="38" spans="1:5" s="52" customFormat="1" ht="14.25" customHeight="1">
      <c r="A38" s="160" t="s">
        <v>1136</v>
      </c>
      <c r="B38" s="70" t="s">
        <v>1137</v>
      </c>
      <c r="C38" s="70"/>
      <c r="D38" s="517"/>
      <c r="E38" s="268"/>
    </row>
    <row r="39" spans="1:5" s="52" customFormat="1" ht="14.25" customHeight="1">
      <c r="A39" s="161" t="s">
        <v>1138</v>
      </c>
      <c r="B39" s="75" t="s">
        <v>1139</v>
      </c>
      <c r="C39" s="70">
        <v>378018</v>
      </c>
      <c r="D39" s="517"/>
      <c r="E39" s="517">
        <f>SUM(C39:D39)</f>
        <v>378018</v>
      </c>
    </row>
    <row r="40" spans="1:5" s="52" customFormat="1" ht="14.25" customHeight="1">
      <c r="A40" s="161" t="s">
        <v>1140</v>
      </c>
      <c r="B40" s="75" t="s">
        <v>733</v>
      </c>
      <c r="C40" s="70">
        <v>2467917</v>
      </c>
      <c r="D40" s="517">
        <v>408617</v>
      </c>
      <c r="E40" s="517">
        <f>SUM(C40:D40)</f>
        <v>2876534</v>
      </c>
    </row>
    <row r="41" spans="1:5" s="52" customFormat="1" ht="14.25" customHeight="1">
      <c r="A41" s="161" t="s">
        <v>1266</v>
      </c>
      <c r="B41" s="75" t="s">
        <v>1267</v>
      </c>
      <c r="C41" s="70">
        <v>73924</v>
      </c>
      <c r="D41" s="517">
        <v>4382</v>
      </c>
      <c r="E41" s="517">
        <f>SUM(C41:D41)</f>
        <v>78306</v>
      </c>
    </row>
    <row r="42" spans="1:5" s="52" customFormat="1" ht="14.25" customHeight="1">
      <c r="A42" s="162"/>
      <c r="B42" s="73" t="s">
        <v>1141</v>
      </c>
      <c r="C42" s="73">
        <f>SUM(C39:C41)</f>
        <v>2919859</v>
      </c>
      <c r="D42" s="73">
        <f>SUM(D39:D41)</f>
        <v>412999</v>
      </c>
      <c r="E42" s="73">
        <f>SUM(E39:E41)</f>
        <v>3332858</v>
      </c>
    </row>
    <row r="43" spans="1:5" ht="15.75" customHeight="1">
      <c r="A43" s="72"/>
      <c r="B43" s="73" t="s">
        <v>1142</v>
      </c>
      <c r="C43" s="73">
        <f>SUM(C36+C42)</f>
        <v>17286477</v>
      </c>
      <c r="D43" s="73">
        <f>SUM(D36+D42)</f>
        <v>1707888</v>
      </c>
      <c r="E43" s="73">
        <f>SUM(E36+E42)</f>
        <v>18994365</v>
      </c>
    </row>
  </sheetData>
  <sheetProtection/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scale="95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="90" zoomScaleNormal="90" zoomScalePageLayoutView="0" workbookViewId="0" topLeftCell="A1">
      <pane xSplit="1" ySplit="2" topLeftCell="B43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56" sqref="K56"/>
    </sheetView>
  </sheetViews>
  <sheetFormatPr defaultColWidth="9.00390625" defaultRowHeight="12.75"/>
  <cols>
    <col min="1" max="1" width="75.375" style="83" customWidth="1"/>
    <col min="2" max="2" width="11.50390625" style="83" customWidth="1"/>
    <col min="3" max="3" width="11.125" style="83" customWidth="1"/>
    <col min="4" max="4" width="10.50390625" style="83" customWidth="1"/>
    <col min="5" max="5" width="11.00390625" style="83" customWidth="1"/>
    <col min="6" max="6" width="11.875" style="83" customWidth="1"/>
    <col min="7" max="7" width="11.125" style="82" customWidth="1"/>
    <col min="8" max="8" width="11.00390625" style="82" customWidth="1"/>
    <col min="9" max="9" width="13.125" style="82" customWidth="1"/>
    <col min="10" max="10" width="11.375" style="82" customWidth="1"/>
    <col min="11" max="11" width="11.125" style="82" customWidth="1"/>
    <col min="12" max="12" width="18.125" style="82" customWidth="1"/>
    <col min="13" max="14" width="9.375" style="82" customWidth="1"/>
    <col min="15" max="16384" width="9.375" style="83" customWidth="1"/>
  </cols>
  <sheetData>
    <row r="1" spans="1:14" ht="23.25" customHeight="1" thickBot="1">
      <c r="A1" s="165"/>
      <c r="B1" s="808" t="s">
        <v>1280</v>
      </c>
      <c r="C1" s="809"/>
      <c r="D1" s="809"/>
      <c r="E1" s="809"/>
      <c r="F1" s="810"/>
      <c r="G1" s="808" t="s">
        <v>1279</v>
      </c>
      <c r="H1" s="809"/>
      <c r="I1" s="809"/>
      <c r="J1" s="809"/>
      <c r="K1" s="810"/>
      <c r="N1" s="83"/>
    </row>
    <row r="2" spans="1:13" s="85" customFormat="1" ht="55.5" customHeight="1" thickBot="1">
      <c r="A2" s="166" t="s">
        <v>604</v>
      </c>
      <c r="B2" s="167" t="s">
        <v>605</v>
      </c>
      <c r="C2" s="168" t="s">
        <v>606</v>
      </c>
      <c r="D2" s="168" t="s">
        <v>607</v>
      </c>
      <c r="E2" s="168" t="s">
        <v>642</v>
      </c>
      <c r="F2" s="168" t="s">
        <v>608</v>
      </c>
      <c r="G2" s="167" t="s">
        <v>605</v>
      </c>
      <c r="H2" s="168" t="s">
        <v>606</v>
      </c>
      <c r="I2" s="168" t="s">
        <v>607</v>
      </c>
      <c r="J2" s="168" t="s">
        <v>642</v>
      </c>
      <c r="K2" s="168" t="s">
        <v>608</v>
      </c>
      <c r="L2" s="84"/>
      <c r="M2" s="84"/>
    </row>
    <row r="3" spans="1:14" ht="13.5" customHeight="1">
      <c r="A3" s="169" t="s">
        <v>281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M3" s="83"/>
      <c r="N3" s="83"/>
    </row>
    <row r="4" spans="1:14" ht="13.5" customHeight="1">
      <c r="A4" s="170" t="s">
        <v>643</v>
      </c>
      <c r="B4" s="208"/>
      <c r="C4" s="208">
        <v>134.68</v>
      </c>
      <c r="D4" s="207">
        <v>4580000</v>
      </c>
      <c r="E4" s="207">
        <v>616834</v>
      </c>
      <c r="F4" s="207"/>
      <c r="G4" s="208"/>
      <c r="H4" s="208">
        <v>134.68</v>
      </c>
      <c r="I4" s="207">
        <v>4580000</v>
      </c>
      <c r="J4" s="207">
        <v>616834</v>
      </c>
      <c r="K4" s="207"/>
      <c r="M4" s="83"/>
      <c r="N4" s="83"/>
    </row>
    <row r="5" spans="1:14" ht="13.5" customHeight="1">
      <c r="A5" s="170" t="s">
        <v>644</v>
      </c>
      <c r="B5" s="208"/>
      <c r="C5" s="208"/>
      <c r="D5" s="207"/>
      <c r="E5" s="207"/>
      <c r="F5" s="207">
        <v>0</v>
      </c>
      <c r="G5" s="208"/>
      <c r="H5" s="208"/>
      <c r="I5" s="207"/>
      <c r="J5" s="207"/>
      <c r="K5" s="207">
        <v>0</v>
      </c>
      <c r="M5" s="83"/>
      <c r="N5" s="83"/>
    </row>
    <row r="6" spans="1:14" ht="13.5" customHeight="1">
      <c r="A6" s="170" t="s">
        <v>645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M6" s="83"/>
      <c r="N6" s="83"/>
    </row>
    <row r="7" spans="1:14" ht="13.5" customHeight="1">
      <c r="A7" s="170" t="s">
        <v>1268</v>
      </c>
      <c r="B7" s="207"/>
      <c r="C7" s="207">
        <v>2299</v>
      </c>
      <c r="D7" s="207">
        <v>22300</v>
      </c>
      <c r="E7" s="207">
        <v>51262</v>
      </c>
      <c r="F7" s="207"/>
      <c r="G7" s="207"/>
      <c r="H7" s="207">
        <v>2299</v>
      </c>
      <c r="I7" s="207">
        <v>22300</v>
      </c>
      <c r="J7" s="207">
        <v>51262</v>
      </c>
      <c r="K7" s="207"/>
      <c r="M7" s="83"/>
      <c r="N7" s="83"/>
    </row>
    <row r="8" spans="1:14" ht="13.5" customHeight="1">
      <c r="A8" s="170" t="s">
        <v>1269</v>
      </c>
      <c r="B8" s="207"/>
      <c r="C8" s="207">
        <v>393</v>
      </c>
      <c r="D8" s="207">
        <v>415000</v>
      </c>
      <c r="E8" s="207">
        <v>162805</v>
      </c>
      <c r="F8" s="207"/>
      <c r="G8" s="207"/>
      <c r="H8" s="207">
        <v>393</v>
      </c>
      <c r="I8" s="207">
        <v>415000</v>
      </c>
      <c r="J8" s="207">
        <v>162805</v>
      </c>
      <c r="K8" s="207"/>
      <c r="M8" s="83"/>
      <c r="N8" s="83"/>
    </row>
    <row r="9" spans="1:14" ht="13.5" customHeight="1">
      <c r="A9" s="170" t="s">
        <v>1270</v>
      </c>
      <c r="B9" s="207"/>
      <c r="C9" s="207">
        <v>323446</v>
      </c>
      <c r="D9" s="207">
        <v>70</v>
      </c>
      <c r="E9" s="207">
        <v>22641</v>
      </c>
      <c r="F9" s="207"/>
      <c r="G9" s="207"/>
      <c r="H9" s="207">
        <v>323446</v>
      </c>
      <c r="I9" s="207">
        <v>70</v>
      </c>
      <c r="J9" s="207">
        <v>22641</v>
      </c>
      <c r="K9" s="207"/>
      <c r="M9" s="83"/>
      <c r="N9" s="83"/>
    </row>
    <row r="10" spans="1:14" ht="13.5" customHeight="1">
      <c r="A10" s="170" t="s">
        <v>1285</v>
      </c>
      <c r="B10" s="207"/>
      <c r="C10" s="207">
        <v>219</v>
      </c>
      <c r="D10" s="207">
        <v>470000</v>
      </c>
      <c r="E10" s="207">
        <v>102775</v>
      </c>
      <c r="F10" s="207"/>
      <c r="G10" s="207"/>
      <c r="H10" s="207">
        <v>219</v>
      </c>
      <c r="I10" s="207">
        <v>470000</v>
      </c>
      <c r="J10" s="207">
        <v>102775</v>
      </c>
      <c r="K10" s="207"/>
      <c r="M10" s="83"/>
      <c r="N10" s="83"/>
    </row>
    <row r="11" spans="1:14" ht="13.5" customHeight="1">
      <c r="A11" s="170" t="s">
        <v>646</v>
      </c>
      <c r="B11" s="207"/>
      <c r="C11" s="207"/>
      <c r="D11" s="207"/>
      <c r="E11" s="207"/>
      <c r="F11" s="207">
        <v>0</v>
      </c>
      <c r="G11" s="207"/>
      <c r="H11" s="207"/>
      <c r="I11" s="207"/>
      <c r="J11" s="207"/>
      <c r="K11" s="207">
        <v>0</v>
      </c>
      <c r="M11" s="83"/>
      <c r="N11" s="83"/>
    </row>
    <row r="12" spans="1:14" ht="13.5" customHeight="1">
      <c r="A12" s="170" t="s">
        <v>647</v>
      </c>
      <c r="B12" s="207">
        <v>58978</v>
      </c>
      <c r="C12" s="207"/>
      <c r="D12" s="207">
        <v>2700</v>
      </c>
      <c r="E12" s="207">
        <v>159241</v>
      </c>
      <c r="F12" s="207"/>
      <c r="G12" s="207">
        <v>58978</v>
      </c>
      <c r="H12" s="207"/>
      <c r="I12" s="207">
        <v>2700</v>
      </c>
      <c r="J12" s="207">
        <v>159241</v>
      </c>
      <c r="K12" s="207"/>
      <c r="M12" s="83"/>
      <c r="N12" s="83"/>
    </row>
    <row r="13" spans="1:14" ht="13.5" customHeight="1">
      <c r="A13" s="170" t="s">
        <v>648</v>
      </c>
      <c r="B13" s="207"/>
      <c r="C13" s="207"/>
      <c r="D13" s="207"/>
      <c r="E13" s="207"/>
      <c r="F13" s="207">
        <v>0</v>
      </c>
      <c r="G13" s="207"/>
      <c r="H13" s="207"/>
      <c r="I13" s="207"/>
      <c r="J13" s="207"/>
      <c r="K13" s="207">
        <v>0</v>
      </c>
      <c r="M13" s="83"/>
      <c r="N13" s="83"/>
    </row>
    <row r="14" spans="1:14" ht="13.5" customHeight="1">
      <c r="A14" s="170" t="s">
        <v>1271</v>
      </c>
      <c r="B14" s="207">
        <v>3546</v>
      </c>
      <c r="C14" s="207"/>
      <c r="D14" s="207">
        <v>2550</v>
      </c>
      <c r="E14" s="207">
        <v>9042</v>
      </c>
      <c r="F14" s="207"/>
      <c r="G14" s="207">
        <v>3546</v>
      </c>
      <c r="H14" s="207"/>
      <c r="I14" s="207">
        <v>2550</v>
      </c>
      <c r="J14" s="207">
        <v>9042</v>
      </c>
      <c r="K14" s="207"/>
      <c r="M14" s="83"/>
      <c r="N14" s="83"/>
    </row>
    <row r="15" spans="1:14" ht="13.5" customHeight="1">
      <c r="A15" s="170" t="s">
        <v>1272</v>
      </c>
      <c r="B15" s="207"/>
      <c r="C15" s="207"/>
      <c r="D15" s="207"/>
      <c r="E15" s="207"/>
      <c r="F15" s="207">
        <v>0</v>
      </c>
      <c r="G15" s="207"/>
      <c r="H15" s="207"/>
      <c r="I15" s="207"/>
      <c r="J15" s="207"/>
      <c r="K15" s="207">
        <v>0</v>
      </c>
      <c r="M15" s="83"/>
      <c r="N15" s="83"/>
    </row>
    <row r="16" spans="1:14" ht="13.5" customHeight="1">
      <c r="A16" s="170" t="s">
        <v>1273</v>
      </c>
      <c r="B16" s="207">
        <v>7906000</v>
      </c>
      <c r="C16" s="207"/>
      <c r="D16" s="208">
        <v>1.55</v>
      </c>
      <c r="E16" s="207">
        <v>12254</v>
      </c>
      <c r="F16" s="207"/>
      <c r="G16" s="207">
        <v>7906000</v>
      </c>
      <c r="H16" s="207"/>
      <c r="I16" s="208">
        <v>1.55</v>
      </c>
      <c r="J16" s="207">
        <v>12254</v>
      </c>
      <c r="K16" s="207"/>
      <c r="M16" s="83"/>
      <c r="N16" s="83"/>
    </row>
    <row r="17" spans="1:14" ht="13.5" customHeight="1">
      <c r="A17" s="170" t="s">
        <v>1274</v>
      </c>
      <c r="B17" s="207"/>
      <c r="C17" s="207"/>
      <c r="D17" s="208"/>
      <c r="E17" s="207"/>
      <c r="F17" s="207">
        <v>0</v>
      </c>
      <c r="G17" s="207"/>
      <c r="H17" s="207"/>
      <c r="I17" s="208"/>
      <c r="J17" s="207"/>
      <c r="K17" s="207">
        <v>0</v>
      </c>
      <c r="M17" s="83"/>
      <c r="N17" s="83"/>
    </row>
    <row r="18" spans="1:14" ht="13.5" customHeight="1">
      <c r="A18" s="170" t="s">
        <v>1275</v>
      </c>
      <c r="B18" s="207"/>
      <c r="C18" s="207"/>
      <c r="D18" s="207"/>
      <c r="E18" s="207">
        <v>-1149881</v>
      </c>
      <c r="F18" s="207"/>
      <c r="G18" s="207"/>
      <c r="H18" s="207"/>
      <c r="I18" s="207"/>
      <c r="J18" s="207">
        <v>-1149881</v>
      </c>
      <c r="K18" s="207"/>
      <c r="M18" s="83"/>
      <c r="N18" s="83"/>
    </row>
    <row r="19" spans="1:14" ht="13.5" customHeight="1">
      <c r="A19" s="170" t="s">
        <v>1276</v>
      </c>
      <c r="B19" s="207"/>
      <c r="C19" s="207">
        <v>1000</v>
      </c>
      <c r="D19" s="207">
        <v>100</v>
      </c>
      <c r="E19" s="207"/>
      <c r="F19" s="207">
        <f>SUM(C19*D19)/1000</f>
        <v>100</v>
      </c>
      <c r="G19" s="207"/>
      <c r="H19" s="207">
        <v>1000</v>
      </c>
      <c r="I19" s="207">
        <v>100</v>
      </c>
      <c r="J19" s="207"/>
      <c r="K19" s="207">
        <f>SUM(H19*I19)/1000</f>
        <v>100</v>
      </c>
      <c r="M19" s="83"/>
      <c r="N19" s="83"/>
    </row>
    <row r="20" spans="1:14" ht="13.5" customHeight="1">
      <c r="A20" s="170" t="s">
        <v>1100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>
        <v>6969</v>
      </c>
      <c r="M20" s="83"/>
      <c r="N20" s="83"/>
    </row>
    <row r="21" spans="1:14" ht="13.5" customHeight="1">
      <c r="A21" s="169" t="s">
        <v>282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M21" s="83"/>
      <c r="N21" s="83"/>
    </row>
    <row r="22" spans="1:14" ht="24.75" customHeight="1">
      <c r="A22" s="171" t="s">
        <v>283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M22" s="83"/>
      <c r="N22" s="83"/>
    </row>
    <row r="23" spans="1:14" ht="15" customHeight="1">
      <c r="A23" s="171" t="s">
        <v>649</v>
      </c>
      <c r="B23" s="207"/>
      <c r="C23" s="209">
        <v>141.4</v>
      </c>
      <c r="D23" s="207">
        <v>2768000</v>
      </c>
      <c r="E23" s="208"/>
      <c r="F23" s="207">
        <f>SUM(C23*D23)/1000</f>
        <v>391395.2</v>
      </c>
      <c r="G23" s="207"/>
      <c r="H23" s="209">
        <v>141.4</v>
      </c>
      <c r="I23" s="207">
        <v>2768000</v>
      </c>
      <c r="J23" s="208"/>
      <c r="K23" s="207">
        <f>SUM(H23*I23)/1000</f>
        <v>391395.2</v>
      </c>
      <c r="M23" s="83"/>
      <c r="N23" s="83"/>
    </row>
    <row r="24" spans="1:14" ht="15" customHeight="1">
      <c r="A24" s="171" t="s">
        <v>650</v>
      </c>
      <c r="B24" s="207"/>
      <c r="C24" s="209">
        <v>147.6</v>
      </c>
      <c r="D24" s="207">
        <v>1384000</v>
      </c>
      <c r="E24" s="208"/>
      <c r="F24" s="207">
        <v>204279</v>
      </c>
      <c r="G24" s="207"/>
      <c r="H24" s="209">
        <v>147.6</v>
      </c>
      <c r="I24" s="207">
        <v>1384000</v>
      </c>
      <c r="J24" s="208"/>
      <c r="K24" s="207">
        <v>204279</v>
      </c>
      <c r="M24" s="83"/>
      <c r="N24" s="83"/>
    </row>
    <row r="25" spans="1:14" ht="15" customHeight="1">
      <c r="A25" s="172" t="s">
        <v>651</v>
      </c>
      <c r="B25" s="207"/>
      <c r="C25" s="209">
        <v>147.6</v>
      </c>
      <c r="D25" s="207">
        <v>35000</v>
      </c>
      <c r="E25" s="207"/>
      <c r="F25" s="207">
        <f>SUM(C25*D25)/1000</f>
        <v>5166</v>
      </c>
      <c r="G25" s="207"/>
      <c r="H25" s="209">
        <v>147.6</v>
      </c>
      <c r="I25" s="207">
        <v>35000</v>
      </c>
      <c r="J25" s="207"/>
      <c r="K25" s="207">
        <f>SUM(H25*I25)/1000</f>
        <v>5166</v>
      </c>
      <c r="M25" s="83"/>
      <c r="N25" s="83"/>
    </row>
    <row r="26" spans="1:14" ht="24.75" customHeight="1">
      <c r="A26" s="171" t="s">
        <v>652</v>
      </c>
      <c r="B26" s="207"/>
      <c r="C26" s="207">
        <v>90</v>
      </c>
      <c r="D26" s="207">
        <v>1200000</v>
      </c>
      <c r="E26" s="210"/>
      <c r="F26" s="207">
        <f>SUM(C26*D26)/1000</f>
        <v>108000</v>
      </c>
      <c r="G26" s="207"/>
      <c r="H26" s="207">
        <v>90</v>
      </c>
      <c r="I26" s="207">
        <v>1200000</v>
      </c>
      <c r="J26" s="210"/>
      <c r="K26" s="207">
        <f>SUM(H26*I26)/1000</f>
        <v>108000</v>
      </c>
      <c r="M26" s="83"/>
      <c r="N26" s="83"/>
    </row>
    <row r="27" spans="1:14" ht="24.75" customHeight="1">
      <c r="A27" s="171" t="s">
        <v>653</v>
      </c>
      <c r="B27" s="207"/>
      <c r="C27" s="207">
        <v>90</v>
      </c>
      <c r="D27" s="207">
        <v>600000</v>
      </c>
      <c r="E27" s="210"/>
      <c r="F27" s="207">
        <f>SUM(C27*D27)/1000</f>
        <v>54000</v>
      </c>
      <c r="G27" s="207"/>
      <c r="H27" s="207">
        <v>90</v>
      </c>
      <c r="I27" s="207">
        <v>600000</v>
      </c>
      <c r="J27" s="210"/>
      <c r="K27" s="207">
        <f>SUM(H27*I27)/1000</f>
        <v>54000</v>
      </c>
      <c r="M27" s="83"/>
      <c r="N27" s="83"/>
    </row>
    <row r="28" spans="1:14" ht="24.75" customHeight="1">
      <c r="A28" s="170" t="s">
        <v>1277</v>
      </c>
      <c r="B28" s="207">
        <v>1584</v>
      </c>
      <c r="C28" s="207"/>
      <c r="D28" s="207">
        <v>46667</v>
      </c>
      <c r="E28" s="210"/>
      <c r="F28" s="207">
        <v>73920</v>
      </c>
      <c r="G28" s="207">
        <v>1584</v>
      </c>
      <c r="H28" s="207"/>
      <c r="I28" s="207">
        <v>46667</v>
      </c>
      <c r="J28" s="210"/>
      <c r="K28" s="207">
        <v>73920</v>
      </c>
      <c r="M28" s="83"/>
      <c r="N28" s="83"/>
    </row>
    <row r="29" spans="1:14" ht="13.5" customHeight="1">
      <c r="A29" s="170" t="s">
        <v>1278</v>
      </c>
      <c r="B29" s="207">
        <v>1666</v>
      </c>
      <c r="C29" s="207"/>
      <c r="D29" s="207">
        <v>23333</v>
      </c>
      <c r="E29" s="210"/>
      <c r="F29" s="207">
        <v>38873</v>
      </c>
      <c r="G29" s="207">
        <v>1666</v>
      </c>
      <c r="H29" s="207"/>
      <c r="I29" s="207">
        <v>23333</v>
      </c>
      <c r="J29" s="210"/>
      <c r="K29" s="207">
        <v>38873</v>
      </c>
      <c r="M29" s="83"/>
      <c r="N29" s="83"/>
    </row>
    <row r="30" spans="1:14" ht="13.5" customHeight="1">
      <c r="A30" s="170" t="s">
        <v>1281</v>
      </c>
      <c r="B30" s="207"/>
      <c r="C30" s="207"/>
      <c r="D30" s="207"/>
      <c r="E30" s="210"/>
      <c r="F30" s="207"/>
      <c r="G30" s="207"/>
      <c r="H30" s="207"/>
      <c r="I30" s="207"/>
      <c r="J30" s="210"/>
      <c r="K30" s="207"/>
      <c r="M30" s="83"/>
      <c r="N30" s="83"/>
    </row>
    <row r="31" spans="1:14" ht="13.5" customHeight="1">
      <c r="A31" s="170" t="s">
        <v>1282</v>
      </c>
      <c r="B31" s="207">
        <v>21</v>
      </c>
      <c r="C31" s="207"/>
      <c r="D31" s="207">
        <v>352000</v>
      </c>
      <c r="E31" s="210"/>
      <c r="F31" s="207">
        <v>7392</v>
      </c>
      <c r="G31" s="207">
        <v>21</v>
      </c>
      <c r="H31" s="207"/>
      <c r="I31" s="207">
        <v>352000</v>
      </c>
      <c r="J31" s="210"/>
      <c r="K31" s="207">
        <v>7392</v>
      </c>
      <c r="M31" s="83"/>
      <c r="N31" s="83"/>
    </row>
    <row r="32" spans="1:14" ht="13.5" customHeight="1">
      <c r="A32" s="170" t="s">
        <v>1283</v>
      </c>
      <c r="B32" s="207">
        <v>3</v>
      </c>
      <c r="C32" s="207"/>
      <c r="D32" s="207">
        <v>1286000</v>
      </c>
      <c r="E32" s="210"/>
      <c r="F32" s="207">
        <v>3858</v>
      </c>
      <c r="G32" s="207">
        <v>3</v>
      </c>
      <c r="H32" s="207"/>
      <c r="I32" s="207">
        <v>1286000</v>
      </c>
      <c r="J32" s="210"/>
      <c r="K32" s="207">
        <v>3858</v>
      </c>
      <c r="M32" s="83"/>
      <c r="N32" s="83"/>
    </row>
    <row r="33" spans="1:14" ht="13.5" customHeight="1">
      <c r="A33" s="169" t="s">
        <v>289</v>
      </c>
      <c r="B33" s="207"/>
      <c r="C33" s="207"/>
      <c r="D33" s="210"/>
      <c r="E33" s="210"/>
      <c r="F33" s="207"/>
      <c r="G33" s="207"/>
      <c r="H33" s="207"/>
      <c r="I33" s="210"/>
      <c r="J33" s="210"/>
      <c r="K33" s="207"/>
      <c r="M33" s="83"/>
      <c r="N33" s="83"/>
    </row>
    <row r="34" spans="1:14" ht="13.5" customHeight="1">
      <c r="A34" s="170" t="s">
        <v>1284</v>
      </c>
      <c r="B34" s="207"/>
      <c r="C34" s="207"/>
      <c r="D34" s="210"/>
      <c r="E34" s="210"/>
      <c r="F34" s="207">
        <v>76780</v>
      </c>
      <c r="G34" s="207"/>
      <c r="H34" s="207"/>
      <c r="I34" s="210"/>
      <c r="J34" s="210"/>
      <c r="K34" s="207">
        <v>64748</v>
      </c>
      <c r="M34" s="83"/>
      <c r="N34" s="83"/>
    </row>
    <row r="35" spans="1:14" ht="13.5" customHeight="1">
      <c r="A35" s="170" t="s">
        <v>290</v>
      </c>
      <c r="B35" s="207">
        <v>59743</v>
      </c>
      <c r="C35" s="211">
        <v>11.9486</v>
      </c>
      <c r="D35" s="207">
        <v>3950000</v>
      </c>
      <c r="E35" s="207"/>
      <c r="F35" s="207">
        <f>SUM(C35*D35)/1000</f>
        <v>47196.97</v>
      </c>
      <c r="G35" s="207">
        <v>59743</v>
      </c>
      <c r="H35" s="211">
        <v>11.9486</v>
      </c>
      <c r="I35" s="207">
        <v>3950000</v>
      </c>
      <c r="J35" s="207"/>
      <c r="K35" s="207">
        <f>SUM(H35*I35)/1000</f>
        <v>47196.97</v>
      </c>
      <c r="M35" s="83"/>
      <c r="N35" s="83"/>
    </row>
    <row r="36" spans="1:14" ht="13.5" customHeight="1">
      <c r="A36" s="170" t="s">
        <v>291</v>
      </c>
      <c r="B36" s="207">
        <v>59743</v>
      </c>
      <c r="C36" s="207"/>
      <c r="D36" s="207">
        <v>300</v>
      </c>
      <c r="E36" s="207"/>
      <c r="F36" s="207">
        <f>SUM(B36*D36)/1000</f>
        <v>17922.9</v>
      </c>
      <c r="G36" s="207">
        <v>59743</v>
      </c>
      <c r="H36" s="207"/>
      <c r="I36" s="207">
        <v>300</v>
      </c>
      <c r="J36" s="207"/>
      <c r="K36" s="207">
        <f>SUM(G36*I36)/1000</f>
        <v>17922.9</v>
      </c>
      <c r="M36" s="83"/>
      <c r="N36" s="83"/>
    </row>
    <row r="37" spans="1:14" ht="24.75" customHeight="1">
      <c r="A37" s="171" t="s">
        <v>292</v>
      </c>
      <c r="B37" s="207">
        <v>8955</v>
      </c>
      <c r="C37" s="207"/>
      <c r="D37" s="207">
        <v>1200</v>
      </c>
      <c r="E37" s="207"/>
      <c r="F37" s="207">
        <f>SUM(B37*D37)/1000</f>
        <v>10746</v>
      </c>
      <c r="G37" s="207">
        <v>8955</v>
      </c>
      <c r="H37" s="207"/>
      <c r="I37" s="207">
        <v>1200</v>
      </c>
      <c r="J37" s="207"/>
      <c r="K37" s="207">
        <f>SUM(G37*I37)/1000</f>
        <v>10746</v>
      </c>
      <c r="M37" s="83"/>
      <c r="N37" s="83"/>
    </row>
    <row r="38" spans="1:14" ht="13.5" customHeight="1">
      <c r="A38" s="170" t="s">
        <v>293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M38" s="83"/>
      <c r="N38" s="83"/>
    </row>
    <row r="39" spans="1:14" ht="13.5" customHeight="1">
      <c r="A39" s="170" t="s">
        <v>294</v>
      </c>
      <c r="B39" s="207"/>
      <c r="C39" s="207">
        <v>1</v>
      </c>
      <c r="D39" s="207">
        <v>2099400</v>
      </c>
      <c r="E39" s="207"/>
      <c r="F39" s="207">
        <f aca="true" t="shared" si="0" ref="F39:F44">SUM(C39*D39)/1000</f>
        <v>2099.4</v>
      </c>
      <c r="G39" s="207"/>
      <c r="H39" s="207">
        <v>1</v>
      </c>
      <c r="I39" s="207">
        <v>2099400</v>
      </c>
      <c r="J39" s="207"/>
      <c r="K39" s="207">
        <f aca="true" t="shared" si="1" ref="K39:K44">SUM(H39*I39)/1000</f>
        <v>2099.4</v>
      </c>
      <c r="M39" s="83"/>
      <c r="N39" s="83"/>
    </row>
    <row r="40" spans="1:14" ht="13.5" customHeight="1">
      <c r="A40" s="170" t="s">
        <v>295</v>
      </c>
      <c r="B40" s="212"/>
      <c r="C40" s="207">
        <v>420</v>
      </c>
      <c r="D40" s="207">
        <v>60896</v>
      </c>
      <c r="E40" s="207"/>
      <c r="F40" s="207">
        <f t="shared" si="0"/>
        <v>25576.32</v>
      </c>
      <c r="G40" s="212"/>
      <c r="H40" s="207">
        <v>420</v>
      </c>
      <c r="I40" s="207">
        <v>60896</v>
      </c>
      <c r="J40" s="207"/>
      <c r="K40" s="207">
        <f t="shared" si="1"/>
        <v>25576.32</v>
      </c>
      <c r="M40" s="83"/>
      <c r="N40" s="83"/>
    </row>
    <row r="41" spans="1:14" ht="13.5" customHeight="1">
      <c r="A41" s="170" t="s">
        <v>296</v>
      </c>
      <c r="B41" s="212"/>
      <c r="C41" s="207">
        <v>65</v>
      </c>
      <c r="D41" s="207">
        <v>188500</v>
      </c>
      <c r="E41" s="207"/>
      <c r="F41" s="207">
        <f t="shared" si="0"/>
        <v>12252.5</v>
      </c>
      <c r="G41" s="212"/>
      <c r="H41" s="207">
        <v>65</v>
      </c>
      <c r="I41" s="207">
        <v>188500</v>
      </c>
      <c r="J41" s="207"/>
      <c r="K41" s="207">
        <f t="shared" si="1"/>
        <v>12252.5</v>
      </c>
      <c r="M41" s="83"/>
      <c r="N41" s="83"/>
    </row>
    <row r="42" spans="1:14" ht="13.5" customHeight="1">
      <c r="A42" s="171" t="s">
        <v>297</v>
      </c>
      <c r="B42" s="213"/>
      <c r="C42" s="207">
        <v>80</v>
      </c>
      <c r="D42" s="207">
        <v>163500</v>
      </c>
      <c r="E42" s="207"/>
      <c r="F42" s="207">
        <f t="shared" si="0"/>
        <v>13080</v>
      </c>
      <c r="G42" s="213"/>
      <c r="H42" s="207">
        <v>80</v>
      </c>
      <c r="I42" s="207">
        <v>163500</v>
      </c>
      <c r="J42" s="207"/>
      <c r="K42" s="207">
        <f t="shared" si="1"/>
        <v>13080</v>
      </c>
      <c r="M42" s="83"/>
      <c r="N42" s="83"/>
    </row>
    <row r="43" spans="1:14" ht="13.5" customHeight="1">
      <c r="A43" s="171" t="s">
        <v>317</v>
      </c>
      <c r="B43" s="213"/>
      <c r="C43" s="207">
        <v>5</v>
      </c>
      <c r="D43" s="207">
        <v>550000</v>
      </c>
      <c r="E43" s="207"/>
      <c r="F43" s="207">
        <f t="shared" si="0"/>
        <v>2750</v>
      </c>
      <c r="G43" s="213"/>
      <c r="H43" s="207">
        <v>5</v>
      </c>
      <c r="I43" s="207">
        <v>550000</v>
      </c>
      <c r="J43" s="207"/>
      <c r="K43" s="207">
        <f t="shared" si="1"/>
        <v>2750</v>
      </c>
      <c r="M43" s="83"/>
      <c r="N43" s="83"/>
    </row>
    <row r="44" spans="1:14" ht="13.5" customHeight="1">
      <c r="A44" s="171" t="s">
        <v>321</v>
      </c>
      <c r="B44" s="213"/>
      <c r="C44" s="207">
        <v>21</v>
      </c>
      <c r="D44" s="207">
        <v>372000</v>
      </c>
      <c r="E44" s="207"/>
      <c r="F44" s="207">
        <f t="shared" si="0"/>
        <v>7812</v>
      </c>
      <c r="G44" s="213"/>
      <c r="H44" s="207">
        <v>21</v>
      </c>
      <c r="I44" s="207">
        <v>372000</v>
      </c>
      <c r="J44" s="207"/>
      <c r="K44" s="207">
        <f t="shared" si="1"/>
        <v>7812</v>
      </c>
      <c r="M44" s="83"/>
      <c r="N44" s="83"/>
    </row>
    <row r="45" spans="1:14" ht="15" customHeight="1">
      <c r="A45" s="171" t="s">
        <v>322</v>
      </c>
      <c r="B45" s="213"/>
      <c r="C45" s="207"/>
      <c r="D45" s="207"/>
      <c r="E45" s="207"/>
      <c r="F45" s="207"/>
      <c r="G45" s="213"/>
      <c r="H45" s="207"/>
      <c r="I45" s="207"/>
      <c r="J45" s="207"/>
      <c r="K45" s="207"/>
      <c r="M45" s="83"/>
      <c r="N45" s="83"/>
    </row>
    <row r="46" spans="1:14" ht="13.5" customHeight="1">
      <c r="A46" s="170" t="s">
        <v>323</v>
      </c>
      <c r="B46" s="214"/>
      <c r="C46" s="214">
        <v>275</v>
      </c>
      <c r="D46" s="173">
        <v>494100</v>
      </c>
      <c r="E46" s="173"/>
      <c r="F46" s="207">
        <f>SUM(C46*D46)/1000</f>
        <v>135877.5</v>
      </c>
      <c r="G46" s="214"/>
      <c r="H46" s="214">
        <v>275</v>
      </c>
      <c r="I46" s="173">
        <v>494100</v>
      </c>
      <c r="J46" s="173"/>
      <c r="K46" s="207">
        <f>SUM(H46*I46)/1000</f>
        <v>135877.5</v>
      </c>
      <c r="M46" s="83"/>
      <c r="N46" s="83"/>
    </row>
    <row r="47" spans="1:14" ht="13.5" customHeight="1">
      <c r="A47" s="170" t="s">
        <v>324</v>
      </c>
      <c r="B47" s="214"/>
      <c r="C47" s="215">
        <v>6</v>
      </c>
      <c r="D47" s="174">
        <v>741150</v>
      </c>
      <c r="E47" s="174"/>
      <c r="F47" s="207">
        <f>SUM(C47*D47)/1000</f>
        <v>4446.9</v>
      </c>
      <c r="G47" s="214"/>
      <c r="H47" s="215">
        <v>6</v>
      </c>
      <c r="I47" s="174">
        <v>741150</v>
      </c>
      <c r="J47" s="174"/>
      <c r="K47" s="207">
        <f>SUM(H47*I47)/1000</f>
        <v>4446.9</v>
      </c>
      <c r="M47" s="83"/>
      <c r="N47" s="83"/>
    </row>
    <row r="48" spans="1:11" ht="13.5" customHeight="1">
      <c r="A48" s="170" t="s">
        <v>654</v>
      </c>
      <c r="B48" s="216"/>
      <c r="C48" s="207"/>
      <c r="D48" s="207"/>
      <c r="E48" s="207"/>
      <c r="F48" s="207">
        <f>SUM(C48*D48)/1000</f>
        <v>0</v>
      </c>
      <c r="G48" s="216"/>
      <c r="H48" s="207"/>
      <c r="I48" s="207"/>
      <c r="J48" s="207"/>
      <c r="K48" s="207">
        <f>SUM(H48*I48)/1000</f>
        <v>0</v>
      </c>
    </row>
    <row r="49" spans="1:11" ht="13.5" customHeight="1">
      <c r="A49" s="170" t="s">
        <v>325</v>
      </c>
      <c r="B49" s="216"/>
      <c r="C49" s="207"/>
      <c r="D49" s="207"/>
      <c r="E49" s="207"/>
      <c r="F49" s="207">
        <f>SUM(C49*D49)/1000</f>
        <v>0</v>
      </c>
      <c r="G49" s="216"/>
      <c r="H49" s="207"/>
      <c r="I49" s="207"/>
      <c r="J49" s="207"/>
      <c r="K49" s="207">
        <f>SUM(H49*I49)/1000</f>
        <v>0</v>
      </c>
    </row>
    <row r="50" spans="1:11" ht="24.75" customHeight="1">
      <c r="A50" s="171" t="s">
        <v>326</v>
      </c>
      <c r="B50" s="212"/>
      <c r="C50" s="207"/>
      <c r="D50" s="207"/>
      <c r="E50" s="207"/>
      <c r="F50" s="207"/>
      <c r="G50" s="212"/>
      <c r="H50" s="207"/>
      <c r="I50" s="207"/>
      <c r="J50" s="207"/>
      <c r="K50" s="207"/>
    </row>
    <row r="51" spans="1:11" ht="15" customHeight="1">
      <c r="A51" s="171" t="s">
        <v>327</v>
      </c>
      <c r="B51" s="212"/>
      <c r="C51" s="208">
        <v>37.25</v>
      </c>
      <c r="D51" s="207">
        <v>2606040</v>
      </c>
      <c r="E51" s="207"/>
      <c r="F51" s="207">
        <f>SUM(C51*D51)/1000</f>
        <v>97074.99</v>
      </c>
      <c r="G51" s="212"/>
      <c r="H51" s="208">
        <v>37.25</v>
      </c>
      <c r="I51" s="207">
        <v>2606040</v>
      </c>
      <c r="J51" s="207"/>
      <c r="K51" s="207">
        <f>SUM(H51*I51)/1000</f>
        <v>97074.99</v>
      </c>
    </row>
    <row r="52" spans="1:13" ht="13.5" customHeight="1">
      <c r="A52" s="170" t="s">
        <v>328</v>
      </c>
      <c r="B52" s="212"/>
      <c r="C52" s="207"/>
      <c r="D52" s="207"/>
      <c r="E52" s="217"/>
      <c r="F52" s="207">
        <v>12064</v>
      </c>
      <c r="G52" s="212"/>
      <c r="H52" s="207"/>
      <c r="I52" s="207"/>
      <c r="J52" s="217"/>
      <c r="K52" s="207">
        <v>12064</v>
      </c>
      <c r="M52" s="218"/>
    </row>
    <row r="53" spans="1:13" ht="13.5" customHeight="1">
      <c r="A53" s="699" t="s">
        <v>451</v>
      </c>
      <c r="B53" s="212"/>
      <c r="C53" s="207"/>
      <c r="D53" s="207"/>
      <c r="E53" s="217"/>
      <c r="F53" s="207"/>
      <c r="G53" s="212"/>
      <c r="H53" s="207"/>
      <c r="I53" s="207"/>
      <c r="J53" s="217"/>
      <c r="K53" s="207">
        <v>30370</v>
      </c>
      <c r="M53" s="218"/>
    </row>
    <row r="54" spans="1:13" ht="13.5" customHeight="1">
      <c r="A54" s="699" t="s">
        <v>436</v>
      </c>
      <c r="B54" s="212"/>
      <c r="C54" s="207"/>
      <c r="D54" s="207"/>
      <c r="E54" s="217"/>
      <c r="F54" s="207"/>
      <c r="G54" s="212"/>
      <c r="H54" s="207"/>
      <c r="I54" s="207"/>
      <c r="J54" s="217"/>
      <c r="K54" s="207">
        <v>25938</v>
      </c>
      <c r="M54" s="218"/>
    </row>
    <row r="55" spans="1:13" ht="13.5" customHeight="1">
      <c r="A55" s="699" t="s">
        <v>437</v>
      </c>
      <c r="B55" s="212"/>
      <c r="C55" s="207"/>
      <c r="D55" s="207"/>
      <c r="E55" s="217"/>
      <c r="F55" s="207"/>
      <c r="G55" s="212"/>
      <c r="H55" s="207"/>
      <c r="I55" s="207"/>
      <c r="J55" s="217"/>
      <c r="K55" s="207">
        <v>20</v>
      </c>
      <c r="M55" s="218"/>
    </row>
    <row r="56" spans="1:13" ht="13.5" customHeight="1">
      <c r="A56" s="700" t="s">
        <v>655</v>
      </c>
      <c r="B56" s="207"/>
      <c r="C56" s="207"/>
      <c r="D56" s="210"/>
      <c r="E56" s="219"/>
      <c r="F56" s="207"/>
      <c r="G56" s="207"/>
      <c r="H56" s="207"/>
      <c r="I56" s="210"/>
      <c r="J56" s="219"/>
      <c r="K56" s="207"/>
      <c r="M56" s="218"/>
    </row>
    <row r="57" spans="1:13" ht="13.5" customHeight="1">
      <c r="A57" s="699" t="s">
        <v>656</v>
      </c>
      <c r="B57" s="208">
        <v>96.92</v>
      </c>
      <c r="C57" s="207"/>
      <c r="D57" s="207">
        <v>1632000</v>
      </c>
      <c r="E57" s="219"/>
      <c r="F57" s="207">
        <v>158173</v>
      </c>
      <c r="G57" s="208">
        <v>96.92</v>
      </c>
      <c r="H57" s="207"/>
      <c r="I57" s="207">
        <v>1632000</v>
      </c>
      <c r="J57" s="219"/>
      <c r="K57" s="207">
        <v>158173</v>
      </c>
      <c r="M57" s="562"/>
    </row>
    <row r="58" spans="1:13" ht="13.5" customHeight="1">
      <c r="A58" s="699" t="s">
        <v>657</v>
      </c>
      <c r="B58" s="207"/>
      <c r="C58" s="207"/>
      <c r="D58" s="210"/>
      <c r="E58" s="219"/>
      <c r="F58" s="207">
        <v>72033</v>
      </c>
      <c r="G58" s="207"/>
      <c r="H58" s="207"/>
      <c r="I58" s="210"/>
      <c r="J58" s="219"/>
      <c r="K58" s="207">
        <v>72033</v>
      </c>
      <c r="M58" s="562"/>
    </row>
    <row r="59" spans="1:13" ht="13.5" customHeight="1">
      <c r="A59" s="701" t="s">
        <v>329</v>
      </c>
      <c r="B59" s="212"/>
      <c r="C59" s="207"/>
      <c r="D59" s="217"/>
      <c r="E59" s="217"/>
      <c r="F59" s="207"/>
      <c r="G59" s="212"/>
      <c r="H59" s="207"/>
      <c r="I59" s="217"/>
      <c r="J59" s="217"/>
      <c r="K59" s="207"/>
      <c r="M59" s="563"/>
    </row>
    <row r="60" spans="1:13" ht="13.5" customHeight="1">
      <c r="A60" s="577" t="s">
        <v>330</v>
      </c>
      <c r="B60" s="212"/>
      <c r="C60" s="207"/>
      <c r="D60" s="217"/>
      <c r="E60" s="217"/>
      <c r="F60" s="207">
        <v>102200</v>
      </c>
      <c r="G60" s="212"/>
      <c r="H60" s="207"/>
      <c r="I60" s="217"/>
      <c r="J60" s="217"/>
      <c r="K60" s="207">
        <v>102200</v>
      </c>
      <c r="M60" s="563"/>
    </row>
    <row r="61" spans="1:13" ht="24.75" customHeight="1">
      <c r="A61" s="577" t="s">
        <v>331</v>
      </c>
      <c r="B61" s="212"/>
      <c r="C61" s="207"/>
      <c r="D61" s="217"/>
      <c r="E61" s="217"/>
      <c r="F61" s="207">
        <v>112600</v>
      </c>
      <c r="G61" s="212"/>
      <c r="H61" s="207"/>
      <c r="I61" s="217"/>
      <c r="J61" s="217"/>
      <c r="K61" s="207">
        <v>112600</v>
      </c>
      <c r="M61" s="563"/>
    </row>
    <row r="62" spans="1:13" ht="13.5" customHeight="1">
      <c r="A62" s="577" t="s">
        <v>332</v>
      </c>
      <c r="B62" s="212">
        <v>58978</v>
      </c>
      <c r="C62" s="207"/>
      <c r="D62" s="217">
        <v>400</v>
      </c>
      <c r="E62" s="217"/>
      <c r="F62" s="207">
        <f>SUM(B62*D62)/1000</f>
        <v>23591.2</v>
      </c>
      <c r="G62" s="212">
        <v>58978</v>
      </c>
      <c r="H62" s="207"/>
      <c r="I62" s="217">
        <v>400</v>
      </c>
      <c r="J62" s="217"/>
      <c r="K62" s="207">
        <f>SUM(G62*I62)/1000</f>
        <v>23591.2</v>
      </c>
      <c r="M62" s="563"/>
    </row>
    <row r="63" spans="1:13" ht="24.75" customHeight="1">
      <c r="A63" s="577" t="s">
        <v>333</v>
      </c>
      <c r="B63" s="212"/>
      <c r="C63" s="207"/>
      <c r="D63" s="207"/>
      <c r="E63" s="217"/>
      <c r="F63" s="207">
        <v>171975</v>
      </c>
      <c r="G63" s="212"/>
      <c r="H63" s="207"/>
      <c r="I63" s="207"/>
      <c r="J63" s="217"/>
      <c r="K63" s="207">
        <v>171975</v>
      </c>
      <c r="M63" s="562"/>
    </row>
    <row r="64" spans="1:13" ht="19.5" customHeight="1">
      <c r="A64" s="577" t="s">
        <v>452</v>
      </c>
      <c r="B64" s="212"/>
      <c r="C64" s="207"/>
      <c r="D64" s="207"/>
      <c r="E64" s="217"/>
      <c r="F64" s="207"/>
      <c r="G64" s="212"/>
      <c r="H64" s="207"/>
      <c r="I64" s="207"/>
      <c r="J64" s="217"/>
      <c r="K64" s="207">
        <v>590</v>
      </c>
      <c r="M64" s="562"/>
    </row>
    <row r="65" spans="1:11" ht="15" customHeight="1">
      <c r="A65" s="577" t="s">
        <v>334</v>
      </c>
      <c r="B65" s="212"/>
      <c r="C65" s="207"/>
      <c r="D65" s="207"/>
      <c r="E65" s="207"/>
      <c r="F65" s="207"/>
      <c r="G65" s="212"/>
      <c r="H65" s="207"/>
      <c r="I65" s="207"/>
      <c r="J65" s="207"/>
      <c r="K65" s="207"/>
    </row>
    <row r="66" spans="1:11" ht="15" customHeight="1">
      <c r="A66" s="577" t="s">
        <v>335</v>
      </c>
      <c r="B66" s="212"/>
      <c r="C66" s="207"/>
      <c r="D66" s="207"/>
      <c r="E66" s="207"/>
      <c r="F66" s="207"/>
      <c r="G66" s="212"/>
      <c r="H66" s="207"/>
      <c r="I66" s="207"/>
      <c r="J66" s="207"/>
      <c r="K66" s="207"/>
    </row>
    <row r="67" spans="1:11" ht="15" customHeight="1">
      <c r="A67" s="175" t="s">
        <v>660</v>
      </c>
      <c r="B67" s="212"/>
      <c r="C67" s="207"/>
      <c r="D67" s="207"/>
      <c r="E67" s="207"/>
      <c r="F67" s="207">
        <v>246000</v>
      </c>
      <c r="G67" s="212"/>
      <c r="H67" s="207"/>
      <c r="I67" s="207"/>
      <c r="J67" s="207"/>
      <c r="K67" s="207">
        <v>246000</v>
      </c>
    </row>
    <row r="68" spans="1:11" ht="15" customHeight="1">
      <c r="A68" s="578" t="s">
        <v>1097</v>
      </c>
      <c r="B68" s="212"/>
      <c r="C68" s="207"/>
      <c r="D68" s="207"/>
      <c r="E68" s="207"/>
      <c r="F68" s="207"/>
      <c r="G68" s="212"/>
      <c r="H68" s="207"/>
      <c r="I68" s="207"/>
      <c r="J68" s="207"/>
      <c r="K68" s="207"/>
    </row>
    <row r="69" spans="1:11" ht="24" customHeight="1">
      <c r="A69" s="577" t="s">
        <v>1098</v>
      </c>
      <c r="B69" s="212"/>
      <c r="C69" s="207"/>
      <c r="D69" s="207"/>
      <c r="E69" s="207"/>
      <c r="F69" s="207"/>
      <c r="G69" s="212"/>
      <c r="H69" s="207"/>
      <c r="I69" s="207"/>
      <c r="J69" s="207"/>
      <c r="K69" s="207">
        <v>332948</v>
      </c>
    </row>
    <row r="70" spans="1:11" ht="17.25" customHeight="1">
      <c r="A70" s="577" t="s">
        <v>942</v>
      </c>
      <c r="B70" s="212"/>
      <c r="C70" s="207"/>
      <c r="D70" s="207"/>
      <c r="E70" s="207"/>
      <c r="F70" s="207"/>
      <c r="G70" s="212"/>
      <c r="H70" s="207"/>
      <c r="I70" s="207"/>
      <c r="J70" s="207"/>
      <c r="K70" s="207">
        <v>49379</v>
      </c>
    </row>
    <row r="71" spans="1:11" ht="17.25" customHeight="1">
      <c r="A71" s="577" t="s">
        <v>817</v>
      </c>
      <c r="B71" s="212"/>
      <c r="C71" s="207"/>
      <c r="D71" s="207"/>
      <c r="E71" s="207"/>
      <c r="F71" s="207"/>
      <c r="G71" s="212"/>
      <c r="H71" s="207"/>
      <c r="I71" s="207"/>
      <c r="J71" s="207"/>
      <c r="K71" s="207">
        <v>5829</v>
      </c>
    </row>
    <row r="72" spans="1:11" ht="17.25" customHeight="1">
      <c r="A72" s="577" t="s">
        <v>434</v>
      </c>
      <c r="B72" s="212"/>
      <c r="C72" s="207"/>
      <c r="D72" s="207"/>
      <c r="E72" s="207"/>
      <c r="F72" s="207"/>
      <c r="G72" s="212"/>
      <c r="H72" s="207"/>
      <c r="I72" s="207"/>
      <c r="J72" s="207"/>
      <c r="K72" s="207">
        <v>27342</v>
      </c>
    </row>
    <row r="73" spans="1:11" ht="17.25" customHeight="1">
      <c r="A73" s="577" t="s">
        <v>435</v>
      </c>
      <c r="B73" s="212"/>
      <c r="C73" s="207"/>
      <c r="D73" s="207"/>
      <c r="E73" s="207"/>
      <c r="F73" s="207"/>
      <c r="G73" s="212"/>
      <c r="H73" s="207"/>
      <c r="I73" s="207"/>
      <c r="J73" s="207"/>
      <c r="K73" s="207">
        <v>500</v>
      </c>
    </row>
    <row r="74" spans="1:14" s="85" customFormat="1" ht="13.5" customHeight="1">
      <c r="A74" s="176" t="s">
        <v>336</v>
      </c>
      <c r="B74" s="177"/>
      <c r="C74" s="177"/>
      <c r="D74" s="177"/>
      <c r="E74" s="177"/>
      <c r="F74" s="177">
        <f>SUM(F4:F67)</f>
        <v>2239234.88</v>
      </c>
      <c r="G74" s="177"/>
      <c r="H74" s="177"/>
      <c r="I74" s="177"/>
      <c r="J74" s="177"/>
      <c r="K74" s="177">
        <f>SUM(K4:K73)</f>
        <v>2707087.88</v>
      </c>
      <c r="L74" s="84"/>
      <c r="M74" s="84"/>
      <c r="N74" s="84"/>
    </row>
    <row r="75" spans="1:6" ht="12.75" customHeight="1">
      <c r="A75" s="86"/>
      <c r="B75" s="86"/>
      <c r="C75" s="86"/>
      <c r="D75" s="86"/>
      <c r="E75" s="86"/>
      <c r="F75" s="86"/>
    </row>
    <row r="76" spans="1:6" ht="18" customHeight="1">
      <c r="A76" s="87"/>
      <c r="B76" s="87"/>
      <c r="C76" s="87"/>
      <c r="D76" s="87"/>
      <c r="E76" s="87"/>
      <c r="F76" s="87"/>
    </row>
    <row r="77" ht="12" hidden="1"/>
    <row r="78" ht="12" hidden="1"/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4330708661417323" header="0.3937007874015748" footer="0.3937007874015748"/>
  <pageSetup horizontalDpi="300" verticalDpi="300" orientation="landscape" paperSize="9" scale="70" r:id="rId1"/>
  <headerFooter alignWithMargins="0">
    <oddHeader>&amp;C&amp;"Times New Roman,Félkövér dőlt"ÁLLAMI HOZZÁJÁRULÁSOK  ÉS SZJA BEVÉTEL 2015. ÉVBEN&amp;R&amp;"Times New Roman,Dőlt"3. melléklet
Adatok: E Ft-ba&amp;"Times New Roman,Normál"n</oddHeader>
    <oddFooter>&amp;C&amp;P</oddFooter>
  </headerFooter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.375" style="31" customWidth="1"/>
    <col min="2" max="2" width="50.50390625" style="31" customWidth="1"/>
    <col min="3" max="3" width="15.625" style="31" customWidth="1"/>
    <col min="4" max="5" width="16.375" style="31" customWidth="1"/>
    <col min="6" max="16384" width="9.375" style="31" customWidth="1"/>
  </cols>
  <sheetData>
    <row r="2" ht="12.75" thickBot="1"/>
    <row r="3" spans="1:5" s="90" customFormat="1" ht="49.5" customHeight="1" thickBot="1">
      <c r="A3" s="220" t="s">
        <v>1080</v>
      </c>
      <c r="B3" s="220" t="s">
        <v>686</v>
      </c>
      <c r="C3" s="220" t="s">
        <v>741</v>
      </c>
      <c r="D3" s="220" t="s">
        <v>739</v>
      </c>
      <c r="E3" s="220" t="s">
        <v>742</v>
      </c>
    </row>
    <row r="4" spans="1:5" s="90" customFormat="1" ht="19.5" customHeight="1">
      <c r="A4" s="163"/>
      <c r="B4" s="164" t="s">
        <v>720</v>
      </c>
      <c r="C4" s="164"/>
      <c r="D4" s="164"/>
      <c r="E4" s="163"/>
    </row>
    <row r="5" spans="1:5" s="95" customFormat="1" ht="12.75">
      <c r="A5" s="92" t="s">
        <v>1143</v>
      </c>
      <c r="B5" s="93" t="s">
        <v>338</v>
      </c>
      <c r="C5" s="94">
        <v>3027557</v>
      </c>
      <c r="D5" s="601">
        <v>210122</v>
      </c>
      <c r="E5" s="94">
        <f>SUM(C5:D5)</f>
        <v>3237679</v>
      </c>
    </row>
    <row r="6" spans="1:5" s="41" customFormat="1" ht="12.75">
      <c r="A6" s="92" t="s">
        <v>1144</v>
      </c>
      <c r="B6" s="96" t="s">
        <v>339</v>
      </c>
      <c r="C6" s="97">
        <v>854650</v>
      </c>
      <c r="D6" s="602">
        <v>62893</v>
      </c>
      <c r="E6" s="94">
        <f>SUM(C6:D6)</f>
        <v>917543</v>
      </c>
    </row>
    <row r="7" spans="1:5" s="41" customFormat="1" ht="12.75">
      <c r="A7" s="92" t="s">
        <v>1145</v>
      </c>
      <c r="B7" s="98" t="s">
        <v>340</v>
      </c>
      <c r="C7" s="97">
        <v>4991888</v>
      </c>
      <c r="D7" s="603">
        <v>467803</v>
      </c>
      <c r="E7" s="94">
        <f>SUM(C7:D7)</f>
        <v>5459691</v>
      </c>
    </row>
    <row r="8" spans="1:5" s="41" customFormat="1" ht="12.75">
      <c r="A8" s="92" t="s">
        <v>1146</v>
      </c>
      <c r="B8" s="98" t="s">
        <v>722</v>
      </c>
      <c r="C8" s="99">
        <v>211954</v>
      </c>
      <c r="D8" s="603">
        <v>-3141</v>
      </c>
      <c r="E8" s="94">
        <f>SUM(C8:D8)</f>
        <v>208813</v>
      </c>
    </row>
    <row r="9" spans="1:5" s="41" customFormat="1" ht="12.75">
      <c r="A9" s="92" t="s">
        <v>1147</v>
      </c>
      <c r="B9" s="98" t="s">
        <v>341</v>
      </c>
      <c r="C9" s="97">
        <v>1620188</v>
      </c>
      <c r="D9" s="603">
        <v>12728</v>
      </c>
      <c r="E9" s="94">
        <f>SUM(C9:D9)</f>
        <v>1632916</v>
      </c>
    </row>
    <row r="10" spans="1:5" s="41" customFormat="1" ht="13.5">
      <c r="A10" s="92"/>
      <c r="B10" s="91" t="s">
        <v>344</v>
      </c>
      <c r="C10" s="100">
        <f>SUM(C5:C9)</f>
        <v>10706237</v>
      </c>
      <c r="D10" s="100">
        <v>755544</v>
      </c>
      <c r="E10" s="100">
        <f>SUM(E5:E9)</f>
        <v>11456642</v>
      </c>
    </row>
    <row r="11" spans="1:5" s="41" customFormat="1" ht="12.75">
      <c r="A11" s="102" t="s">
        <v>1148</v>
      </c>
      <c r="B11" s="97" t="s">
        <v>345</v>
      </c>
      <c r="C11" s="97">
        <v>5034714</v>
      </c>
      <c r="D11" s="97">
        <v>246708</v>
      </c>
      <c r="E11" s="97">
        <f>SUM(C11:D11)</f>
        <v>5281422</v>
      </c>
    </row>
    <row r="12" spans="1:5" s="41" customFormat="1" ht="12.75">
      <c r="A12" s="102" t="s">
        <v>1149</v>
      </c>
      <c r="B12" s="97" t="s">
        <v>346</v>
      </c>
      <c r="C12" s="97">
        <v>694941</v>
      </c>
      <c r="D12" s="97">
        <v>502506</v>
      </c>
      <c r="E12" s="97">
        <f>SUM(C12:D12)</f>
        <v>1197447</v>
      </c>
    </row>
    <row r="13" spans="1:5" s="41" customFormat="1" ht="12.75">
      <c r="A13" s="102" t="s">
        <v>1150</v>
      </c>
      <c r="B13" s="97" t="s">
        <v>723</v>
      </c>
      <c r="C13" s="99">
        <v>850585</v>
      </c>
      <c r="D13" s="97">
        <v>144560</v>
      </c>
      <c r="E13" s="97">
        <f>SUM(C13:D13)</f>
        <v>995145</v>
      </c>
    </row>
    <row r="14" spans="1:5" s="41" customFormat="1" ht="13.5">
      <c r="A14" s="102"/>
      <c r="B14" s="101" t="s">
        <v>347</v>
      </c>
      <c r="C14" s="103">
        <f>SUM(C11:C13)</f>
        <v>6580240</v>
      </c>
      <c r="D14" s="103">
        <v>898782</v>
      </c>
      <c r="E14" s="103">
        <f>SUM(E11:E13)</f>
        <v>7474014</v>
      </c>
    </row>
    <row r="15" spans="1:5" s="41" customFormat="1" ht="18" customHeight="1">
      <c r="A15" s="102" t="s">
        <v>1151</v>
      </c>
      <c r="B15" s="101" t="s">
        <v>1152</v>
      </c>
      <c r="C15" s="103">
        <f>SUM(C14+C10)</f>
        <v>17286477</v>
      </c>
      <c r="D15" s="103">
        <v>1654326</v>
      </c>
      <c r="E15" s="103">
        <f>SUM(E14+E10)</f>
        <v>18930656</v>
      </c>
    </row>
    <row r="16" spans="1:5" s="41" customFormat="1" ht="16.5" customHeight="1">
      <c r="A16" s="102" t="s">
        <v>1153</v>
      </c>
      <c r="B16" s="101" t="s">
        <v>724</v>
      </c>
      <c r="C16" s="103"/>
      <c r="D16" s="705">
        <v>63709</v>
      </c>
      <c r="E16" s="103">
        <f>SUM(D16)</f>
        <v>63709</v>
      </c>
    </row>
    <row r="17" spans="1:5" s="42" customFormat="1" ht="18.75" customHeight="1">
      <c r="A17" s="104"/>
      <c r="B17" s="105" t="s">
        <v>348</v>
      </c>
      <c r="C17" s="106">
        <f>SUM(C15:C16)</f>
        <v>17286477</v>
      </c>
      <c r="D17" s="106">
        <v>1718035</v>
      </c>
      <c r="E17" s="106">
        <f>SUM(E15:E16)</f>
        <v>18994365</v>
      </c>
    </row>
    <row r="18" spans="1:5" s="30" customFormat="1" ht="12.75">
      <c r="A18" s="107"/>
      <c r="B18" s="108"/>
      <c r="C18" s="108"/>
      <c r="D18" s="108"/>
      <c r="E18" s="108"/>
    </row>
    <row r="19" spans="1:5" s="1" customFormat="1" ht="12.75">
      <c r="A19" s="107"/>
      <c r="B19" s="107"/>
      <c r="C19" s="107"/>
      <c r="D19" s="107"/>
      <c r="E19" s="107"/>
    </row>
    <row r="20" spans="1:5" s="1" customFormat="1" ht="12.75">
      <c r="A20" s="107"/>
      <c r="B20" s="107"/>
      <c r="C20" s="107"/>
      <c r="D20" s="107"/>
      <c r="E20" s="107"/>
    </row>
    <row r="21" spans="1:5" s="1" customFormat="1" ht="12.75">
      <c r="A21" s="107"/>
      <c r="B21" s="107"/>
      <c r="C21" s="107"/>
      <c r="D21" s="107"/>
      <c r="E21" s="107"/>
    </row>
    <row r="22" spans="1:5" s="1" customFormat="1" ht="12.75">
      <c r="A22" s="107"/>
      <c r="B22" s="107"/>
      <c r="C22" s="107"/>
      <c r="D22" s="107"/>
      <c r="E22" s="107"/>
    </row>
    <row r="23" spans="1:5" s="1" customFormat="1" ht="12.75">
      <c r="A23" s="107"/>
      <c r="B23" s="107"/>
      <c r="C23" s="107"/>
      <c r="D23" s="107"/>
      <c r="E23" s="107"/>
    </row>
    <row r="24" spans="1:5" s="1" customFormat="1" ht="12.75">
      <c r="A24" s="107"/>
      <c r="B24" s="107"/>
      <c r="C24" s="107"/>
      <c r="D24" s="107"/>
      <c r="E24" s="107"/>
    </row>
    <row r="25" spans="1:5" s="1" customFormat="1" ht="12.75">
      <c r="A25" s="107"/>
      <c r="B25" s="107"/>
      <c r="C25" s="107"/>
      <c r="D25" s="107"/>
      <c r="E25" s="107"/>
    </row>
    <row r="26" spans="1:5" s="1" customFormat="1" ht="12.75">
      <c r="A26" s="107"/>
      <c r="B26" s="107"/>
      <c r="C26" s="107"/>
      <c r="D26" s="107"/>
      <c r="E26" s="107"/>
    </row>
    <row r="27" spans="1:5" s="1" customFormat="1" ht="12.75">
      <c r="A27" s="107"/>
      <c r="B27" s="107"/>
      <c r="C27" s="107"/>
      <c r="D27" s="107"/>
      <c r="E27" s="107"/>
    </row>
    <row r="28" spans="1:5" s="1" customFormat="1" ht="12.75">
      <c r="A28" s="109"/>
      <c r="B28" s="107"/>
      <c r="C28" s="107"/>
      <c r="D28" s="107"/>
      <c r="E28" s="107"/>
    </row>
    <row r="29" spans="1:5" ht="12.75">
      <c r="A29" s="109"/>
      <c r="B29" s="109"/>
      <c r="C29" s="109"/>
      <c r="D29" s="109"/>
      <c r="E29" s="109"/>
    </row>
    <row r="30" spans="1:5" ht="12.75">
      <c r="A30" s="109"/>
      <c r="B30" s="109"/>
      <c r="C30" s="109"/>
      <c r="D30" s="109"/>
      <c r="E30" s="109"/>
    </row>
    <row r="31" spans="1:5" ht="12.75">
      <c r="A31" s="109"/>
      <c r="B31" s="109"/>
      <c r="C31" s="109"/>
      <c r="D31" s="109"/>
      <c r="E31" s="109"/>
    </row>
    <row r="32" spans="1:5" ht="12.75">
      <c r="A32" s="109"/>
      <c r="B32" s="109"/>
      <c r="C32" s="109"/>
      <c r="D32" s="109"/>
      <c r="E32" s="109"/>
    </row>
    <row r="33" spans="1:5" ht="12.75">
      <c r="A33" s="109"/>
      <c r="B33" s="109"/>
      <c r="C33" s="109"/>
      <c r="D33" s="109"/>
      <c r="E33" s="109"/>
    </row>
    <row r="34" spans="2:5" ht="12.75">
      <c r="B34" s="109"/>
      <c r="C34" s="109"/>
      <c r="D34" s="109"/>
      <c r="E34" s="109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dőlt"4. melléklet
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3.375" style="223" customWidth="1"/>
    <col min="2" max="2" width="7.00390625" style="223" customWidth="1"/>
    <col min="3" max="3" width="23.375" style="223" customWidth="1"/>
    <col min="4" max="4" width="12.375" style="223" customWidth="1"/>
    <col min="5" max="5" width="14.375" style="223" customWidth="1"/>
    <col min="6" max="6" width="10.875" style="223" customWidth="1"/>
    <col min="7" max="7" width="10.375" style="223" customWidth="1"/>
    <col min="8" max="8" width="12.00390625" style="223" customWidth="1"/>
    <col min="9" max="9" width="14.00390625" style="223" customWidth="1"/>
    <col min="10" max="10" width="14.875" style="223" customWidth="1"/>
    <col min="11" max="11" width="13.375" style="223" customWidth="1"/>
    <col min="12" max="12" width="14.875" style="223" customWidth="1"/>
    <col min="13" max="13" width="13.625" style="223" customWidth="1"/>
    <col min="14" max="14" width="11.50390625" style="223" customWidth="1"/>
    <col min="15" max="16384" width="9.375" style="223" customWidth="1"/>
  </cols>
  <sheetData>
    <row r="1" spans="1:14" ht="12.75">
      <c r="A1" s="815" t="s">
        <v>693</v>
      </c>
      <c r="B1" s="815" t="s">
        <v>694</v>
      </c>
      <c r="C1" s="816" t="s">
        <v>686</v>
      </c>
      <c r="D1" s="813" t="s">
        <v>725</v>
      </c>
      <c r="E1" s="813"/>
      <c r="F1" s="813"/>
      <c r="G1" s="813"/>
      <c r="H1" s="813"/>
      <c r="I1" s="813"/>
      <c r="J1" s="813"/>
      <c r="K1" s="813" t="s">
        <v>726</v>
      </c>
      <c r="L1" s="813"/>
      <c r="M1" s="814"/>
      <c r="N1" s="811" t="s">
        <v>687</v>
      </c>
    </row>
    <row r="2" spans="1:14" s="227" customFormat="1" ht="60.75" customHeight="1" thickBot="1">
      <c r="A2" s="815"/>
      <c r="B2" s="815"/>
      <c r="C2" s="816"/>
      <c r="D2" s="224" t="s">
        <v>728</v>
      </c>
      <c r="E2" s="224" t="s">
        <v>729</v>
      </c>
      <c r="F2" s="221" t="s">
        <v>351</v>
      </c>
      <c r="G2" s="225" t="s">
        <v>730</v>
      </c>
      <c r="H2" s="221" t="s">
        <v>486</v>
      </c>
      <c r="I2" s="221" t="s">
        <v>731</v>
      </c>
      <c r="J2" s="221" t="s">
        <v>732</v>
      </c>
      <c r="K2" s="221" t="s">
        <v>565</v>
      </c>
      <c r="L2" s="221" t="s">
        <v>733</v>
      </c>
      <c r="M2" s="226" t="s">
        <v>735</v>
      </c>
      <c r="N2" s="812"/>
    </row>
    <row r="3" spans="1:14" ht="16.5" customHeight="1">
      <c r="A3" s="228"/>
      <c r="B3" s="228"/>
      <c r="C3" s="228" t="s">
        <v>484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</row>
    <row r="4" spans="1:14" ht="24.75" customHeight="1">
      <c r="A4" s="230"/>
      <c r="B4" s="230">
        <v>12</v>
      </c>
      <c r="C4" s="231" t="s">
        <v>352</v>
      </c>
      <c r="D4" s="232">
        <f>'5.a'!E12</f>
        <v>5446</v>
      </c>
      <c r="E4" s="232">
        <f>'5.a'!F12</f>
        <v>0</v>
      </c>
      <c r="F4" s="232">
        <f>'5.a'!G12</f>
        <v>0</v>
      </c>
      <c r="G4" s="232">
        <f>'5.a'!H12</f>
        <v>13132</v>
      </c>
      <c r="H4" s="232">
        <f>'5.a'!I12</f>
        <v>0</v>
      </c>
      <c r="I4" s="232">
        <f>'5.a'!J12</f>
        <v>0</v>
      </c>
      <c r="J4" s="232">
        <f>'5.a'!K12</f>
        <v>0</v>
      </c>
      <c r="K4" s="232">
        <f>'5.a'!L12</f>
        <v>0</v>
      </c>
      <c r="L4" s="232">
        <f>'5.a'!M12</f>
        <v>0</v>
      </c>
      <c r="M4" s="232">
        <f>'5.a'!N12</f>
        <v>0</v>
      </c>
      <c r="N4" s="232">
        <f aca="true" t="shared" si="0" ref="N4:N12">SUM(D4:M4)</f>
        <v>18578</v>
      </c>
    </row>
    <row r="5" spans="1:14" ht="16.5" customHeight="1">
      <c r="A5" s="230"/>
      <c r="B5" s="230">
        <v>13</v>
      </c>
      <c r="C5" s="228" t="s">
        <v>353</v>
      </c>
      <c r="D5" s="232">
        <f>'5.a'!E32</f>
        <v>69669</v>
      </c>
      <c r="E5" s="232">
        <f>'5.a'!F32</f>
        <v>306860</v>
      </c>
      <c r="F5" s="232">
        <f>'5.a'!G32</f>
        <v>0</v>
      </c>
      <c r="G5" s="232">
        <f>'5.a'!H32</f>
        <v>6412</v>
      </c>
      <c r="H5" s="232">
        <f>'5.a'!I32</f>
        <v>3500</v>
      </c>
      <c r="I5" s="232">
        <f>'5.a'!J32</f>
        <v>2000</v>
      </c>
      <c r="J5" s="232">
        <f>'5.a'!K32</f>
        <v>0</v>
      </c>
      <c r="K5" s="232">
        <f>'5.a'!L32</f>
        <v>0</v>
      </c>
      <c r="L5" s="232">
        <f>'5.a'!M32</f>
        <v>0</v>
      </c>
      <c r="M5" s="232">
        <f>'5.a'!N32</f>
        <v>0</v>
      </c>
      <c r="N5" s="232">
        <f t="shared" si="0"/>
        <v>388441</v>
      </c>
    </row>
    <row r="6" spans="1:14" ht="16.5" customHeight="1">
      <c r="A6" s="230"/>
      <c r="B6" s="230">
        <v>15</v>
      </c>
      <c r="C6" s="228" t="s">
        <v>1286</v>
      </c>
      <c r="D6" s="232">
        <f>'5.a'!E58</f>
        <v>540</v>
      </c>
      <c r="E6" s="232">
        <f>'5.a'!F58</f>
        <v>605708</v>
      </c>
      <c r="F6" s="232">
        <f>'5.a'!G58</f>
        <v>3300</v>
      </c>
      <c r="G6" s="232">
        <f>'5.a'!H58</f>
        <v>694237</v>
      </c>
      <c r="H6" s="232">
        <f>'5.a'!I58</f>
        <v>0</v>
      </c>
      <c r="I6" s="232">
        <f>'5.a'!J58</f>
        <v>92</v>
      </c>
      <c r="J6" s="232">
        <f>'5.a'!K58</f>
        <v>2090</v>
      </c>
      <c r="K6" s="232">
        <f>'5.a'!L58</f>
        <v>0</v>
      </c>
      <c r="L6" s="232">
        <f>'5.a'!M58</f>
        <v>0</v>
      </c>
      <c r="M6" s="232">
        <f>'5.a'!N58</f>
        <v>0</v>
      </c>
      <c r="N6" s="232">
        <f t="shared" si="0"/>
        <v>1305967</v>
      </c>
    </row>
    <row r="7" spans="1:14" ht="16.5" customHeight="1">
      <c r="A7" s="230"/>
      <c r="B7" s="230">
        <v>16</v>
      </c>
      <c r="C7" s="228" t="s">
        <v>471</v>
      </c>
      <c r="D7" s="232">
        <f>'5.a'!E84</f>
        <v>772479</v>
      </c>
      <c r="E7" s="232">
        <f>'5.a'!F84</f>
        <v>2907583</v>
      </c>
      <c r="F7" s="232">
        <f>'5.a'!G84</f>
        <v>0</v>
      </c>
      <c r="G7" s="232">
        <f>'5.a'!H84</f>
        <v>352783</v>
      </c>
      <c r="H7" s="232">
        <f>'5.a'!I84</f>
        <v>0</v>
      </c>
      <c r="I7" s="232">
        <f>'5.a'!J84</f>
        <v>0</v>
      </c>
      <c r="J7" s="232">
        <f>'5.a'!K84</f>
        <v>290000</v>
      </c>
      <c r="K7" s="232">
        <f>'5.a'!L84</f>
        <v>0</v>
      </c>
      <c r="L7" s="232">
        <f>'5.a'!M84</f>
        <v>0</v>
      </c>
      <c r="M7" s="232">
        <f>'5.a'!N84</f>
        <v>0</v>
      </c>
      <c r="N7" s="232">
        <f t="shared" si="0"/>
        <v>4322845</v>
      </c>
    </row>
    <row r="8" spans="1:14" ht="16.5" customHeight="1">
      <c r="A8" s="230"/>
      <c r="B8" s="230">
        <v>17</v>
      </c>
      <c r="C8" s="228" t="s">
        <v>1287</v>
      </c>
      <c r="D8" s="232">
        <f>'5.a'!E110</f>
        <v>0</v>
      </c>
      <c r="E8" s="232">
        <f>'5.a'!F110</f>
        <v>0</v>
      </c>
      <c r="F8" s="232">
        <f>'5.a'!G110</f>
        <v>0</v>
      </c>
      <c r="G8" s="232">
        <f>'5.a'!H110</f>
        <v>360400</v>
      </c>
      <c r="H8" s="232">
        <f>'5.a'!I110</f>
        <v>353580</v>
      </c>
      <c r="I8" s="232">
        <f>'5.a'!J110</f>
        <v>0</v>
      </c>
      <c r="J8" s="232">
        <f>'5.a'!K110</f>
        <v>30000</v>
      </c>
      <c r="K8" s="232">
        <f>'5.a'!L110</f>
        <v>0</v>
      </c>
      <c r="L8" s="232">
        <f>'5.a'!M110</f>
        <v>79118</v>
      </c>
      <c r="M8" s="232">
        <f>'5.a'!N110</f>
        <v>78306</v>
      </c>
      <c r="N8" s="232">
        <f t="shared" si="0"/>
        <v>901404</v>
      </c>
    </row>
    <row r="9" spans="1:14" ht="16.5" customHeight="1">
      <c r="A9" s="230"/>
      <c r="B9" s="230">
        <v>18</v>
      </c>
      <c r="C9" s="228" t="s">
        <v>470</v>
      </c>
      <c r="D9" s="232">
        <f>'5.a'!E119</f>
        <v>0</v>
      </c>
      <c r="E9" s="232">
        <f>'5.a'!F119</f>
        <v>0</v>
      </c>
      <c r="F9" s="232">
        <f>'5.a'!G119</f>
        <v>7000</v>
      </c>
      <c r="G9" s="232">
        <f>'5.a'!H119</f>
        <v>68695</v>
      </c>
      <c r="H9" s="232">
        <f>'5.a'!I119</f>
        <v>0</v>
      </c>
      <c r="I9" s="232">
        <f>'5.a'!J119</f>
        <v>0</v>
      </c>
      <c r="J9" s="232">
        <f>'5.a'!K119</f>
        <v>0</v>
      </c>
      <c r="K9" s="232">
        <f>'5.a'!L119</f>
        <v>0</v>
      </c>
      <c r="L9" s="232">
        <f>'5.a'!M119</f>
        <v>0</v>
      </c>
      <c r="M9" s="232">
        <f>'5.a'!N119</f>
        <v>0</v>
      </c>
      <c r="N9" s="232">
        <f t="shared" si="0"/>
        <v>75695</v>
      </c>
    </row>
    <row r="10" spans="1:14" ht="16.5" customHeight="1">
      <c r="A10" s="230"/>
      <c r="B10" s="230">
        <v>19</v>
      </c>
      <c r="C10" s="228" t="s">
        <v>691</v>
      </c>
      <c r="D10" s="232">
        <f>'5.a'!E154</f>
        <v>2415538</v>
      </c>
      <c r="E10" s="232">
        <f>'5.a'!F154</f>
        <v>500</v>
      </c>
      <c r="F10" s="232">
        <f>'5.a'!G154</f>
        <v>4565000</v>
      </c>
      <c r="G10" s="232">
        <f>'5.a'!H154</f>
        <v>252882</v>
      </c>
      <c r="H10" s="232">
        <f>'5.a'!I154</f>
        <v>0</v>
      </c>
      <c r="I10" s="232">
        <f>'5.a'!J154</f>
        <v>2400</v>
      </c>
      <c r="J10" s="232">
        <f>'5.a'!K154</f>
        <v>800</v>
      </c>
      <c r="K10" s="232">
        <f>'5.a'!L154</f>
        <v>378018</v>
      </c>
      <c r="L10" s="232">
        <f>'5.a'!M154</f>
        <v>2192197</v>
      </c>
      <c r="M10" s="232">
        <f>'5.a'!N154</f>
        <v>0</v>
      </c>
      <c r="N10" s="232">
        <f t="shared" si="0"/>
        <v>9807335</v>
      </c>
    </row>
    <row r="11" spans="1:14" ht="16.5" customHeight="1">
      <c r="A11" s="230"/>
      <c r="B11" s="230">
        <v>20</v>
      </c>
      <c r="C11" s="15" t="s">
        <v>611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>
        <f t="shared" si="0"/>
        <v>0</v>
      </c>
    </row>
    <row r="12" spans="1:14" ht="16.5" customHeight="1">
      <c r="A12" s="230"/>
      <c r="B12" s="230">
        <v>22</v>
      </c>
      <c r="C12" s="233" t="s">
        <v>1288</v>
      </c>
      <c r="D12" s="232">
        <f>'5.a'!E166</f>
        <v>0</v>
      </c>
      <c r="E12" s="232">
        <f>'5.a'!F166</f>
        <v>0</v>
      </c>
      <c r="F12" s="232">
        <f>'5.a'!G166</f>
        <v>0</v>
      </c>
      <c r="G12" s="232">
        <f>'5.a'!H166</f>
        <v>150</v>
      </c>
      <c r="H12" s="232">
        <f>'5.a'!I166</f>
        <v>0</v>
      </c>
      <c r="I12" s="232">
        <f>'5.a'!J166</f>
        <v>8610</v>
      </c>
      <c r="J12" s="232">
        <f>'5.a'!K166</f>
        <v>9960</v>
      </c>
      <c r="K12" s="232">
        <f>'5.a'!L166</f>
        <v>0</v>
      </c>
      <c r="L12" s="232">
        <f>'5.a'!M166</f>
        <v>0</v>
      </c>
      <c r="M12" s="232">
        <f>'5.a'!N166</f>
        <v>0</v>
      </c>
      <c r="N12" s="232">
        <f t="shared" si="0"/>
        <v>18720</v>
      </c>
    </row>
    <row r="13" spans="1:14" ht="36" customHeight="1">
      <c r="A13" s="222"/>
      <c r="B13" s="222"/>
      <c r="C13" s="234" t="s">
        <v>417</v>
      </c>
      <c r="D13" s="235">
        <f aca="true" t="shared" si="1" ref="D13:N13">SUM(D4:D12)</f>
        <v>3263672</v>
      </c>
      <c r="E13" s="235">
        <f t="shared" si="1"/>
        <v>3820651</v>
      </c>
      <c r="F13" s="235">
        <f t="shared" si="1"/>
        <v>4575300</v>
      </c>
      <c r="G13" s="235">
        <f t="shared" si="1"/>
        <v>1748691</v>
      </c>
      <c r="H13" s="235">
        <f t="shared" si="1"/>
        <v>357080</v>
      </c>
      <c r="I13" s="235">
        <f t="shared" si="1"/>
        <v>13102</v>
      </c>
      <c r="J13" s="235">
        <f t="shared" si="1"/>
        <v>332850</v>
      </c>
      <c r="K13" s="235">
        <f t="shared" si="1"/>
        <v>378018</v>
      </c>
      <c r="L13" s="235">
        <f t="shared" si="1"/>
        <v>2271315</v>
      </c>
      <c r="M13" s="235">
        <f t="shared" si="1"/>
        <v>78306</v>
      </c>
      <c r="N13" s="235">
        <f t="shared" si="1"/>
        <v>16838985</v>
      </c>
    </row>
    <row r="14" spans="1:14" ht="16.5" customHeight="1">
      <c r="A14" s="236">
        <v>2</v>
      </c>
      <c r="B14" s="236"/>
      <c r="C14" s="228" t="s">
        <v>485</v>
      </c>
      <c r="D14" s="232">
        <f>'5.a'!E168</f>
        <v>318194</v>
      </c>
      <c r="E14" s="232">
        <f>'5.a'!F168</f>
        <v>19000</v>
      </c>
      <c r="F14" s="232">
        <f>'5.a'!G168</f>
        <v>0</v>
      </c>
      <c r="G14" s="232">
        <f>'5.a'!H168</f>
        <v>1142651</v>
      </c>
      <c r="H14" s="232">
        <f>'5.a'!I168</f>
        <v>2255</v>
      </c>
      <c r="I14" s="232">
        <f>'5.a'!J168</f>
        <v>66561</v>
      </c>
      <c r="J14" s="232">
        <f>'5.a'!K168</f>
        <v>1500</v>
      </c>
      <c r="K14" s="232">
        <f>'5.a'!L168</f>
        <v>0</v>
      </c>
      <c r="L14" s="232">
        <f>'5.a'!M168</f>
        <v>605219</v>
      </c>
      <c r="M14" s="232"/>
      <c r="N14" s="232">
        <f>SUM(D14:M14)</f>
        <v>2155380</v>
      </c>
    </row>
    <row r="15" spans="1:14" ht="16.5" customHeight="1">
      <c r="A15" s="222"/>
      <c r="B15" s="222"/>
      <c r="C15" s="237" t="s">
        <v>468</v>
      </c>
      <c r="D15" s="235">
        <f aca="true" t="shared" si="2" ref="D15:N15">SUM(D13:D14)</f>
        <v>3581866</v>
      </c>
      <c r="E15" s="235">
        <f t="shared" si="2"/>
        <v>3839651</v>
      </c>
      <c r="F15" s="235">
        <f t="shared" si="2"/>
        <v>4575300</v>
      </c>
      <c r="G15" s="235">
        <f t="shared" si="2"/>
        <v>2891342</v>
      </c>
      <c r="H15" s="235">
        <f t="shared" si="2"/>
        <v>359335</v>
      </c>
      <c r="I15" s="235">
        <f t="shared" si="2"/>
        <v>79663</v>
      </c>
      <c r="J15" s="235">
        <f t="shared" si="2"/>
        <v>334350</v>
      </c>
      <c r="K15" s="235">
        <f t="shared" si="2"/>
        <v>378018</v>
      </c>
      <c r="L15" s="235">
        <f t="shared" si="2"/>
        <v>2876534</v>
      </c>
      <c r="M15" s="235">
        <f t="shared" si="2"/>
        <v>78306</v>
      </c>
      <c r="N15" s="235">
        <f t="shared" si="2"/>
        <v>18994365</v>
      </c>
    </row>
    <row r="16" spans="3:13" ht="16.5" customHeight="1"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3:12" ht="13.5" customHeight="1">
      <c r="C17" s="238"/>
      <c r="D17" s="239"/>
      <c r="E17" s="239"/>
      <c r="F17" s="239"/>
      <c r="G17" s="239"/>
      <c r="H17" s="239"/>
      <c r="I17" s="239"/>
      <c r="J17" s="239"/>
      <c r="K17" s="239"/>
      <c r="L17" s="239"/>
    </row>
    <row r="18" spans="4:12" ht="13.5" customHeight="1">
      <c r="D18" s="239"/>
      <c r="E18" s="239"/>
      <c r="F18" s="239"/>
      <c r="G18" s="239"/>
      <c r="H18" s="239"/>
      <c r="I18" s="239"/>
      <c r="J18" s="239"/>
      <c r="K18" s="239"/>
      <c r="L18" s="239"/>
    </row>
    <row r="19" spans="4:12" ht="13.5" customHeight="1">
      <c r="D19" s="239"/>
      <c r="E19" s="239"/>
      <c r="F19" s="239"/>
      <c r="G19" s="239"/>
      <c r="H19" s="239"/>
      <c r="I19" s="239"/>
      <c r="J19" s="239"/>
      <c r="K19" s="239"/>
      <c r="L19" s="239"/>
    </row>
    <row r="20" spans="4:12" ht="13.5" customHeight="1">
      <c r="D20" s="239"/>
      <c r="E20" s="239"/>
      <c r="F20" s="239"/>
      <c r="G20" s="239"/>
      <c r="H20" s="239"/>
      <c r="I20" s="239"/>
      <c r="J20" s="239"/>
      <c r="K20" s="239"/>
      <c r="L20" s="239"/>
    </row>
    <row r="21" spans="4:12" ht="13.5" customHeight="1">
      <c r="D21" s="239"/>
      <c r="E21" s="239"/>
      <c r="F21" s="239"/>
      <c r="G21" s="239"/>
      <c r="H21" s="239"/>
      <c r="I21" s="239"/>
      <c r="J21" s="239"/>
      <c r="K21" s="239"/>
      <c r="L21" s="239"/>
    </row>
    <row r="22" spans="4:12" ht="13.5" customHeight="1">
      <c r="D22" s="239"/>
      <c r="E22" s="239"/>
      <c r="F22" s="239"/>
      <c r="G22" s="239"/>
      <c r="H22" s="239"/>
      <c r="I22" s="239"/>
      <c r="J22" s="239"/>
      <c r="K22" s="239"/>
      <c r="L22" s="239"/>
    </row>
    <row r="23" spans="4:12" ht="13.5" customHeight="1">
      <c r="D23" s="239"/>
      <c r="E23" s="239"/>
      <c r="F23" s="239"/>
      <c r="G23" s="239"/>
      <c r="H23" s="239"/>
      <c r="I23" s="239"/>
      <c r="J23" s="239"/>
      <c r="K23" s="239"/>
      <c r="L23" s="239"/>
    </row>
    <row r="24" spans="4:12" ht="13.5" customHeight="1">
      <c r="D24" s="239"/>
      <c r="E24" s="239"/>
      <c r="F24" s="239"/>
      <c r="G24" s="239"/>
      <c r="H24" s="239"/>
      <c r="I24" s="239"/>
      <c r="J24" s="239"/>
      <c r="K24" s="239"/>
      <c r="L24" s="239"/>
    </row>
    <row r="25" spans="4:12" ht="13.5" customHeight="1">
      <c r="D25" s="239"/>
      <c r="E25" s="239"/>
      <c r="F25" s="239"/>
      <c r="G25" s="239"/>
      <c r="H25" s="239"/>
      <c r="I25" s="239"/>
      <c r="J25" s="239"/>
      <c r="K25" s="239"/>
      <c r="L25" s="239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dőlt"5. melléklet
Adatok: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97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D168" sqref="D168"/>
    </sheetView>
  </sheetViews>
  <sheetFormatPr defaultColWidth="9.00390625" defaultRowHeight="12.75"/>
  <cols>
    <col min="1" max="1" width="5.625" style="244" customWidth="1"/>
    <col min="2" max="2" width="6.50390625" style="244" customWidth="1"/>
    <col min="3" max="3" width="37.375" style="244" customWidth="1"/>
    <col min="4" max="4" width="10.00390625" style="613" customWidth="1"/>
    <col min="5" max="5" width="13.625" style="244" customWidth="1"/>
    <col min="6" max="6" width="13.125" style="244" customWidth="1"/>
    <col min="7" max="7" width="12.375" style="244" customWidth="1"/>
    <col min="8" max="8" width="11.375" style="244" customWidth="1"/>
    <col min="9" max="9" width="13.00390625" style="244" customWidth="1"/>
    <col min="10" max="10" width="12.00390625" style="244" customWidth="1"/>
    <col min="11" max="11" width="13.125" style="244" customWidth="1"/>
    <col min="12" max="12" width="13.875" style="244" customWidth="1"/>
    <col min="13" max="13" width="11.50390625" style="244" customWidth="1"/>
    <col min="14" max="14" width="10.625" style="244" customWidth="1"/>
    <col min="15" max="15" width="13.125" style="244" customWidth="1"/>
    <col min="16" max="16" width="10.875" style="244" bestFit="1" customWidth="1"/>
    <col min="17" max="17" width="12.125" style="244" bestFit="1" customWidth="1"/>
    <col min="18" max="16384" width="9.375" style="244" customWidth="1"/>
  </cols>
  <sheetData>
    <row r="1" spans="1:15" ht="14.25" thickBot="1">
      <c r="A1" s="821" t="s">
        <v>693</v>
      </c>
      <c r="B1" s="821" t="s">
        <v>694</v>
      </c>
      <c r="C1" s="811" t="s">
        <v>686</v>
      </c>
      <c r="D1" s="823" t="s">
        <v>1196</v>
      </c>
      <c r="E1" s="817" t="s">
        <v>725</v>
      </c>
      <c r="F1" s="817"/>
      <c r="G1" s="817"/>
      <c r="H1" s="817"/>
      <c r="I1" s="817"/>
      <c r="J1" s="817"/>
      <c r="K1" s="818"/>
      <c r="L1" s="819" t="s">
        <v>726</v>
      </c>
      <c r="M1" s="820"/>
      <c r="N1" s="820"/>
      <c r="O1" s="811" t="s">
        <v>1298</v>
      </c>
    </row>
    <row r="2" spans="1:15" s="250" customFormat="1" ht="54.75" customHeight="1" thickBot="1">
      <c r="A2" s="822"/>
      <c r="B2" s="822"/>
      <c r="C2" s="812"/>
      <c r="D2" s="824"/>
      <c r="E2" s="245" t="s">
        <v>728</v>
      </c>
      <c r="F2" s="246" t="s">
        <v>729</v>
      </c>
      <c r="G2" s="247" t="s">
        <v>351</v>
      </c>
      <c r="H2" s="248" t="s">
        <v>730</v>
      </c>
      <c r="I2" s="247" t="s">
        <v>486</v>
      </c>
      <c r="J2" s="247" t="s">
        <v>731</v>
      </c>
      <c r="K2" s="247" t="s">
        <v>732</v>
      </c>
      <c r="L2" s="247" t="s">
        <v>565</v>
      </c>
      <c r="M2" s="247" t="s">
        <v>733</v>
      </c>
      <c r="N2" s="249" t="s">
        <v>735</v>
      </c>
      <c r="O2" s="812"/>
    </row>
    <row r="3" spans="1:15" s="250" customFormat="1" ht="12.75" customHeight="1">
      <c r="A3" s="251">
        <v>1</v>
      </c>
      <c r="B3" s="251"/>
      <c r="C3" s="252" t="s">
        <v>484</v>
      </c>
      <c r="D3" s="604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</row>
    <row r="4" spans="1:15" s="250" customFormat="1" ht="12.75" customHeight="1">
      <c r="A4" s="251">
        <v>1</v>
      </c>
      <c r="B4" s="251">
        <v>1</v>
      </c>
      <c r="C4" s="255" t="s">
        <v>354</v>
      </c>
      <c r="D4" s="605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s="259" customFormat="1" ht="13.5" customHeight="1">
      <c r="A5" s="256">
        <v>1</v>
      </c>
      <c r="B5" s="256">
        <v>12</v>
      </c>
      <c r="C5" s="257" t="s">
        <v>352</v>
      </c>
      <c r="D5" s="606"/>
      <c r="E5" s="258"/>
      <c r="F5" s="258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259" customFormat="1" ht="24.75" customHeight="1">
      <c r="A6" s="256"/>
      <c r="B6" s="256"/>
      <c r="C6" s="260" t="s">
        <v>414</v>
      </c>
      <c r="D6" s="607"/>
      <c r="E6" s="261"/>
      <c r="F6" s="258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259" customFormat="1" ht="16.5" customHeight="1">
      <c r="A7" s="262"/>
      <c r="B7" s="262"/>
      <c r="C7" s="233" t="s">
        <v>1299</v>
      </c>
      <c r="D7" s="614">
        <v>221902</v>
      </c>
      <c r="E7" s="263">
        <f>0+'táj.1.'!E7</f>
        <v>0</v>
      </c>
      <c r="F7" s="263">
        <f>0+'táj.1.'!F7</f>
        <v>0</v>
      </c>
      <c r="G7" s="263">
        <f>0+'táj.1.'!G7</f>
        <v>0</v>
      </c>
      <c r="H7" s="263">
        <f>9906+'táj.1.'!H7</f>
        <v>9906</v>
      </c>
      <c r="I7" s="263">
        <f>0+'táj.1.'!I7</f>
        <v>0</v>
      </c>
      <c r="J7" s="263">
        <f>0+'táj.1.'!J7</f>
        <v>0</v>
      </c>
      <c r="K7" s="263">
        <f>0+'táj.1.'!K7</f>
        <v>0</v>
      </c>
      <c r="L7" s="263">
        <f>0+'táj.1.'!L7</f>
        <v>0</v>
      </c>
      <c r="M7" s="263">
        <f>0+'táj.1.'!M7</f>
        <v>0</v>
      </c>
      <c r="N7" s="263">
        <f>0+'táj.1.'!N7</f>
        <v>0</v>
      </c>
      <c r="O7" s="206">
        <f>SUM(H7:N7)</f>
        <v>9906</v>
      </c>
    </row>
    <row r="8" spans="1:15" s="259" customFormat="1" ht="23.25" customHeight="1">
      <c r="A8" s="262"/>
      <c r="B8" s="262"/>
      <c r="C8" s="694" t="s">
        <v>704</v>
      </c>
      <c r="D8" s="69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06"/>
    </row>
    <row r="9" spans="1:15" s="259" customFormat="1" ht="16.5" customHeight="1">
      <c r="A9" s="262"/>
      <c r="B9" s="262"/>
      <c r="C9" s="47" t="s">
        <v>935</v>
      </c>
      <c r="D9" s="693">
        <v>121203</v>
      </c>
      <c r="E9" s="263">
        <f>0+'táj.1.'!E9</f>
        <v>0</v>
      </c>
      <c r="F9" s="263">
        <f>0+'táj.1.'!F9</f>
        <v>0</v>
      </c>
      <c r="G9" s="263">
        <f>0+'táj.1.'!G9</f>
        <v>0</v>
      </c>
      <c r="H9" s="263">
        <f>2150+'táj.1.'!H9</f>
        <v>2150</v>
      </c>
      <c r="I9" s="263">
        <f>0+'táj.1.'!I9</f>
        <v>0</v>
      </c>
      <c r="J9" s="263">
        <f>0+'táj.1.'!J9</f>
        <v>0</v>
      </c>
      <c r="K9" s="263">
        <f>0+'táj.1.'!K9</f>
        <v>0</v>
      </c>
      <c r="L9" s="263">
        <f>0+'táj.1.'!L9</f>
        <v>0</v>
      </c>
      <c r="M9" s="263">
        <f>0+'táj.1.'!M9</f>
        <v>0</v>
      </c>
      <c r="N9" s="263">
        <f>0+'táj.1.'!N9</f>
        <v>0</v>
      </c>
      <c r="O9" s="206">
        <f>SUM(H9:N9)</f>
        <v>2150</v>
      </c>
    </row>
    <row r="10" spans="1:15" s="259" customFormat="1" ht="25.5" customHeight="1">
      <c r="A10" s="262"/>
      <c r="B10" s="262"/>
      <c r="C10" s="120" t="s">
        <v>936</v>
      </c>
      <c r="D10" s="693">
        <v>121126</v>
      </c>
      <c r="E10" s="263">
        <f>0+'táj.1.'!E10</f>
        <v>0</v>
      </c>
      <c r="F10" s="263">
        <f>0+'táj.1.'!F10</f>
        <v>0</v>
      </c>
      <c r="G10" s="263">
        <f>0+'táj.1.'!G10</f>
        <v>0</v>
      </c>
      <c r="H10" s="263">
        <f>1076+'táj.1.'!H10</f>
        <v>1076</v>
      </c>
      <c r="I10" s="263">
        <f>0+'táj.1.'!I10</f>
        <v>0</v>
      </c>
      <c r="J10" s="263">
        <f>0+'táj.1.'!J10</f>
        <v>0</v>
      </c>
      <c r="K10" s="263">
        <f>0+'táj.1.'!K10</f>
        <v>0</v>
      </c>
      <c r="L10" s="263">
        <f>0+'táj.1.'!L10</f>
        <v>0</v>
      </c>
      <c r="M10" s="263">
        <f>0+'táj.1.'!M10</f>
        <v>0</v>
      </c>
      <c r="N10" s="263">
        <f>0+'táj.1.'!N10</f>
        <v>0</v>
      </c>
      <c r="O10" s="206">
        <f>SUM(H10:N10)</f>
        <v>1076</v>
      </c>
    </row>
    <row r="11" spans="1:15" s="259" customFormat="1" ht="25.5" customHeight="1">
      <c r="A11" s="262"/>
      <c r="B11" s="262"/>
      <c r="C11" s="691" t="s">
        <v>1333</v>
      </c>
      <c r="D11" s="693">
        <v>121124</v>
      </c>
      <c r="E11" s="263">
        <f>0+'táj.1.'!E11</f>
        <v>5446</v>
      </c>
      <c r="F11" s="263">
        <f>0+'táj.1.'!F11</f>
        <v>0</v>
      </c>
      <c r="G11" s="263">
        <f>0+'táj.1.'!G11</f>
        <v>0</v>
      </c>
      <c r="H11" s="263">
        <f>0+'táj.1.'!H11</f>
        <v>0</v>
      </c>
      <c r="I11" s="263">
        <f>0+'táj.1.'!I11</f>
        <v>0</v>
      </c>
      <c r="J11" s="263">
        <f>0+'táj.1.'!J11</f>
        <v>0</v>
      </c>
      <c r="K11" s="263">
        <f>0+'táj.1.'!K11</f>
        <v>0</v>
      </c>
      <c r="L11" s="263">
        <f>0+'táj.1.'!L11</f>
        <v>0</v>
      </c>
      <c r="M11" s="263">
        <f>0+'táj.1.'!M11</f>
        <v>0</v>
      </c>
      <c r="N11" s="263">
        <f>0+'táj.1.'!N11</f>
        <v>0</v>
      </c>
      <c r="O11" s="206">
        <f>SUM(E11:N11)</f>
        <v>5446</v>
      </c>
    </row>
    <row r="12" spans="1:15" s="259" customFormat="1" ht="13.5" customHeight="1">
      <c r="A12" s="264"/>
      <c r="B12" s="264"/>
      <c r="C12" s="265" t="s">
        <v>355</v>
      </c>
      <c r="D12" s="608"/>
      <c r="E12" s="266">
        <f>SUM(E5:E11)</f>
        <v>5446</v>
      </c>
      <c r="F12" s="266">
        <f aca="true" t="shared" si="0" ref="F12:O12">SUM(F5:F11)</f>
        <v>0</v>
      </c>
      <c r="G12" s="266">
        <f t="shared" si="0"/>
        <v>0</v>
      </c>
      <c r="H12" s="266">
        <f t="shared" si="0"/>
        <v>13132</v>
      </c>
      <c r="I12" s="266">
        <f t="shared" si="0"/>
        <v>0</v>
      </c>
      <c r="J12" s="266">
        <f t="shared" si="0"/>
        <v>0</v>
      </c>
      <c r="K12" s="266">
        <f t="shared" si="0"/>
        <v>0</v>
      </c>
      <c r="L12" s="266">
        <f t="shared" si="0"/>
        <v>0</v>
      </c>
      <c r="M12" s="266">
        <f t="shared" si="0"/>
        <v>0</v>
      </c>
      <c r="N12" s="266">
        <f t="shared" si="0"/>
        <v>0</v>
      </c>
      <c r="O12" s="266">
        <f t="shared" si="0"/>
        <v>18578</v>
      </c>
    </row>
    <row r="13" spans="1:15" s="259" customFormat="1" ht="13.5" customHeight="1">
      <c r="A13" s="267">
        <v>1</v>
      </c>
      <c r="B13" s="267">
        <v>13</v>
      </c>
      <c r="C13" s="257" t="s">
        <v>353</v>
      </c>
      <c r="D13" s="236"/>
      <c r="E13" s="268"/>
      <c r="F13" s="26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15" s="259" customFormat="1" ht="13.5" customHeight="1">
      <c r="A14" s="267"/>
      <c r="B14" s="267"/>
      <c r="C14" s="270" t="s">
        <v>1301</v>
      </c>
      <c r="D14" s="609"/>
      <c r="E14" s="263"/>
      <c r="F14" s="263"/>
      <c r="G14" s="206"/>
      <c r="H14" s="206"/>
      <c r="I14" s="206"/>
      <c r="J14" s="206"/>
      <c r="K14" s="206"/>
      <c r="L14" s="206"/>
      <c r="M14" s="206"/>
      <c r="N14" s="206"/>
      <c r="O14" s="206"/>
    </row>
    <row r="15" spans="1:15" s="259" customFormat="1" ht="24.75" customHeight="1">
      <c r="A15" s="267"/>
      <c r="B15" s="267"/>
      <c r="C15" s="271" t="s">
        <v>1302</v>
      </c>
      <c r="D15" s="615">
        <v>131705</v>
      </c>
      <c r="E15" s="263">
        <f>23323+'táj.1.'!E15</f>
        <v>23323</v>
      </c>
      <c r="F15" s="263">
        <f>0+'táj.1.'!F15</f>
        <v>0</v>
      </c>
      <c r="G15" s="263">
        <f>0+'táj.1.'!G15</f>
        <v>0</v>
      </c>
      <c r="H15" s="263">
        <f>0+'táj.1.'!H15</f>
        <v>0</v>
      </c>
      <c r="I15" s="263">
        <f>0+'táj.1.'!I15</f>
        <v>0</v>
      </c>
      <c r="J15" s="263">
        <f>0+'táj.1.'!J15</f>
        <v>0</v>
      </c>
      <c r="K15" s="263">
        <f>0+'táj.1.'!K15</f>
        <v>0</v>
      </c>
      <c r="L15" s="263">
        <f>0+'táj.1.'!L15</f>
        <v>0</v>
      </c>
      <c r="M15" s="263">
        <f>0+'táj.1.'!M15</f>
        <v>0</v>
      </c>
      <c r="N15" s="263">
        <f>0+'táj.1.'!N15</f>
        <v>0</v>
      </c>
      <c r="O15" s="206">
        <f>SUM(E15:N15)</f>
        <v>23323</v>
      </c>
    </row>
    <row r="16" spans="1:15" s="259" customFormat="1" ht="24.75" customHeight="1">
      <c r="A16" s="267"/>
      <c r="B16" s="267"/>
      <c r="C16" s="179" t="s">
        <v>1303</v>
      </c>
      <c r="D16" s="615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72"/>
    </row>
    <row r="17" spans="1:15" s="259" customFormat="1" ht="24.75" customHeight="1">
      <c r="A17" s="267"/>
      <c r="B17" s="267"/>
      <c r="C17" s="179" t="s">
        <v>1304</v>
      </c>
      <c r="D17" s="615">
        <v>131703</v>
      </c>
      <c r="E17" s="263">
        <f>0+'táj.1.'!E17</f>
        <v>0</v>
      </c>
      <c r="F17" s="263">
        <f>0+'táj.1.'!F17</f>
        <v>0</v>
      </c>
      <c r="G17" s="263">
        <f>0+'táj.1.'!G17</f>
        <v>0</v>
      </c>
      <c r="H17" s="263">
        <f>5461+'táj.1.'!H17</f>
        <v>5461</v>
      </c>
      <c r="I17" s="263">
        <f>0+'táj.1.'!I17</f>
        <v>0</v>
      </c>
      <c r="J17" s="263">
        <f>0+'táj.1.'!J17</f>
        <v>0</v>
      </c>
      <c r="K17" s="263">
        <f>0+'táj.1.'!K17</f>
        <v>0</v>
      </c>
      <c r="L17" s="263">
        <f>0+'táj.1.'!L17</f>
        <v>0</v>
      </c>
      <c r="M17" s="263">
        <f>0+'táj.1.'!M17</f>
        <v>0</v>
      </c>
      <c r="N17" s="263">
        <f>0+'táj.1.'!N17</f>
        <v>0</v>
      </c>
      <c r="O17" s="206">
        <f>SUM(E17:N17)</f>
        <v>5461</v>
      </c>
    </row>
    <row r="18" spans="1:15" s="259" customFormat="1" ht="24.75" customHeight="1">
      <c r="A18" s="267"/>
      <c r="B18" s="267"/>
      <c r="C18" s="275" t="s">
        <v>1078</v>
      </c>
      <c r="D18" s="616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06"/>
    </row>
    <row r="19" spans="1:15" s="259" customFormat="1" ht="17.25" customHeight="1">
      <c r="A19" s="267"/>
      <c r="B19" s="267"/>
      <c r="C19" s="277" t="s">
        <v>1305</v>
      </c>
      <c r="D19" s="615">
        <v>131845</v>
      </c>
      <c r="E19" s="263">
        <f>0+'táj.1.'!E19</f>
        <v>0</v>
      </c>
      <c r="F19" s="263">
        <f>0+'táj.1.'!F19</f>
        <v>0</v>
      </c>
      <c r="G19" s="263">
        <f>0+'táj.1.'!G19</f>
        <v>0</v>
      </c>
      <c r="H19" s="263">
        <f>0+'táj.1.'!H19</f>
        <v>0</v>
      </c>
      <c r="I19" s="263">
        <f>0+'táj.1.'!I19</f>
        <v>0</v>
      </c>
      <c r="J19" s="263">
        <f>2000+'táj.1.'!J19</f>
        <v>2000</v>
      </c>
      <c r="K19" s="263">
        <f>0+'táj.1.'!K19</f>
        <v>0</v>
      </c>
      <c r="L19" s="263">
        <f>0+'táj.1.'!L19</f>
        <v>0</v>
      </c>
      <c r="M19" s="263">
        <f>0+'táj.1.'!M19</f>
        <v>0</v>
      </c>
      <c r="N19" s="263">
        <f>0+'táj.1.'!N19</f>
        <v>0</v>
      </c>
      <c r="O19" s="206">
        <f>SUM(E19:N19)</f>
        <v>2000</v>
      </c>
    </row>
    <row r="20" spans="1:15" s="259" customFormat="1" ht="24.75" customHeight="1">
      <c r="A20" s="267"/>
      <c r="B20" s="267"/>
      <c r="C20" s="179" t="s">
        <v>1306</v>
      </c>
      <c r="D20" s="615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06"/>
    </row>
    <row r="21" spans="1:15" s="259" customFormat="1" ht="49.5" customHeight="1">
      <c r="A21" s="267"/>
      <c r="B21" s="267"/>
      <c r="C21" s="278" t="s">
        <v>1307</v>
      </c>
      <c r="D21" s="617">
        <v>132923</v>
      </c>
      <c r="E21" s="263">
        <f>14053+'táj.1.'!E21</f>
        <v>14053</v>
      </c>
      <c r="F21" s="263">
        <f>0+'táj.1.'!F21</f>
        <v>0</v>
      </c>
      <c r="G21" s="263">
        <f>0+'táj.1.'!G21</f>
        <v>0</v>
      </c>
      <c r="H21" s="263">
        <f>0+'táj.1.'!H21</f>
        <v>0</v>
      </c>
      <c r="I21" s="263">
        <f>0+'táj.1.'!I21</f>
        <v>0</v>
      </c>
      <c r="J21" s="263">
        <f>0+'táj.1.'!J21</f>
        <v>0</v>
      </c>
      <c r="K21" s="263">
        <f>0+'táj.1.'!K21</f>
        <v>0</v>
      </c>
      <c r="L21" s="263">
        <f>0+'táj.1.'!L21</f>
        <v>0</v>
      </c>
      <c r="M21" s="263">
        <f>0+'táj.1.'!M21</f>
        <v>0</v>
      </c>
      <c r="N21" s="263">
        <f>0+'táj.1.'!N21</f>
        <v>0</v>
      </c>
      <c r="O21" s="263">
        <f>SUM(E21:N21)</f>
        <v>14053</v>
      </c>
    </row>
    <row r="22" spans="1:15" s="259" customFormat="1" ht="30" customHeight="1">
      <c r="A22" s="267"/>
      <c r="B22" s="267"/>
      <c r="C22" s="260" t="s">
        <v>414</v>
      </c>
      <c r="D22" s="621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</row>
    <row r="23" spans="1:15" s="259" customFormat="1" ht="23.25" customHeight="1">
      <c r="A23" s="267"/>
      <c r="B23" s="267"/>
      <c r="C23" s="56" t="s">
        <v>829</v>
      </c>
      <c r="D23" s="617">
        <v>131119</v>
      </c>
      <c r="E23" s="263">
        <f>1500+'táj.1.'!E23</f>
        <v>1500</v>
      </c>
      <c r="F23" s="263">
        <f>0+'táj.1.'!F23</f>
        <v>0</v>
      </c>
      <c r="G23" s="263">
        <f>0+'táj.1.'!G23</f>
        <v>0</v>
      </c>
      <c r="H23" s="263">
        <f>0+'táj.1.'!H23</f>
        <v>0</v>
      </c>
      <c r="I23" s="263">
        <f>0+'táj.1.'!I23</f>
        <v>0</v>
      </c>
      <c r="J23" s="263">
        <f>0+'táj.1.'!J23</f>
        <v>0</v>
      </c>
      <c r="K23" s="263">
        <f>0+'táj.1.'!K23</f>
        <v>0</v>
      </c>
      <c r="L23" s="263">
        <f>0+'táj.1.'!L23</f>
        <v>0</v>
      </c>
      <c r="M23" s="263">
        <f>0+'táj.1.'!M23</f>
        <v>0</v>
      </c>
      <c r="N23" s="263">
        <f>0+'táj.1.'!N23</f>
        <v>0</v>
      </c>
      <c r="O23" s="263">
        <f>SUM(E23:N23)</f>
        <v>1500</v>
      </c>
    </row>
    <row r="24" spans="1:15" s="259" customFormat="1" ht="33" customHeight="1">
      <c r="A24" s="267"/>
      <c r="B24" s="267"/>
      <c r="C24" s="743" t="s">
        <v>1334</v>
      </c>
      <c r="D24" s="621">
        <v>134968</v>
      </c>
      <c r="E24" s="263">
        <f>0+'táj.1.'!E24</f>
        <v>0</v>
      </c>
      <c r="F24" s="263">
        <f>0+'táj.1.'!F24</f>
        <v>150000</v>
      </c>
      <c r="G24" s="263">
        <f>0+'táj.1.'!G24</f>
        <v>0</v>
      </c>
      <c r="H24" s="263">
        <f>0+'táj.1.'!H24</f>
        <v>0</v>
      </c>
      <c r="I24" s="263">
        <f>0+'táj.1.'!I24</f>
        <v>0</v>
      </c>
      <c r="J24" s="263">
        <f>0+'táj.1.'!J24</f>
        <v>0</v>
      </c>
      <c r="K24" s="263">
        <f>0+'táj.1.'!K24</f>
        <v>0</v>
      </c>
      <c r="L24" s="263">
        <f>0+'táj.1.'!L24</f>
        <v>0</v>
      </c>
      <c r="M24" s="263">
        <f>0+'táj.1.'!M24</f>
        <v>0</v>
      </c>
      <c r="N24" s="263">
        <f>0+'táj.1.'!N24</f>
        <v>0</v>
      </c>
      <c r="O24" s="263">
        <f aca="true" t="shared" si="1" ref="O24:O31">SUM(E24:N24)</f>
        <v>150000</v>
      </c>
    </row>
    <row r="25" spans="1:15" s="259" customFormat="1" ht="34.5" customHeight="1">
      <c r="A25" s="267"/>
      <c r="B25" s="267"/>
      <c r="C25" s="743" t="s">
        <v>1335</v>
      </c>
      <c r="D25" s="621">
        <v>134969</v>
      </c>
      <c r="E25" s="263">
        <f>0+'táj.1.'!E25</f>
        <v>0</v>
      </c>
      <c r="F25" s="263">
        <f>0+'táj.1.'!F25</f>
        <v>150000</v>
      </c>
      <c r="G25" s="263">
        <f>0+'táj.1.'!G25</f>
        <v>0</v>
      </c>
      <c r="H25" s="263">
        <f>0+'táj.1.'!H25</f>
        <v>0</v>
      </c>
      <c r="I25" s="263">
        <f>0+'táj.1.'!I25</f>
        <v>0</v>
      </c>
      <c r="J25" s="263">
        <f>0+'táj.1.'!J25</f>
        <v>0</v>
      </c>
      <c r="K25" s="263">
        <f>0+'táj.1.'!K25</f>
        <v>0</v>
      </c>
      <c r="L25" s="263">
        <f>0+'táj.1.'!L25</f>
        <v>0</v>
      </c>
      <c r="M25" s="263">
        <f>0+'táj.1.'!M25</f>
        <v>0</v>
      </c>
      <c r="N25" s="263">
        <f>0+'táj.1.'!N25</f>
        <v>0</v>
      </c>
      <c r="O25" s="263">
        <f t="shared" si="1"/>
        <v>150000</v>
      </c>
    </row>
    <row r="26" spans="1:15" s="259" customFormat="1" ht="37.5" customHeight="1">
      <c r="A26" s="267"/>
      <c r="B26" s="267"/>
      <c r="C26" s="730" t="s">
        <v>1062</v>
      </c>
      <c r="D26" s="617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</row>
    <row r="27" spans="1:15" s="259" customFormat="1" ht="23.25" customHeight="1">
      <c r="A27" s="267"/>
      <c r="B27" s="267"/>
      <c r="C27" s="56" t="s">
        <v>1061</v>
      </c>
      <c r="D27" s="617">
        <v>131709</v>
      </c>
      <c r="E27" s="263">
        <f>29240+'táj.1.'!E27</f>
        <v>29240</v>
      </c>
      <c r="F27" s="263">
        <f>0+'táj.1.'!F27</f>
        <v>0</v>
      </c>
      <c r="G27" s="263">
        <f>0+'táj.1.'!G27</f>
        <v>0</v>
      </c>
      <c r="H27" s="263">
        <f>0+'táj.1.'!H27</f>
        <v>0</v>
      </c>
      <c r="I27" s="263">
        <f>0+'táj.1.'!I27</f>
        <v>0</v>
      </c>
      <c r="J27" s="263">
        <f>0+'táj.1.'!J27</f>
        <v>0</v>
      </c>
      <c r="K27" s="263">
        <f>0+'táj.1.'!K27</f>
        <v>0</v>
      </c>
      <c r="L27" s="263">
        <f>0+'táj.1.'!L27</f>
        <v>0</v>
      </c>
      <c r="M27" s="263">
        <f>0+'táj.1.'!M27</f>
        <v>0</v>
      </c>
      <c r="N27" s="263">
        <f>0+'táj.1.'!N27</f>
        <v>0</v>
      </c>
      <c r="O27" s="263">
        <f t="shared" si="1"/>
        <v>29240</v>
      </c>
    </row>
    <row r="28" spans="1:15" s="259" customFormat="1" ht="23.25" customHeight="1">
      <c r="A28" s="267"/>
      <c r="B28" s="267"/>
      <c r="C28" s="59" t="s">
        <v>1336</v>
      </c>
      <c r="D28" s="617">
        <v>131504</v>
      </c>
      <c r="E28" s="263">
        <f>0+'táj.1.'!E28</f>
        <v>1553</v>
      </c>
      <c r="F28" s="263">
        <f>0+'táj.1.'!F28</f>
        <v>0</v>
      </c>
      <c r="G28" s="263">
        <f>0+'táj.1.'!G28</f>
        <v>0</v>
      </c>
      <c r="H28" s="263">
        <f>0+'táj.1.'!H28</f>
        <v>6</v>
      </c>
      <c r="I28" s="263">
        <f>0+'táj.1.'!I28</f>
        <v>0</v>
      </c>
      <c r="J28" s="263">
        <f>0+'táj.1.'!J28</f>
        <v>0</v>
      </c>
      <c r="K28" s="263">
        <f>0+'táj.1.'!K28</f>
        <v>0</v>
      </c>
      <c r="L28" s="263">
        <f>0+'táj.1.'!L28</f>
        <v>0</v>
      </c>
      <c r="M28" s="263">
        <f>0+'táj.1.'!M28</f>
        <v>0</v>
      </c>
      <c r="N28" s="263">
        <f>0+'táj.1.'!N28</f>
        <v>0</v>
      </c>
      <c r="O28" s="263">
        <f t="shared" si="1"/>
        <v>1559</v>
      </c>
    </row>
    <row r="29" spans="1:15" s="259" customFormat="1" ht="23.25" customHeight="1">
      <c r="A29" s="267"/>
      <c r="B29" s="267"/>
      <c r="C29" s="178" t="s">
        <v>1337</v>
      </c>
      <c r="D29" s="621">
        <v>132964</v>
      </c>
      <c r="E29" s="263">
        <f>0+'táj.1.'!E29</f>
        <v>0</v>
      </c>
      <c r="F29" s="263">
        <f>0+'táj.1.'!F29</f>
        <v>6860</v>
      </c>
      <c r="G29" s="263">
        <f>0+'táj.1.'!G29</f>
        <v>0</v>
      </c>
      <c r="H29" s="263">
        <f>0+'táj.1.'!H29</f>
        <v>0</v>
      </c>
      <c r="I29" s="263">
        <f>0+'táj.1.'!I29</f>
        <v>0</v>
      </c>
      <c r="J29" s="263">
        <f>0+'táj.1.'!J29</f>
        <v>0</v>
      </c>
      <c r="K29" s="263">
        <f>0+'táj.1.'!K29</f>
        <v>0</v>
      </c>
      <c r="L29" s="263">
        <f>0+'táj.1.'!L29</f>
        <v>0</v>
      </c>
      <c r="M29" s="263">
        <f>0+'táj.1.'!M29</f>
        <v>0</v>
      </c>
      <c r="N29" s="263">
        <f>0+'táj.1.'!N29</f>
        <v>0</v>
      </c>
      <c r="O29" s="263">
        <f t="shared" si="1"/>
        <v>6860</v>
      </c>
    </row>
    <row r="30" spans="1:15" s="259" customFormat="1" ht="23.25" customHeight="1">
      <c r="A30" s="267"/>
      <c r="B30" s="267"/>
      <c r="C30" s="178" t="s">
        <v>372</v>
      </c>
      <c r="D30" s="621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</row>
    <row r="31" spans="1:15" s="259" customFormat="1" ht="23.25" customHeight="1">
      <c r="A31" s="267"/>
      <c r="B31" s="267"/>
      <c r="C31" s="59" t="s">
        <v>1338</v>
      </c>
      <c r="D31" s="617">
        <v>132945</v>
      </c>
      <c r="E31" s="263">
        <f>0+'táj.1.'!E31</f>
        <v>0</v>
      </c>
      <c r="F31" s="263">
        <f>0+'táj.1.'!F31</f>
        <v>0</v>
      </c>
      <c r="G31" s="263">
        <f>0+'táj.1.'!G31</f>
        <v>0</v>
      </c>
      <c r="H31" s="263">
        <f>0+'táj.1.'!H31</f>
        <v>945</v>
      </c>
      <c r="I31" s="263">
        <f>0+'táj.1.'!I31</f>
        <v>3500</v>
      </c>
      <c r="J31" s="263">
        <f>0+'táj.1.'!J31</f>
        <v>0</v>
      </c>
      <c r="K31" s="263">
        <f>0+'táj.1.'!K31</f>
        <v>0</v>
      </c>
      <c r="L31" s="263">
        <f>0+'táj.1.'!L31</f>
        <v>0</v>
      </c>
      <c r="M31" s="263">
        <f>0+'táj.1.'!M31</f>
        <v>0</v>
      </c>
      <c r="N31" s="263">
        <f>0+'táj.1.'!N31</f>
        <v>0</v>
      </c>
      <c r="O31" s="263">
        <f t="shared" si="1"/>
        <v>4445</v>
      </c>
    </row>
    <row r="32" spans="1:15" s="259" customFormat="1" ht="13.5" customHeight="1">
      <c r="A32" s="264"/>
      <c r="B32" s="264"/>
      <c r="C32" s="265" t="s">
        <v>356</v>
      </c>
      <c r="D32" s="618"/>
      <c r="E32" s="279">
        <f>SUM(E15:E31)</f>
        <v>69669</v>
      </c>
      <c r="F32" s="279">
        <f aca="true" t="shared" si="2" ref="F32:O32">SUM(F15:F31)</f>
        <v>306860</v>
      </c>
      <c r="G32" s="279">
        <f t="shared" si="2"/>
        <v>0</v>
      </c>
      <c r="H32" s="279">
        <f t="shared" si="2"/>
        <v>6412</v>
      </c>
      <c r="I32" s="279">
        <f t="shared" si="2"/>
        <v>3500</v>
      </c>
      <c r="J32" s="279">
        <f t="shared" si="2"/>
        <v>2000</v>
      </c>
      <c r="K32" s="279">
        <f t="shared" si="2"/>
        <v>0</v>
      </c>
      <c r="L32" s="279">
        <f t="shared" si="2"/>
        <v>0</v>
      </c>
      <c r="M32" s="279">
        <f t="shared" si="2"/>
        <v>0</v>
      </c>
      <c r="N32" s="279">
        <f t="shared" si="2"/>
        <v>0</v>
      </c>
      <c r="O32" s="279">
        <f t="shared" si="2"/>
        <v>388441</v>
      </c>
    </row>
    <row r="33" spans="1:15" s="250" customFormat="1" ht="13.5" customHeight="1">
      <c r="A33" s="251">
        <v>1</v>
      </c>
      <c r="B33" s="251">
        <v>15</v>
      </c>
      <c r="C33" s="255" t="s">
        <v>689</v>
      </c>
      <c r="D33" s="619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</row>
    <row r="34" spans="1:15" s="250" customFormat="1" ht="24.75" customHeight="1">
      <c r="A34" s="251"/>
      <c r="B34" s="251"/>
      <c r="C34" s="200" t="s">
        <v>1308</v>
      </c>
      <c r="D34" s="620"/>
      <c r="E34" s="281"/>
      <c r="F34" s="280"/>
      <c r="G34" s="280"/>
      <c r="H34" s="280"/>
      <c r="I34" s="280"/>
      <c r="J34" s="280"/>
      <c r="K34" s="280"/>
      <c r="L34" s="280"/>
      <c r="M34" s="280"/>
      <c r="N34" s="280"/>
      <c r="O34" s="280"/>
    </row>
    <row r="35" spans="1:15" s="250" customFormat="1" ht="24.75" customHeight="1">
      <c r="A35" s="251"/>
      <c r="B35" s="251"/>
      <c r="C35" s="190" t="s">
        <v>1309</v>
      </c>
      <c r="D35" s="621">
        <v>151906</v>
      </c>
      <c r="E35" s="280">
        <f>0+'táj.1.'!E35</f>
        <v>0</v>
      </c>
      <c r="F35" s="280">
        <f>0+'táj.1.'!F35</f>
        <v>0</v>
      </c>
      <c r="G35" s="280">
        <f>0+'táj.1.'!G35</f>
        <v>0</v>
      </c>
      <c r="H35" s="280">
        <f>32753+'táj.1.'!H35</f>
        <v>32753</v>
      </c>
      <c r="I35" s="280">
        <f>0+'táj.1.'!I35</f>
        <v>0</v>
      </c>
      <c r="J35" s="280">
        <f>0+'táj.1.'!J35</f>
        <v>0</v>
      </c>
      <c r="K35" s="280">
        <f>0+'táj.1.'!K35</f>
        <v>0</v>
      </c>
      <c r="L35" s="280">
        <f>0+'táj.1.'!L35</f>
        <v>0</v>
      </c>
      <c r="M35" s="280">
        <f>0+'táj.1.'!M35</f>
        <v>0</v>
      </c>
      <c r="N35" s="280">
        <f>0+'táj.1.'!N35</f>
        <v>0</v>
      </c>
      <c r="O35" s="280">
        <f>SUM(E35:N35)</f>
        <v>32753</v>
      </c>
    </row>
    <row r="36" spans="1:15" s="250" customFormat="1" ht="12.75" customHeight="1">
      <c r="A36" s="251"/>
      <c r="B36" s="251"/>
      <c r="C36" s="282" t="s">
        <v>1310</v>
      </c>
      <c r="D36" s="632">
        <v>151907</v>
      </c>
      <c r="E36" s="280">
        <f>0+'táj.1.'!E36</f>
        <v>0</v>
      </c>
      <c r="F36" s="280">
        <f>0+'táj.1.'!F36</f>
        <v>0</v>
      </c>
      <c r="G36" s="280">
        <f>0+'táj.1.'!G36</f>
        <v>0</v>
      </c>
      <c r="H36" s="280">
        <f>199890+'táj.1.'!H36</f>
        <v>188943</v>
      </c>
      <c r="I36" s="280">
        <f>0+'táj.1.'!I36</f>
        <v>0</v>
      </c>
      <c r="J36" s="280">
        <f>0+'táj.1.'!J36</f>
        <v>0</v>
      </c>
      <c r="K36" s="280">
        <f>0+'táj.1.'!K36</f>
        <v>0</v>
      </c>
      <c r="L36" s="280">
        <f>0+'táj.1.'!L36</f>
        <v>0</v>
      </c>
      <c r="M36" s="280">
        <f>0+'táj.1.'!M36</f>
        <v>0</v>
      </c>
      <c r="N36" s="280">
        <f>0+'táj.1.'!N36</f>
        <v>0</v>
      </c>
      <c r="O36" s="280">
        <f>SUM(E36:N36)</f>
        <v>188943</v>
      </c>
    </row>
    <row r="37" spans="2:15" s="250" customFormat="1" ht="12.75" customHeight="1">
      <c r="B37" s="251"/>
      <c r="C37" s="282" t="s">
        <v>1311</v>
      </c>
      <c r="D37" s="632">
        <v>151915</v>
      </c>
      <c r="E37" s="280">
        <f>0+'táj.1.'!E37</f>
        <v>0</v>
      </c>
      <c r="F37" s="280">
        <f>0+'táj.1.'!F37</f>
        <v>0</v>
      </c>
      <c r="G37" s="280">
        <f>0+'táj.1.'!G37</f>
        <v>0</v>
      </c>
      <c r="H37" s="280">
        <f>2668+'táj.1.'!H37</f>
        <v>2668</v>
      </c>
      <c r="I37" s="280">
        <f>0+'táj.1.'!I37</f>
        <v>0</v>
      </c>
      <c r="J37" s="280">
        <f>0+'táj.1.'!J37</f>
        <v>0</v>
      </c>
      <c r="K37" s="280">
        <f>0+'táj.1.'!K37</f>
        <v>0</v>
      </c>
      <c r="L37" s="280">
        <f>0+'táj.1.'!L37</f>
        <v>0</v>
      </c>
      <c r="M37" s="280">
        <f>0+'táj.1.'!M37</f>
        <v>0</v>
      </c>
      <c r="N37" s="280">
        <f>0+'táj.1.'!N37</f>
        <v>0</v>
      </c>
      <c r="O37" s="280">
        <f>SUM(E37:N37)</f>
        <v>2668</v>
      </c>
    </row>
    <row r="38" spans="1:15" s="250" customFormat="1" ht="12.75" customHeight="1">
      <c r="A38" s="251"/>
      <c r="B38" s="251"/>
      <c r="C38" s="689" t="s">
        <v>1339</v>
      </c>
      <c r="D38" s="632">
        <v>151909</v>
      </c>
      <c r="E38" s="280">
        <f>0+'táj.1.'!E38</f>
        <v>0</v>
      </c>
      <c r="F38" s="280">
        <f>0+'táj.1.'!F38</f>
        <v>0</v>
      </c>
      <c r="G38" s="280">
        <f>0+'táj.1.'!G38</f>
        <v>0</v>
      </c>
      <c r="H38" s="280">
        <f>0+'táj.1.'!H38</f>
        <v>3721</v>
      </c>
      <c r="I38" s="280">
        <f>0+'táj.1.'!I38</f>
        <v>0</v>
      </c>
      <c r="J38" s="280">
        <f>0+'táj.1.'!J38</f>
        <v>0</v>
      </c>
      <c r="K38" s="280">
        <f>0+'táj.1.'!K38</f>
        <v>0</v>
      </c>
      <c r="L38" s="280">
        <f>0+'táj.1.'!L38</f>
        <v>0</v>
      </c>
      <c r="M38" s="280">
        <f>0+'táj.1.'!M38</f>
        <v>0</v>
      </c>
      <c r="N38" s="280">
        <f>0+'táj.1.'!N38</f>
        <v>0</v>
      </c>
      <c r="O38" s="280">
        <f>SUM(E38:N38)</f>
        <v>3721</v>
      </c>
    </row>
    <row r="39" spans="1:15" s="250" customFormat="1" ht="12.75" customHeight="1">
      <c r="A39" s="251"/>
      <c r="B39" s="251"/>
      <c r="C39" s="283" t="s">
        <v>1312</v>
      </c>
      <c r="D39" s="633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0" spans="1:15" s="250" customFormat="1" ht="12.75" customHeight="1">
      <c r="A40" s="251"/>
      <c r="B40" s="251"/>
      <c r="C40" s="282" t="s">
        <v>759</v>
      </c>
      <c r="D40" s="632">
        <v>152908</v>
      </c>
      <c r="E40" s="280">
        <f>0+'táj.1.'!E40</f>
        <v>0</v>
      </c>
      <c r="F40" s="280">
        <f>0+'táj.1.'!F40</f>
        <v>0</v>
      </c>
      <c r="G40" s="280">
        <f>0+'táj.1.'!G40</f>
        <v>0</v>
      </c>
      <c r="H40" s="280">
        <f>6350+'táj.1.'!H40</f>
        <v>6350</v>
      </c>
      <c r="I40" s="280">
        <f>0+'táj.1.'!I40</f>
        <v>0</v>
      </c>
      <c r="J40" s="280">
        <f>0+'táj.1.'!J40</f>
        <v>0</v>
      </c>
      <c r="K40" s="280">
        <f>0+'táj.1.'!K40</f>
        <v>0</v>
      </c>
      <c r="L40" s="280">
        <f>0+'táj.1.'!L40</f>
        <v>0</v>
      </c>
      <c r="M40" s="280">
        <f>0+'táj.1.'!M40</f>
        <v>0</v>
      </c>
      <c r="N40" s="280">
        <f>0+'táj.1.'!N40</f>
        <v>0</v>
      </c>
      <c r="O40" s="280">
        <f>SUM(E40:N40)</f>
        <v>6350</v>
      </c>
    </row>
    <row r="41" spans="1:15" s="250" customFormat="1" ht="12.75" customHeight="1">
      <c r="A41" s="251"/>
      <c r="B41" s="251"/>
      <c r="C41" s="744" t="s">
        <v>1340</v>
      </c>
      <c r="D41" s="757">
        <v>151507</v>
      </c>
      <c r="E41" s="280">
        <f>0+'táj.1.'!E41</f>
        <v>0</v>
      </c>
      <c r="F41" s="280">
        <f>0+'táj.1.'!F41</f>
        <v>0</v>
      </c>
      <c r="G41" s="280">
        <f>0+'táj.1.'!G41</f>
        <v>0</v>
      </c>
      <c r="H41" s="280">
        <f>0+'táj.1.'!H41</f>
        <v>0</v>
      </c>
      <c r="I41" s="280">
        <f>0+'táj.1.'!I41</f>
        <v>0</v>
      </c>
      <c r="J41" s="280">
        <f>0+'táj.1.'!J41</f>
        <v>92</v>
      </c>
      <c r="K41" s="280">
        <f>0+'táj.1.'!K41</f>
        <v>0</v>
      </c>
      <c r="L41" s="280">
        <f>0+'táj.1.'!L41</f>
        <v>0</v>
      </c>
      <c r="M41" s="280">
        <f>0+'táj.1.'!M41</f>
        <v>0</v>
      </c>
      <c r="N41" s="280">
        <f>0+'táj.1.'!N41</f>
        <v>0</v>
      </c>
      <c r="O41" s="280">
        <f>SUM(E41:N41)</f>
        <v>92</v>
      </c>
    </row>
    <row r="42" spans="1:15" s="250" customFormat="1" ht="21" customHeight="1">
      <c r="A42" s="251"/>
      <c r="B42" s="251"/>
      <c r="C42" s="397" t="s">
        <v>937</v>
      </c>
      <c r="D42" s="781">
        <v>154511</v>
      </c>
      <c r="E42" s="280">
        <f>540+'táj.1.'!E42</f>
        <v>540</v>
      </c>
      <c r="F42" s="280">
        <f>0+'táj.1.'!F42</f>
        <v>0</v>
      </c>
      <c r="G42" s="280">
        <f>0+'táj.1.'!G42</f>
        <v>0</v>
      </c>
      <c r="H42" s="280">
        <f>0+'táj.1.'!H42</f>
        <v>0</v>
      </c>
      <c r="I42" s="280">
        <f>0+'táj.1.'!I42</f>
        <v>0</v>
      </c>
      <c r="J42" s="280">
        <f>0+'táj.1.'!J42</f>
        <v>0</v>
      </c>
      <c r="K42" s="280">
        <f>0+'táj.1.'!K42</f>
        <v>0</v>
      </c>
      <c r="L42" s="280">
        <f>0+'táj.1.'!L42</f>
        <v>0</v>
      </c>
      <c r="M42" s="280">
        <f>0+'táj.1.'!M42</f>
        <v>0</v>
      </c>
      <c r="N42" s="280">
        <f>0+'táj.1.'!N42</f>
        <v>0</v>
      </c>
      <c r="O42" s="280">
        <f>SUM(E42:N42)</f>
        <v>540</v>
      </c>
    </row>
    <row r="43" spans="1:15" s="250" customFormat="1" ht="24.75" customHeight="1">
      <c r="A43" s="251"/>
      <c r="B43" s="251"/>
      <c r="C43" s="180" t="s">
        <v>372</v>
      </c>
      <c r="D43" s="62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</row>
    <row r="44" spans="1:16" s="250" customFormat="1" ht="33.75" customHeight="1">
      <c r="A44" s="251"/>
      <c r="B44" s="251"/>
      <c r="C44" s="284" t="s">
        <v>385</v>
      </c>
      <c r="D44" s="623">
        <v>152117</v>
      </c>
      <c r="E44" s="280">
        <f>0+'táj.1.'!E44</f>
        <v>0</v>
      </c>
      <c r="F44" s="280">
        <f>254520+'táj.1.'!F44</f>
        <v>254520</v>
      </c>
      <c r="G44" s="280">
        <f>0+'táj.1.'!G44</f>
        <v>0</v>
      </c>
      <c r="H44" s="280">
        <f>0+'táj.1.'!H44</f>
        <v>0</v>
      </c>
      <c r="I44" s="280">
        <f>0+'táj.1.'!I44</f>
        <v>0</v>
      </c>
      <c r="J44" s="280">
        <f>0+'táj.1.'!J44</f>
        <v>0</v>
      </c>
      <c r="K44" s="280">
        <f>0+'táj.1.'!K44</f>
        <v>0</v>
      </c>
      <c r="L44" s="280">
        <f>0+'táj.1.'!L44</f>
        <v>0</v>
      </c>
      <c r="M44" s="280">
        <f>0+'táj.1.'!M44</f>
        <v>0</v>
      </c>
      <c r="N44" s="280">
        <f>0+'táj.1.'!N44</f>
        <v>0</v>
      </c>
      <c r="O44" s="280">
        <f>SUM(E44:N44)</f>
        <v>254520</v>
      </c>
      <c r="P44" s="285"/>
    </row>
    <row r="45" spans="1:16" s="250" customFormat="1" ht="28.5" customHeight="1">
      <c r="A45" s="251"/>
      <c r="B45" s="251"/>
      <c r="C45" s="284" t="s">
        <v>1313</v>
      </c>
      <c r="D45" s="623">
        <v>152117</v>
      </c>
      <c r="E45" s="280">
        <f>0+'táj.1.'!E45</f>
        <v>0</v>
      </c>
      <c r="F45" s="280">
        <f>0+'táj.1.'!F45</f>
        <v>0</v>
      </c>
      <c r="G45" s="280">
        <f>0+'táj.1.'!G45</f>
        <v>0</v>
      </c>
      <c r="H45" s="280">
        <f>250949+'táj.1.'!H45</f>
        <v>250949</v>
      </c>
      <c r="I45" s="280">
        <f>0+'táj.1.'!I45</f>
        <v>0</v>
      </c>
      <c r="J45" s="280">
        <f>0+'táj.1.'!J45</f>
        <v>0</v>
      </c>
      <c r="K45" s="280">
        <f>0+'táj.1.'!K45</f>
        <v>0</v>
      </c>
      <c r="L45" s="280">
        <f>0+'táj.1.'!L45</f>
        <v>0</v>
      </c>
      <c r="M45" s="280">
        <f>0+'táj.1.'!M45</f>
        <v>0</v>
      </c>
      <c r="N45" s="280">
        <f>0+'táj.1.'!N45</f>
        <v>0</v>
      </c>
      <c r="O45" s="280">
        <f>SUM(E45:N45)</f>
        <v>250949</v>
      </c>
      <c r="P45" s="285"/>
    </row>
    <row r="46" spans="1:16" s="250" customFormat="1" ht="17.25" customHeight="1">
      <c r="A46" s="251"/>
      <c r="B46" s="251"/>
      <c r="C46" s="692" t="s">
        <v>938</v>
      </c>
      <c r="D46" s="623">
        <v>151611</v>
      </c>
      <c r="E46" s="280">
        <f>0+'táj.1.'!E46</f>
        <v>0</v>
      </c>
      <c r="F46" s="280">
        <f>0+'táj.1.'!F46</f>
        <v>0</v>
      </c>
      <c r="G46" s="280">
        <f>0+'táj.1.'!G46</f>
        <v>0</v>
      </c>
      <c r="H46" s="280">
        <f>2574+'táj.1.'!H46</f>
        <v>4938</v>
      </c>
      <c r="I46" s="280">
        <f>0+'táj.1.'!I46</f>
        <v>0</v>
      </c>
      <c r="J46" s="280">
        <f>0+'táj.1.'!J46</f>
        <v>0</v>
      </c>
      <c r="K46" s="280">
        <f>0+'táj.1.'!K46</f>
        <v>0</v>
      </c>
      <c r="L46" s="280">
        <f>0+'táj.1.'!L46</f>
        <v>0</v>
      </c>
      <c r="M46" s="280">
        <f>0+'táj.1.'!M46</f>
        <v>0</v>
      </c>
      <c r="N46" s="280">
        <f>0+'táj.1.'!N46</f>
        <v>0</v>
      </c>
      <c r="O46" s="280">
        <f>SUM(E46:N46)</f>
        <v>4938</v>
      </c>
      <c r="P46" s="285"/>
    </row>
    <row r="47" spans="1:16" s="250" customFormat="1" ht="24.75" customHeight="1">
      <c r="A47" s="251"/>
      <c r="B47" s="251"/>
      <c r="C47" s="692" t="s">
        <v>1341</v>
      </c>
      <c r="D47" s="623">
        <v>152450</v>
      </c>
      <c r="E47" s="280">
        <f>0+'táj.1.'!E47</f>
        <v>0</v>
      </c>
      <c r="F47" s="280">
        <f>0+'táj.1.'!F47</f>
        <v>0</v>
      </c>
      <c r="G47" s="280">
        <f>0+'táj.1.'!G47</f>
        <v>0</v>
      </c>
      <c r="H47" s="280">
        <f>0+'táj.1.'!H47</f>
        <v>0</v>
      </c>
      <c r="I47" s="280">
        <f>0+'táj.1.'!I47</f>
        <v>0</v>
      </c>
      <c r="J47" s="280">
        <f>0+'táj.1.'!J47</f>
        <v>0</v>
      </c>
      <c r="K47" s="280">
        <f>0+'táj.1.'!K47</f>
        <v>2090</v>
      </c>
      <c r="L47" s="280">
        <f>0+'táj.1.'!L47</f>
        <v>0</v>
      </c>
      <c r="M47" s="280">
        <f>0+'táj.1.'!M47</f>
        <v>0</v>
      </c>
      <c r="N47" s="280">
        <f>0+'táj.1.'!N47</f>
        <v>0</v>
      </c>
      <c r="O47" s="280">
        <f>SUM(E47:N47)</f>
        <v>2090</v>
      </c>
      <c r="P47" s="285"/>
    </row>
    <row r="48" spans="1:16" s="250" customFormat="1" ht="24.75" customHeight="1">
      <c r="A48" s="251"/>
      <c r="B48" s="251"/>
      <c r="C48" s="286" t="s">
        <v>791</v>
      </c>
      <c r="D48" s="624"/>
      <c r="E48" s="280"/>
      <c r="F48" s="206"/>
      <c r="G48" s="280"/>
      <c r="H48" s="280"/>
      <c r="I48" s="280"/>
      <c r="J48" s="280"/>
      <c r="K48" s="280"/>
      <c r="L48" s="280"/>
      <c r="M48" s="280"/>
      <c r="N48" s="280"/>
      <c r="O48" s="280"/>
      <c r="P48" s="285"/>
    </row>
    <row r="49" spans="1:16" s="250" customFormat="1" ht="30.75" customHeight="1">
      <c r="A49" s="251"/>
      <c r="B49" s="251"/>
      <c r="C49" s="191" t="s">
        <v>232</v>
      </c>
      <c r="D49" s="625">
        <v>152204</v>
      </c>
      <c r="E49" s="280">
        <f>0+'táj.1.'!E49</f>
        <v>0</v>
      </c>
      <c r="F49" s="280">
        <f>88920+'táj.1.'!F49</f>
        <v>8892</v>
      </c>
      <c r="G49" s="280">
        <f>0+'táj.1.'!G49</f>
        <v>0</v>
      </c>
      <c r="H49" s="280">
        <f>0+'táj.1.'!H49</f>
        <v>0</v>
      </c>
      <c r="I49" s="280">
        <f>0+'táj.1.'!I49</f>
        <v>0</v>
      </c>
      <c r="J49" s="280">
        <f>0+'táj.1.'!J49</f>
        <v>0</v>
      </c>
      <c r="K49" s="280">
        <f>0+'táj.1.'!K49</f>
        <v>0</v>
      </c>
      <c r="L49" s="280">
        <f>0+'táj.1.'!L49</f>
        <v>0</v>
      </c>
      <c r="M49" s="280">
        <f>0+'táj.1.'!M49</f>
        <v>0</v>
      </c>
      <c r="N49" s="280">
        <f>0+'táj.1.'!N49</f>
        <v>0</v>
      </c>
      <c r="O49" s="280">
        <f>SUM(E49:N49)</f>
        <v>8892</v>
      </c>
      <c r="P49" s="285"/>
    </row>
    <row r="50" spans="1:16" s="250" customFormat="1" ht="36.75" customHeight="1">
      <c r="A50" s="251"/>
      <c r="B50" s="251"/>
      <c r="C50" s="191" t="s">
        <v>233</v>
      </c>
      <c r="D50" s="625">
        <v>152204</v>
      </c>
      <c r="E50" s="280">
        <f>'táj.1.'!E50</f>
        <v>0</v>
      </c>
      <c r="F50" s="280">
        <f>252920+'táj.1.'!F50</f>
        <v>332948</v>
      </c>
      <c r="G50" s="280">
        <f>'táj.1.'!G50</f>
        <v>0</v>
      </c>
      <c r="H50" s="280">
        <f>'táj.1.'!H50</f>
        <v>0</v>
      </c>
      <c r="I50" s="280">
        <f>'táj.1.'!I50</f>
        <v>0</v>
      </c>
      <c r="J50" s="280">
        <f>'táj.1.'!J50</f>
        <v>0</v>
      </c>
      <c r="K50" s="280">
        <f>'táj.1.'!K50</f>
        <v>0</v>
      </c>
      <c r="L50" s="280">
        <f>'táj.1.'!L50</f>
        <v>0</v>
      </c>
      <c r="M50" s="280">
        <f>'táj.1.'!M50</f>
        <v>0</v>
      </c>
      <c r="N50" s="280">
        <f>'táj.1.'!N50</f>
        <v>0</v>
      </c>
      <c r="O50" s="280">
        <f>SUM(E50:N50)</f>
        <v>332948</v>
      </c>
      <c r="P50" s="285"/>
    </row>
    <row r="51" spans="1:16" s="250" customFormat="1" ht="15" customHeight="1">
      <c r="A51" s="251"/>
      <c r="B51" s="251"/>
      <c r="C51" s="287" t="s">
        <v>1314</v>
      </c>
      <c r="D51" s="625">
        <v>152920</v>
      </c>
      <c r="E51" s="280">
        <f>0+'táj.1.'!E51</f>
        <v>0</v>
      </c>
      <c r="F51" s="280">
        <f>9348+'táj.1.'!F51</f>
        <v>9348</v>
      </c>
      <c r="G51" s="280">
        <f>0+'táj.1.'!G51</f>
        <v>0</v>
      </c>
      <c r="H51" s="280">
        <f>0+'táj.1.'!H51</f>
        <v>0</v>
      </c>
      <c r="I51" s="280">
        <f>0+'táj.1.'!I51</f>
        <v>0</v>
      </c>
      <c r="J51" s="280">
        <f>0+'táj.1.'!J51</f>
        <v>0</v>
      </c>
      <c r="K51" s="280">
        <f>0+'táj.1.'!K51</f>
        <v>0</v>
      </c>
      <c r="L51" s="280">
        <f>0+'táj.1.'!L51</f>
        <v>0</v>
      </c>
      <c r="M51" s="280">
        <f>0+'táj.1.'!M51</f>
        <v>0</v>
      </c>
      <c r="N51" s="280">
        <f>0+'táj.1.'!N51</f>
        <v>0</v>
      </c>
      <c r="O51" s="280">
        <f>SUM(E51:N51)</f>
        <v>9348</v>
      </c>
      <c r="P51" s="285"/>
    </row>
    <row r="52" spans="1:15" s="250" customFormat="1" ht="24.75" customHeight="1">
      <c r="A52" s="251"/>
      <c r="B52" s="251"/>
      <c r="C52" s="190" t="s">
        <v>1315</v>
      </c>
      <c r="D52" s="621"/>
      <c r="E52" s="280"/>
      <c r="F52" s="288"/>
      <c r="G52" s="280"/>
      <c r="H52" s="206"/>
      <c r="I52" s="206"/>
      <c r="J52" s="206"/>
      <c r="K52" s="206"/>
      <c r="L52" s="206"/>
      <c r="M52" s="206"/>
      <c r="N52" s="206"/>
      <c r="O52" s="280"/>
    </row>
    <row r="53" spans="1:15" s="250" customFormat="1" ht="24.75" customHeight="1">
      <c r="A53" s="251"/>
      <c r="B53" s="251"/>
      <c r="C53" s="271" t="s">
        <v>1318</v>
      </c>
      <c r="D53" s="626">
        <v>151910</v>
      </c>
      <c r="E53" s="280">
        <f>0+'táj.1.'!E53</f>
        <v>0</v>
      </c>
      <c r="F53" s="280">
        <f>0+'táj.1.'!F53</f>
        <v>0</v>
      </c>
      <c r="G53" s="280">
        <f>0+'táj.1.'!G53</f>
        <v>0</v>
      </c>
      <c r="H53" s="280">
        <f>190500+'táj.1.'!H53</f>
        <v>203200</v>
      </c>
      <c r="I53" s="280">
        <f>0+'táj.1.'!I53</f>
        <v>0</v>
      </c>
      <c r="J53" s="280">
        <f>0+'táj.1.'!J53</f>
        <v>0</v>
      </c>
      <c r="K53" s="280">
        <f>0+'táj.1.'!K53</f>
        <v>0</v>
      </c>
      <c r="L53" s="280">
        <f>0+'táj.1.'!L53</f>
        <v>0</v>
      </c>
      <c r="M53" s="280">
        <f>0+'táj.1.'!M53</f>
        <v>0</v>
      </c>
      <c r="N53" s="280">
        <f>0+'táj.1.'!N53</f>
        <v>0</v>
      </c>
      <c r="O53" s="280">
        <f>SUM(E53:N53)</f>
        <v>203200</v>
      </c>
    </row>
    <row r="54" spans="1:15" s="250" customFormat="1" ht="24.75" customHeight="1">
      <c r="A54" s="251"/>
      <c r="B54" s="251"/>
      <c r="C54" s="204" t="s">
        <v>359</v>
      </c>
      <c r="D54" s="624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</row>
    <row r="55" spans="1:15" s="250" customFormat="1" ht="24.75" customHeight="1">
      <c r="A55" s="251"/>
      <c r="B55" s="251"/>
      <c r="C55" s="16" t="s">
        <v>939</v>
      </c>
      <c r="D55" s="624">
        <v>151601</v>
      </c>
      <c r="E55" s="280">
        <f>0+'táj.1.'!E55</f>
        <v>0</v>
      </c>
      <c r="F55" s="280">
        <f>0+'táj.1.'!F55</f>
        <v>0</v>
      </c>
      <c r="G55" s="280">
        <f>0+'táj.1.'!G55</f>
        <v>0</v>
      </c>
      <c r="H55" s="280">
        <f>281+'táj.1.'!H55</f>
        <v>281</v>
      </c>
      <c r="I55" s="280">
        <f>0+'táj.1.'!I55</f>
        <v>0</v>
      </c>
      <c r="J55" s="280">
        <f>0+'táj.1.'!J55</f>
        <v>0</v>
      </c>
      <c r="K55" s="280">
        <f>0+'táj.1.'!K55</f>
        <v>0</v>
      </c>
      <c r="L55" s="280">
        <f>0+'táj.1.'!L55</f>
        <v>0</v>
      </c>
      <c r="M55" s="280">
        <f>0+'táj.1.'!M55</f>
        <v>0</v>
      </c>
      <c r="N55" s="280">
        <f>0+'táj.1.'!N55</f>
        <v>0</v>
      </c>
      <c r="O55" s="280">
        <f>SUM(E55:N55)</f>
        <v>281</v>
      </c>
    </row>
    <row r="56" spans="1:15" s="250" customFormat="1" ht="24.75" customHeight="1">
      <c r="A56" s="251"/>
      <c r="B56" s="251"/>
      <c r="C56" s="178" t="s">
        <v>1231</v>
      </c>
      <c r="D56" s="777">
        <v>151514</v>
      </c>
      <c r="E56" s="280">
        <f>0+'táj.1.'!E56</f>
        <v>0</v>
      </c>
      <c r="F56" s="280">
        <f>0+'táj.1.'!F56</f>
        <v>0</v>
      </c>
      <c r="G56" s="280">
        <f>0+'táj.1.'!G56</f>
        <v>0</v>
      </c>
      <c r="H56" s="280">
        <f>0+'táj.1.'!H56</f>
        <v>434</v>
      </c>
      <c r="I56" s="280">
        <f>0+'táj.1.'!I56</f>
        <v>0</v>
      </c>
      <c r="J56" s="280">
        <f>0+'táj.1.'!J56</f>
        <v>0</v>
      </c>
      <c r="K56" s="280">
        <f>0+'táj.1.'!K56</f>
        <v>0</v>
      </c>
      <c r="L56" s="280">
        <f>0+'táj.1.'!L56</f>
        <v>0</v>
      </c>
      <c r="M56" s="280">
        <f>0+'táj.1.'!M56</f>
        <v>0</v>
      </c>
      <c r="N56" s="280">
        <f>0+'táj.1.'!N56</f>
        <v>0</v>
      </c>
      <c r="O56" s="280">
        <f>SUM(E56:N56)</f>
        <v>434</v>
      </c>
    </row>
    <row r="57" spans="1:15" s="250" customFormat="1" ht="24.75" customHeight="1">
      <c r="A57" s="251"/>
      <c r="B57" s="251"/>
      <c r="C57" s="16" t="s">
        <v>1342</v>
      </c>
      <c r="D57" s="624">
        <v>151607</v>
      </c>
      <c r="E57" s="280">
        <f>0+'táj.1.'!E57</f>
        <v>0</v>
      </c>
      <c r="F57" s="280">
        <f>0+'táj.1.'!F57</f>
        <v>0</v>
      </c>
      <c r="G57" s="280">
        <f>0+'táj.1.'!G57</f>
        <v>3300</v>
      </c>
      <c r="H57" s="280">
        <f>0+'táj.1.'!H57</f>
        <v>0</v>
      </c>
      <c r="I57" s="280">
        <f>0+'táj.1.'!I57</f>
        <v>0</v>
      </c>
      <c r="J57" s="280">
        <f>0+'táj.1.'!J57</f>
        <v>0</v>
      </c>
      <c r="K57" s="280">
        <f>0+'táj.1.'!K57</f>
        <v>0</v>
      </c>
      <c r="L57" s="280">
        <f>0+'táj.1.'!L57</f>
        <v>0</v>
      </c>
      <c r="M57" s="280">
        <f>0+'táj.1.'!M57</f>
        <v>0</v>
      </c>
      <c r="N57" s="280">
        <f>0+'táj.1.'!N57</f>
        <v>0</v>
      </c>
      <c r="O57" s="280">
        <f>SUM(E57:N57)</f>
        <v>3300</v>
      </c>
    </row>
    <row r="58" spans="1:15" s="250" customFormat="1" ht="12.75" customHeight="1">
      <c r="A58" s="264"/>
      <c r="B58" s="264"/>
      <c r="C58" s="290" t="s">
        <v>609</v>
      </c>
      <c r="D58" s="627"/>
      <c r="E58" s="266">
        <f>SUM(E34:E57)</f>
        <v>540</v>
      </c>
      <c r="F58" s="266">
        <f aca="true" t="shared" si="3" ref="F58:O58">SUM(F34:F57)</f>
        <v>605708</v>
      </c>
      <c r="G58" s="266">
        <f t="shared" si="3"/>
        <v>3300</v>
      </c>
      <c r="H58" s="266">
        <f t="shared" si="3"/>
        <v>694237</v>
      </c>
      <c r="I58" s="266">
        <f t="shared" si="3"/>
        <v>0</v>
      </c>
      <c r="J58" s="266">
        <f t="shared" si="3"/>
        <v>92</v>
      </c>
      <c r="K58" s="266">
        <f t="shared" si="3"/>
        <v>2090</v>
      </c>
      <c r="L58" s="266">
        <f t="shared" si="3"/>
        <v>0</v>
      </c>
      <c r="M58" s="266">
        <f t="shared" si="3"/>
        <v>0</v>
      </c>
      <c r="N58" s="266">
        <f t="shared" si="3"/>
        <v>0</v>
      </c>
      <c r="O58" s="266">
        <f t="shared" si="3"/>
        <v>1305967</v>
      </c>
    </row>
    <row r="59" spans="1:15" s="250" customFormat="1" ht="12.75" customHeight="1">
      <c r="A59" s="251">
        <v>1</v>
      </c>
      <c r="B59" s="251" t="s">
        <v>407</v>
      </c>
      <c r="C59" s="255" t="s">
        <v>471</v>
      </c>
      <c r="D59" s="619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</row>
    <row r="60" spans="1:15" s="250" customFormat="1" ht="27" customHeight="1">
      <c r="A60" s="251"/>
      <c r="B60" s="251"/>
      <c r="C60" s="180" t="s">
        <v>1320</v>
      </c>
      <c r="D60" s="620"/>
      <c r="E60" s="291"/>
      <c r="F60" s="280"/>
      <c r="G60" s="280"/>
      <c r="H60" s="280"/>
      <c r="I60" s="280"/>
      <c r="J60" s="280"/>
      <c r="K60" s="280"/>
      <c r="L60" s="280"/>
      <c r="M60" s="280"/>
      <c r="N60" s="280"/>
      <c r="O60" s="280"/>
    </row>
    <row r="61" spans="1:15" s="250" customFormat="1" ht="15" customHeight="1">
      <c r="A61" s="251"/>
      <c r="B61" s="251"/>
      <c r="C61" s="270" t="s">
        <v>1321</v>
      </c>
      <c r="D61" s="621">
        <v>162104</v>
      </c>
      <c r="E61" s="288">
        <f>0+'táj.1.'!E61</f>
        <v>0</v>
      </c>
      <c r="F61" s="288">
        <f>0+'táj.1.'!F61</f>
        <v>0</v>
      </c>
      <c r="G61" s="288">
        <f>0+'táj.1.'!G61</f>
        <v>0</v>
      </c>
      <c r="H61" s="288">
        <f>0+'táj.1.'!H61</f>
        <v>0</v>
      </c>
      <c r="I61" s="288">
        <f>0+'táj.1.'!I61</f>
        <v>0</v>
      </c>
      <c r="J61" s="288">
        <f>0+'táj.1.'!J61</f>
        <v>0</v>
      </c>
      <c r="K61" s="288">
        <f>250000+'táj.1.'!K61</f>
        <v>250000</v>
      </c>
      <c r="L61" s="288">
        <f>0+'táj.1.'!L61</f>
        <v>0</v>
      </c>
      <c r="M61" s="288">
        <f>0+'táj.1.'!M61</f>
        <v>0</v>
      </c>
      <c r="N61" s="288">
        <f>0+'táj.1.'!N61</f>
        <v>0</v>
      </c>
      <c r="O61" s="280">
        <f>SUM(E61:N61)</f>
        <v>250000</v>
      </c>
    </row>
    <row r="62" spans="1:15" s="250" customFormat="1" ht="15" customHeight="1">
      <c r="A62" s="251"/>
      <c r="B62" s="251"/>
      <c r="C62" s="253" t="s">
        <v>1322</v>
      </c>
      <c r="D62" s="628"/>
      <c r="E62" s="288"/>
      <c r="F62" s="280"/>
      <c r="G62" s="280"/>
      <c r="H62" s="206"/>
      <c r="I62" s="206"/>
      <c r="J62" s="206"/>
      <c r="K62" s="206"/>
      <c r="L62" s="206"/>
      <c r="M62" s="206"/>
      <c r="N62" s="206"/>
      <c r="O62" s="280"/>
    </row>
    <row r="63" spans="1:15" s="250" customFormat="1" ht="39.75" customHeight="1">
      <c r="A63" s="251"/>
      <c r="B63" s="251"/>
      <c r="C63" s="707" t="s">
        <v>701</v>
      </c>
      <c r="D63" s="625">
        <v>162664</v>
      </c>
      <c r="E63" s="288">
        <f>261239+'táj.1.'!E63</f>
        <v>261239</v>
      </c>
      <c r="F63" s="288">
        <f>0+'táj.1.'!F63</f>
        <v>0</v>
      </c>
      <c r="G63" s="288">
        <f>0+'táj.1.'!G63</f>
        <v>0</v>
      </c>
      <c r="H63" s="288">
        <f>0+'táj.1.'!H63</f>
        <v>0</v>
      </c>
      <c r="I63" s="288">
        <f>0+'táj.1.'!I63</f>
        <v>0</v>
      </c>
      <c r="J63" s="288">
        <f>0+'táj.1.'!J63</f>
        <v>0</v>
      </c>
      <c r="K63" s="288">
        <f>0+'táj.1.'!K63</f>
        <v>0</v>
      </c>
      <c r="L63" s="288">
        <f>0+'táj.1.'!L63</f>
        <v>0</v>
      </c>
      <c r="M63" s="288">
        <f>0+'táj.1.'!M63</f>
        <v>0</v>
      </c>
      <c r="N63" s="288">
        <f>0+'táj.1.'!N63</f>
        <v>0</v>
      </c>
      <c r="O63" s="280">
        <f>SUM(E63:N63)</f>
        <v>261239</v>
      </c>
    </row>
    <row r="64" spans="1:15" s="250" customFormat="1" ht="41.25" customHeight="1">
      <c r="A64" s="251"/>
      <c r="B64" s="251"/>
      <c r="C64" s="707" t="s">
        <v>702</v>
      </c>
      <c r="D64" s="625">
        <v>162665</v>
      </c>
      <c r="E64" s="288">
        <f>293117+'táj.1.'!E64</f>
        <v>293117</v>
      </c>
      <c r="F64" s="288">
        <f>0+'táj.1.'!F64</f>
        <v>0</v>
      </c>
      <c r="G64" s="288">
        <f>0+'táj.1.'!G64</f>
        <v>0</v>
      </c>
      <c r="H64" s="288">
        <f>0+'táj.1.'!H64</f>
        <v>0</v>
      </c>
      <c r="I64" s="288">
        <f>0+'táj.1.'!I64</f>
        <v>0</v>
      </c>
      <c r="J64" s="288">
        <f>0+'táj.1.'!J64</f>
        <v>0</v>
      </c>
      <c r="K64" s="288">
        <f>0+'táj.1.'!K64</f>
        <v>0</v>
      </c>
      <c r="L64" s="288">
        <f>0+'táj.1.'!L64</f>
        <v>0</v>
      </c>
      <c r="M64" s="288">
        <f>0+'táj.1.'!M64</f>
        <v>0</v>
      </c>
      <c r="N64" s="288">
        <f>0+'táj.1.'!N64</f>
        <v>0</v>
      </c>
      <c r="O64" s="280">
        <f>SUM(E64:N64)</f>
        <v>293117</v>
      </c>
    </row>
    <row r="65" spans="1:15" s="250" customFormat="1" ht="36" customHeight="1">
      <c r="A65" s="251"/>
      <c r="B65" s="251"/>
      <c r="C65" s="708" t="s">
        <v>476</v>
      </c>
      <c r="D65" s="626">
        <v>162662</v>
      </c>
      <c r="E65" s="288">
        <f>1778+'táj.1.'!E65</f>
        <v>1778</v>
      </c>
      <c r="F65" s="288">
        <f>194999+'táj.1.'!F65</f>
        <v>194999</v>
      </c>
      <c r="G65" s="288">
        <f>0+'táj.1.'!G65</f>
        <v>0</v>
      </c>
      <c r="H65" s="288">
        <f>0+'táj.1.'!H65</f>
        <v>0</v>
      </c>
      <c r="I65" s="288">
        <f>0+'táj.1.'!I65</f>
        <v>0</v>
      </c>
      <c r="J65" s="288">
        <f>0+'táj.1.'!J65</f>
        <v>0</v>
      </c>
      <c r="K65" s="288">
        <f>0+'táj.1.'!K65</f>
        <v>0</v>
      </c>
      <c r="L65" s="288">
        <f>0+'táj.1.'!L65</f>
        <v>0</v>
      </c>
      <c r="M65" s="288">
        <f>0+'táj.1.'!M65</f>
        <v>0</v>
      </c>
      <c r="N65" s="288">
        <f>0+'táj.1.'!N65</f>
        <v>0</v>
      </c>
      <c r="O65" s="280">
        <f>SUM(E65:N65)</f>
        <v>196777</v>
      </c>
    </row>
    <row r="66" spans="1:15" s="250" customFormat="1" ht="31.5" customHeight="1">
      <c r="A66" s="251"/>
      <c r="B66" s="251"/>
      <c r="C66" s="180" t="s">
        <v>1237</v>
      </c>
      <c r="D66" s="621"/>
      <c r="E66" s="288"/>
      <c r="F66" s="280"/>
      <c r="G66" s="280"/>
      <c r="H66" s="206"/>
      <c r="I66" s="206"/>
      <c r="J66" s="206"/>
      <c r="K66" s="206"/>
      <c r="L66" s="206"/>
      <c r="M66" s="206"/>
      <c r="N66" s="206"/>
      <c r="O66" s="280"/>
    </row>
    <row r="67" spans="1:15" s="250" customFormat="1" ht="49.5" customHeight="1">
      <c r="A67" s="251"/>
      <c r="B67" s="251"/>
      <c r="C67" s="708" t="s">
        <v>1323</v>
      </c>
      <c r="D67" s="626">
        <v>162711</v>
      </c>
      <c r="E67" s="288">
        <f>54676+'táj.1.'!E67</f>
        <v>54676</v>
      </c>
      <c r="F67" s="288">
        <f>154276+'táj.1.'!F67</f>
        <v>154276</v>
      </c>
      <c r="G67" s="288">
        <f>0+'táj.1.'!G67</f>
        <v>0</v>
      </c>
      <c r="H67" s="288">
        <f>0+'táj.1.'!H67</f>
        <v>0</v>
      </c>
      <c r="I67" s="288">
        <f>0+'táj.1.'!I67</f>
        <v>0</v>
      </c>
      <c r="J67" s="288">
        <f>0+'táj.1.'!J67</f>
        <v>0</v>
      </c>
      <c r="K67" s="288">
        <f>0+'táj.1.'!K67</f>
        <v>0</v>
      </c>
      <c r="L67" s="288">
        <f>0+'táj.1.'!L67</f>
        <v>0</v>
      </c>
      <c r="M67" s="288">
        <f>0+'táj.1.'!M67</f>
        <v>0</v>
      </c>
      <c r="N67" s="288">
        <f>0+'táj.1.'!N67</f>
        <v>0</v>
      </c>
      <c r="O67" s="280">
        <f aca="true" t="shared" si="4" ref="O67:O75">SUM(E67:N67)</f>
        <v>208952</v>
      </c>
    </row>
    <row r="68" spans="1:15" s="250" customFormat="1" ht="63" customHeight="1">
      <c r="A68" s="251"/>
      <c r="B68" s="251"/>
      <c r="C68" s="292" t="s">
        <v>1324</v>
      </c>
      <c r="D68" s="626">
        <v>162712</v>
      </c>
      <c r="E68" s="288">
        <f>23706+'táj.1.'!E68</f>
        <v>23706</v>
      </c>
      <c r="F68" s="288">
        <f>218496+'táj.1.'!F68</f>
        <v>218496</v>
      </c>
      <c r="G68" s="288">
        <f>0+'táj.1.'!G68</f>
        <v>0</v>
      </c>
      <c r="H68" s="288">
        <f>65475+'táj.1.'!H68</f>
        <v>65475</v>
      </c>
      <c r="I68" s="288">
        <f>0+'táj.1.'!I68</f>
        <v>0</v>
      </c>
      <c r="J68" s="288">
        <f>0+'táj.1.'!J68</f>
        <v>0</v>
      </c>
      <c r="K68" s="288">
        <f>0+'táj.1.'!K68</f>
        <v>0</v>
      </c>
      <c r="L68" s="288">
        <f>0+'táj.1.'!L68</f>
        <v>0</v>
      </c>
      <c r="M68" s="288">
        <f>0+'táj.1.'!M68</f>
        <v>0</v>
      </c>
      <c r="N68" s="288">
        <f>0+'táj.1.'!N68</f>
        <v>0</v>
      </c>
      <c r="O68" s="280">
        <f t="shared" si="4"/>
        <v>307677</v>
      </c>
    </row>
    <row r="69" spans="1:15" s="250" customFormat="1" ht="24.75" customHeight="1">
      <c r="A69" s="251"/>
      <c r="B69" s="251"/>
      <c r="C69" s="200" t="s">
        <v>1325</v>
      </c>
      <c r="D69" s="620"/>
      <c r="E69" s="288"/>
      <c r="F69" s="280"/>
      <c r="G69" s="280"/>
      <c r="H69" s="206"/>
      <c r="I69" s="206"/>
      <c r="J69" s="206"/>
      <c r="K69" s="206"/>
      <c r="L69" s="206"/>
      <c r="M69" s="206"/>
      <c r="N69" s="206"/>
      <c r="O69" s="280"/>
    </row>
    <row r="70" spans="1:15" s="250" customFormat="1" ht="35.25" customHeight="1">
      <c r="A70" s="251"/>
      <c r="B70" s="251"/>
      <c r="C70" s="294" t="s">
        <v>430</v>
      </c>
      <c r="D70" s="626">
        <v>162674</v>
      </c>
      <c r="E70" s="288">
        <f>0+'táj.1.'!E70</f>
        <v>0</v>
      </c>
      <c r="F70" s="288">
        <f>957868+'táj.1.'!F70</f>
        <v>957868</v>
      </c>
      <c r="G70" s="288">
        <f>0+'táj.1.'!G70</f>
        <v>0</v>
      </c>
      <c r="H70" s="288">
        <f>270000+'táj.1.'!H70</f>
        <v>270000</v>
      </c>
      <c r="I70" s="288">
        <f>0+'táj.1.'!I70</f>
        <v>0</v>
      </c>
      <c r="J70" s="288">
        <f>0+'táj.1.'!J70</f>
        <v>0</v>
      </c>
      <c r="K70" s="288">
        <f>0+'táj.1.'!K70</f>
        <v>0</v>
      </c>
      <c r="L70" s="288">
        <f>0+'táj.1.'!L70</f>
        <v>0</v>
      </c>
      <c r="M70" s="288">
        <f>0+'táj.1.'!M70</f>
        <v>0</v>
      </c>
      <c r="N70" s="288">
        <f>0+'táj.1.'!N70</f>
        <v>0</v>
      </c>
      <c r="O70" s="280">
        <f t="shared" si="4"/>
        <v>1227868</v>
      </c>
    </row>
    <row r="71" spans="1:15" s="250" customFormat="1" ht="24.75" customHeight="1">
      <c r="A71" s="251"/>
      <c r="B71" s="251"/>
      <c r="C71" s="275" t="s">
        <v>1078</v>
      </c>
      <c r="D71" s="629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0"/>
    </row>
    <row r="72" spans="1:15" s="250" customFormat="1" ht="49.5" customHeight="1">
      <c r="A72" s="251"/>
      <c r="B72" s="251"/>
      <c r="C72" s="295" t="s">
        <v>1326</v>
      </c>
      <c r="D72" s="625">
        <v>162671</v>
      </c>
      <c r="E72" s="288">
        <f>32978+'táj.1.'!E72</f>
        <v>32978</v>
      </c>
      <c r="F72" s="288">
        <f>277303+'táj.1.'!F72</f>
        <v>277303</v>
      </c>
      <c r="G72" s="288">
        <f>0+'táj.1.'!G72</f>
        <v>0</v>
      </c>
      <c r="H72" s="288">
        <f>0+'táj.1.'!H72</f>
        <v>0</v>
      </c>
      <c r="I72" s="288">
        <f>0+'táj.1.'!I72</f>
        <v>0</v>
      </c>
      <c r="J72" s="288">
        <f>0+'táj.1.'!J72</f>
        <v>0</v>
      </c>
      <c r="K72" s="288">
        <f>0+'táj.1.'!K72</f>
        <v>0</v>
      </c>
      <c r="L72" s="288">
        <f>0+'táj.1.'!L72</f>
        <v>0</v>
      </c>
      <c r="M72" s="288">
        <f>0+'táj.1.'!M72</f>
        <v>0</v>
      </c>
      <c r="N72" s="288">
        <f>0+'táj.1.'!N72</f>
        <v>0</v>
      </c>
      <c r="O72" s="280">
        <f t="shared" si="4"/>
        <v>310281</v>
      </c>
    </row>
    <row r="73" spans="1:15" s="250" customFormat="1" ht="37.5" customHeight="1">
      <c r="A73" s="251"/>
      <c r="B73" s="251"/>
      <c r="C73" s="711" t="s">
        <v>557</v>
      </c>
      <c r="D73" s="769">
        <v>162673</v>
      </c>
      <c r="E73" s="288">
        <f>31453+'táj.1.'!E73</f>
        <v>34776</v>
      </c>
      <c r="F73" s="288">
        <f>93698+'táj.1.'!F73</f>
        <v>90375</v>
      </c>
      <c r="G73" s="288">
        <f>0+'táj.1.'!G73</f>
        <v>0</v>
      </c>
      <c r="H73" s="288">
        <f>0+'táj.1.'!H73</f>
        <v>0</v>
      </c>
      <c r="I73" s="288">
        <f>0+'táj.1.'!I73</f>
        <v>0</v>
      </c>
      <c r="J73" s="288">
        <f>0+'táj.1.'!J73</f>
        <v>0</v>
      </c>
      <c r="K73" s="288">
        <f>0+'táj.1.'!K73</f>
        <v>0</v>
      </c>
      <c r="L73" s="288">
        <f>0+'táj.1.'!L73</f>
        <v>0</v>
      </c>
      <c r="M73" s="288">
        <f>0+'táj.1.'!M73</f>
        <v>0</v>
      </c>
      <c r="N73" s="288">
        <f>0+'táj.1.'!N73</f>
        <v>0</v>
      </c>
      <c r="O73" s="280">
        <f t="shared" si="4"/>
        <v>125151</v>
      </c>
    </row>
    <row r="74" spans="1:15" s="250" customFormat="1" ht="37.5" customHeight="1">
      <c r="A74" s="251"/>
      <c r="B74" s="251"/>
      <c r="C74" s="296" t="s">
        <v>1236</v>
      </c>
      <c r="D74" s="630">
        <v>162606</v>
      </c>
      <c r="E74" s="288">
        <f>10209+'táj.1.'!E74</f>
        <v>10209</v>
      </c>
      <c r="F74" s="288">
        <f>0+'táj.1.'!F74</f>
        <v>0</v>
      </c>
      <c r="G74" s="288">
        <f>0+'táj.1.'!G74</f>
        <v>0</v>
      </c>
      <c r="H74" s="288">
        <f>0+'táj.1.'!H74</f>
        <v>0</v>
      </c>
      <c r="I74" s="288">
        <f>0+'táj.1.'!I74</f>
        <v>0</v>
      </c>
      <c r="J74" s="288">
        <f>0+'táj.1.'!J74</f>
        <v>0</v>
      </c>
      <c r="K74" s="288">
        <f>0+'táj.1.'!K74</f>
        <v>0</v>
      </c>
      <c r="L74" s="288">
        <f>0+'táj.1.'!L74</f>
        <v>0</v>
      </c>
      <c r="M74" s="288">
        <f>0+'táj.1.'!M74</f>
        <v>0</v>
      </c>
      <c r="N74" s="288">
        <f>0+'táj.1.'!N74</f>
        <v>0</v>
      </c>
      <c r="O74" s="280">
        <f t="shared" si="4"/>
        <v>10209</v>
      </c>
    </row>
    <row r="75" spans="1:15" s="250" customFormat="1" ht="29.25" customHeight="1">
      <c r="A75" s="251"/>
      <c r="B75" s="251"/>
      <c r="C75" s="134" t="s">
        <v>1327</v>
      </c>
      <c r="D75" s="625">
        <v>162678</v>
      </c>
      <c r="E75" s="288">
        <f>0+'táj.1.'!E75</f>
        <v>0</v>
      </c>
      <c r="F75" s="288">
        <f>0+'táj.1.'!F75</f>
        <v>0</v>
      </c>
      <c r="G75" s="288">
        <f>0+'táj.1.'!G75</f>
        <v>0</v>
      </c>
      <c r="H75" s="288">
        <f>0+'táj.1.'!H75</f>
        <v>0</v>
      </c>
      <c r="I75" s="288">
        <f>0+'táj.1.'!I75</f>
        <v>0</v>
      </c>
      <c r="J75" s="288">
        <f>0+'táj.1.'!J75</f>
        <v>0</v>
      </c>
      <c r="K75" s="288">
        <f>40000+'táj.1.'!K75</f>
        <v>40000</v>
      </c>
      <c r="L75" s="288">
        <f>0+'táj.1.'!L75</f>
        <v>0</v>
      </c>
      <c r="M75" s="288">
        <f>0+'táj.1.'!M75</f>
        <v>0</v>
      </c>
      <c r="N75" s="288">
        <f>0+'táj.1.'!N75</f>
        <v>0</v>
      </c>
      <c r="O75" s="280">
        <f t="shared" si="4"/>
        <v>40000</v>
      </c>
    </row>
    <row r="76" spans="1:15" s="250" customFormat="1" ht="15" customHeight="1">
      <c r="A76" s="251"/>
      <c r="B76" s="251"/>
      <c r="C76" s="297" t="s">
        <v>1074</v>
      </c>
      <c r="D76" s="622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0"/>
    </row>
    <row r="77" spans="1:15" s="250" customFormat="1" ht="39.75" customHeight="1">
      <c r="A77" s="251"/>
      <c r="B77" s="251"/>
      <c r="C77" s="299" t="s">
        <v>1328</v>
      </c>
      <c r="D77" s="630">
        <v>162973</v>
      </c>
      <c r="E77" s="288">
        <f>0+'táj.1.'!E77</f>
        <v>0</v>
      </c>
      <c r="F77" s="288">
        <f>491005+'táj.1.'!F77</f>
        <v>491005</v>
      </c>
      <c r="G77" s="288">
        <f>0+'táj.1.'!G77</f>
        <v>0</v>
      </c>
      <c r="H77" s="288">
        <f>0+'táj.1.'!H77</f>
        <v>0</v>
      </c>
      <c r="I77" s="288">
        <f>0+'táj.1.'!I77</f>
        <v>0</v>
      </c>
      <c r="J77" s="288">
        <f>0+'táj.1.'!J77</f>
        <v>0</v>
      </c>
      <c r="K77" s="288">
        <f>0+'táj.1.'!K77</f>
        <v>0</v>
      </c>
      <c r="L77" s="288">
        <f>0+'táj.1.'!L77</f>
        <v>0</v>
      </c>
      <c r="M77" s="288">
        <f>0+'táj.1.'!M77</f>
        <v>0</v>
      </c>
      <c r="N77" s="288">
        <f>0+'táj.1.'!N77</f>
        <v>0</v>
      </c>
      <c r="O77" s="280">
        <f>SUM(E77:N77)</f>
        <v>491005</v>
      </c>
    </row>
    <row r="78" spans="1:15" s="250" customFormat="1" ht="39.75" customHeight="1">
      <c r="A78" s="251"/>
      <c r="B78" s="251"/>
      <c r="C78" s="299" t="s">
        <v>1329</v>
      </c>
      <c r="D78" s="630">
        <v>162974</v>
      </c>
      <c r="E78" s="288">
        <f>0+'táj.1.'!E78</f>
        <v>0</v>
      </c>
      <c r="F78" s="288">
        <f>494387+'táj.1.'!F78</f>
        <v>494387</v>
      </c>
      <c r="G78" s="288">
        <f>0+'táj.1.'!G78</f>
        <v>0</v>
      </c>
      <c r="H78" s="288">
        <f>0+'táj.1.'!H78</f>
        <v>0</v>
      </c>
      <c r="I78" s="288">
        <f>0+'táj.1.'!I78</f>
        <v>0</v>
      </c>
      <c r="J78" s="288">
        <f>0+'táj.1.'!J78</f>
        <v>0</v>
      </c>
      <c r="K78" s="288">
        <f>0+'táj.1.'!K78</f>
        <v>0</v>
      </c>
      <c r="L78" s="288">
        <f>0+'táj.1.'!L78</f>
        <v>0</v>
      </c>
      <c r="M78" s="288">
        <f>0+'táj.1.'!M78</f>
        <v>0</v>
      </c>
      <c r="N78" s="288">
        <f>0+'táj.1.'!N78</f>
        <v>0</v>
      </c>
      <c r="O78" s="280">
        <f>SUM(E78:N78)</f>
        <v>494387</v>
      </c>
    </row>
    <row r="79" spans="1:15" s="250" customFormat="1" ht="29.25" customHeight="1">
      <c r="A79" s="251"/>
      <c r="B79" s="251"/>
      <c r="C79" s="180" t="s">
        <v>372</v>
      </c>
      <c r="D79" s="630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0"/>
    </row>
    <row r="80" spans="1:15" s="250" customFormat="1" ht="32.25" customHeight="1">
      <c r="A80" s="251"/>
      <c r="B80" s="251"/>
      <c r="C80" s="674" t="s">
        <v>503</v>
      </c>
      <c r="D80" s="630">
        <v>161905</v>
      </c>
      <c r="E80" s="288">
        <f>60000+'táj.1.'!E80</f>
        <v>60000</v>
      </c>
      <c r="F80" s="288"/>
      <c r="G80" s="288"/>
      <c r="H80" s="288">
        <f>0+'táj.1.'!H80</f>
        <v>0</v>
      </c>
      <c r="I80" s="288">
        <f>0+'táj.1.'!I80</f>
        <v>0</v>
      </c>
      <c r="J80" s="288">
        <f>0+'táj.1.'!J80</f>
        <v>0</v>
      </c>
      <c r="K80" s="288">
        <f>0+'táj.1.'!K80</f>
        <v>0</v>
      </c>
      <c r="L80" s="288">
        <f>0+'táj.1.'!L80</f>
        <v>0</v>
      </c>
      <c r="M80" s="288">
        <f>0+'táj.1.'!M80</f>
        <v>0</v>
      </c>
      <c r="N80" s="288">
        <f>0+'táj.1.'!N80</f>
        <v>0</v>
      </c>
      <c r="O80" s="280">
        <f>SUM(E80:N80)</f>
        <v>60000</v>
      </c>
    </row>
    <row r="81" spans="1:15" s="250" customFormat="1" ht="32.25" customHeight="1">
      <c r="A81" s="251"/>
      <c r="B81" s="251"/>
      <c r="C81" s="674" t="s">
        <v>158</v>
      </c>
      <c r="D81" s="630">
        <v>161906</v>
      </c>
      <c r="E81" s="288"/>
      <c r="F81" s="288"/>
      <c r="G81" s="288"/>
      <c r="H81" s="288">
        <f>0+'táj.1.'!H81</f>
        <v>17145</v>
      </c>
      <c r="I81" s="288"/>
      <c r="J81" s="288"/>
      <c r="K81" s="288"/>
      <c r="L81" s="288"/>
      <c r="M81" s="288"/>
      <c r="N81" s="288"/>
      <c r="O81" s="280">
        <f>SUM(E81:N81)</f>
        <v>17145</v>
      </c>
    </row>
    <row r="82" spans="1:15" s="250" customFormat="1" ht="24.75" customHeight="1">
      <c r="A82" s="251"/>
      <c r="B82" s="251"/>
      <c r="C82" s="386" t="s">
        <v>699</v>
      </c>
      <c r="D82" s="630">
        <v>162641</v>
      </c>
      <c r="E82" s="288"/>
      <c r="F82" s="288">
        <f>28874+'táj.1.'!F82</f>
        <v>28874</v>
      </c>
      <c r="G82" s="288"/>
      <c r="H82" s="288"/>
      <c r="I82" s="288"/>
      <c r="J82" s="288"/>
      <c r="K82" s="288"/>
      <c r="L82" s="288"/>
      <c r="M82" s="288"/>
      <c r="N82" s="288"/>
      <c r="O82" s="280">
        <f>SUM(E82:N82)</f>
        <v>28874</v>
      </c>
    </row>
    <row r="83" spans="1:15" s="250" customFormat="1" ht="30" customHeight="1">
      <c r="A83" s="251"/>
      <c r="B83" s="251"/>
      <c r="C83" s="471" t="s">
        <v>831</v>
      </c>
      <c r="D83" s="630">
        <v>164906</v>
      </c>
      <c r="E83" s="288"/>
      <c r="F83" s="288"/>
      <c r="G83" s="288"/>
      <c r="H83" s="288">
        <f>163+'táj.1.'!H83</f>
        <v>163</v>
      </c>
      <c r="I83" s="288">
        <f>0+'táj.1.'!I83</f>
        <v>0</v>
      </c>
      <c r="J83" s="288">
        <f>0+'táj.1.'!J83</f>
        <v>0</v>
      </c>
      <c r="K83" s="288">
        <f>0+'táj.1.'!K83</f>
        <v>0</v>
      </c>
      <c r="L83" s="288">
        <f>0+'táj.1.'!L83</f>
        <v>0</v>
      </c>
      <c r="M83" s="288">
        <f>0+'táj.1.'!M83</f>
        <v>0</v>
      </c>
      <c r="N83" s="288">
        <f>0+'táj.1.'!N83</f>
        <v>0</v>
      </c>
      <c r="O83" s="280">
        <f>SUM(E83:N83)</f>
        <v>163</v>
      </c>
    </row>
    <row r="84" spans="1:15" s="250" customFormat="1" ht="12.75" customHeight="1">
      <c r="A84" s="264"/>
      <c r="B84" s="264"/>
      <c r="C84" s="300" t="s">
        <v>463</v>
      </c>
      <c r="D84" s="631"/>
      <c r="E84" s="266">
        <f>SUM(E60:E83)</f>
        <v>772479</v>
      </c>
      <c r="F84" s="266">
        <f aca="true" t="shared" si="5" ref="F84:O84">SUM(F60:F83)</f>
        <v>2907583</v>
      </c>
      <c r="G84" s="266">
        <f t="shared" si="5"/>
        <v>0</v>
      </c>
      <c r="H84" s="266">
        <f t="shared" si="5"/>
        <v>352783</v>
      </c>
      <c r="I84" s="266">
        <f t="shared" si="5"/>
        <v>0</v>
      </c>
      <c r="J84" s="266">
        <f t="shared" si="5"/>
        <v>0</v>
      </c>
      <c r="K84" s="266">
        <f t="shared" si="5"/>
        <v>290000</v>
      </c>
      <c r="L84" s="266">
        <f t="shared" si="5"/>
        <v>0</v>
      </c>
      <c r="M84" s="266">
        <f t="shared" si="5"/>
        <v>0</v>
      </c>
      <c r="N84" s="266">
        <f t="shared" si="5"/>
        <v>0</v>
      </c>
      <c r="O84" s="266">
        <f t="shared" si="5"/>
        <v>4322845</v>
      </c>
    </row>
    <row r="85" spans="1:15" s="250" customFormat="1" ht="12.75" customHeight="1">
      <c r="A85" s="251">
        <v>1</v>
      </c>
      <c r="B85" s="251">
        <v>17</v>
      </c>
      <c r="C85" s="255" t="s">
        <v>690</v>
      </c>
      <c r="D85" s="619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</row>
    <row r="86" spans="1:15" s="250" customFormat="1" ht="24" customHeight="1">
      <c r="A86" s="251"/>
      <c r="B86" s="251"/>
      <c r="C86" s="180" t="s">
        <v>372</v>
      </c>
      <c r="D86" s="620"/>
      <c r="E86" s="281"/>
      <c r="F86" s="280"/>
      <c r="G86" s="280"/>
      <c r="H86" s="280"/>
      <c r="I86" s="280"/>
      <c r="J86" s="280"/>
      <c r="K86" s="280"/>
      <c r="L86" s="280"/>
      <c r="M86" s="280"/>
      <c r="N86" s="280"/>
      <c r="O86" s="280"/>
    </row>
    <row r="87" spans="1:16" s="250" customFormat="1" ht="13.5" customHeight="1">
      <c r="A87" s="251"/>
      <c r="B87" s="251"/>
      <c r="C87" s="282" t="s">
        <v>1330</v>
      </c>
      <c r="D87" s="634">
        <v>171907</v>
      </c>
      <c r="E87" s="280">
        <f>0+'táj.1.'!E87</f>
        <v>0</v>
      </c>
      <c r="F87" s="280">
        <f>0+'táj.1.'!F87</f>
        <v>0</v>
      </c>
      <c r="G87" s="280">
        <f>0+'táj.1.'!G87</f>
        <v>0</v>
      </c>
      <c r="H87" s="280">
        <f>3666+'táj.1.'!H87</f>
        <v>3666</v>
      </c>
      <c r="I87" s="280">
        <f>144480+'táj.1.'!I87</f>
        <v>144480</v>
      </c>
      <c r="J87" s="280">
        <f>0+'táj.1.'!J87</f>
        <v>0</v>
      </c>
      <c r="K87" s="280">
        <f>0+'táj.1.'!K87</f>
        <v>0</v>
      </c>
      <c r="L87" s="280">
        <f>0+'táj.1.'!L87</f>
        <v>0</v>
      </c>
      <c r="M87" s="280">
        <f>0+'táj.1.'!M87</f>
        <v>0</v>
      </c>
      <c r="N87" s="280">
        <f>0+'táj.1.'!N87</f>
        <v>0</v>
      </c>
      <c r="O87" s="280">
        <f>SUM(E87:N87)</f>
        <v>148146</v>
      </c>
      <c r="P87" s="285"/>
    </row>
    <row r="88" spans="1:16" s="250" customFormat="1" ht="13.5" customHeight="1">
      <c r="A88" s="251"/>
      <c r="B88" s="251"/>
      <c r="C88" s="301" t="s">
        <v>1331</v>
      </c>
      <c r="D88" s="634">
        <v>171916</v>
      </c>
      <c r="E88" s="280">
        <f>0+'táj.1.'!E88</f>
        <v>0</v>
      </c>
      <c r="F88" s="280">
        <f>0+'táj.1.'!F88</f>
        <v>0</v>
      </c>
      <c r="G88" s="280">
        <f>0+'táj.1.'!G88</f>
        <v>0</v>
      </c>
      <c r="H88" s="280">
        <f>8890+'táj.1.'!H88</f>
        <v>8890</v>
      </c>
      <c r="I88" s="280">
        <f>0+'táj.1.'!I88</f>
        <v>0</v>
      </c>
      <c r="J88" s="280">
        <f>0+'táj.1.'!J88</f>
        <v>0</v>
      </c>
      <c r="K88" s="280">
        <f>0+'táj.1.'!K88</f>
        <v>0</v>
      </c>
      <c r="L88" s="280">
        <f>0+'táj.1.'!L88</f>
        <v>0</v>
      </c>
      <c r="M88" s="280">
        <f>0+'táj.1.'!M88</f>
        <v>0</v>
      </c>
      <c r="N88" s="280">
        <f>0+'táj.1.'!N88</f>
        <v>0</v>
      </c>
      <c r="O88" s="280">
        <f>SUM(E88:N88)</f>
        <v>8890</v>
      </c>
      <c r="P88" s="285"/>
    </row>
    <row r="89" spans="1:15" s="250" customFormat="1" ht="16.5" customHeight="1">
      <c r="A89" s="251"/>
      <c r="B89" s="251"/>
      <c r="C89" s="709" t="s">
        <v>1332</v>
      </c>
      <c r="D89" s="702">
        <v>171912</v>
      </c>
      <c r="E89" s="280">
        <f>0+'táj.1.'!E89</f>
        <v>0</v>
      </c>
      <c r="F89" s="280">
        <f>0+'táj.1.'!F89</f>
        <v>0</v>
      </c>
      <c r="G89" s="280">
        <f>0+'táj.1.'!G89</f>
        <v>0</v>
      </c>
      <c r="H89" s="280">
        <f>30000+'táj.1.'!H89</f>
        <v>30000</v>
      </c>
      <c r="I89" s="280">
        <f>0+'táj.1.'!I89</f>
        <v>0</v>
      </c>
      <c r="J89" s="280">
        <f>0+'táj.1.'!J89</f>
        <v>0</v>
      </c>
      <c r="K89" s="280">
        <f>0+'táj.1.'!K89</f>
        <v>0</v>
      </c>
      <c r="L89" s="280">
        <f>0+'táj.1.'!L89</f>
        <v>0</v>
      </c>
      <c r="M89" s="280">
        <f>0+'táj.1.'!M89</f>
        <v>0</v>
      </c>
      <c r="N89" s="280">
        <f>0+'táj.1.'!N89</f>
        <v>0</v>
      </c>
      <c r="O89" s="280">
        <f>SUM(E89:N89)</f>
        <v>30000</v>
      </c>
    </row>
    <row r="90" spans="1:15" s="250" customFormat="1" ht="24" customHeight="1">
      <c r="A90" s="251"/>
      <c r="B90" s="251"/>
      <c r="C90" s="804" t="s">
        <v>231</v>
      </c>
      <c r="D90" s="702">
        <v>172912</v>
      </c>
      <c r="E90" s="280">
        <f>0+'táj.1.'!E90</f>
        <v>0</v>
      </c>
      <c r="F90" s="280">
        <f>0+'táj.1.'!F90</f>
        <v>0</v>
      </c>
      <c r="G90" s="280">
        <f>0+'táj.1.'!G90</f>
        <v>0</v>
      </c>
      <c r="H90" s="280">
        <f>0+'táj.1.'!H90</f>
        <v>0</v>
      </c>
      <c r="I90" s="280">
        <f>207000+'táj.1.'!I90</f>
        <v>207000</v>
      </c>
      <c r="J90" s="280">
        <f>0+'táj.1.'!J90</f>
        <v>0</v>
      </c>
      <c r="K90" s="280">
        <f>0+'táj.1.'!K90</f>
        <v>0</v>
      </c>
      <c r="L90" s="280">
        <f>0+'táj.1.'!L90</f>
        <v>0</v>
      </c>
      <c r="M90" s="280">
        <f>0+'táj.1.'!M90</f>
        <v>0</v>
      </c>
      <c r="N90" s="280">
        <f>0+'táj.1.'!N90</f>
        <v>0</v>
      </c>
      <c r="O90" s="280">
        <f>SUM(E90:N90)</f>
        <v>207000</v>
      </c>
    </row>
    <row r="91" spans="1:15" s="250" customFormat="1" ht="16.5" customHeight="1">
      <c r="A91" s="251"/>
      <c r="B91" s="251"/>
      <c r="C91" s="745" t="s">
        <v>1343</v>
      </c>
      <c r="D91" s="643">
        <v>172917</v>
      </c>
      <c r="E91" s="280">
        <f>0+'táj.1.'!E91</f>
        <v>0</v>
      </c>
      <c r="F91" s="280">
        <f>0+'táj.1.'!F91</f>
        <v>0</v>
      </c>
      <c r="G91" s="280">
        <f>0+'táj.1.'!G91</f>
        <v>0</v>
      </c>
      <c r="H91" s="280">
        <f>0+'táj.1.'!H91</f>
        <v>0</v>
      </c>
      <c r="I91" s="280">
        <f>0+'táj.1.'!I91</f>
        <v>2100</v>
      </c>
      <c r="J91" s="280">
        <f>0+'táj.1.'!J91</f>
        <v>0</v>
      </c>
      <c r="K91" s="280">
        <f>0+'táj.1.'!K91</f>
        <v>0</v>
      </c>
      <c r="L91" s="280">
        <f>0+'táj.1.'!L91</f>
        <v>0</v>
      </c>
      <c r="M91" s="280">
        <f>0+'táj.1.'!M91</f>
        <v>0</v>
      </c>
      <c r="N91" s="280">
        <f>0+'táj.1.'!N91</f>
        <v>0</v>
      </c>
      <c r="O91" s="280">
        <f>SUM(E91:N91)</f>
        <v>2100</v>
      </c>
    </row>
    <row r="92" spans="1:15" s="250" customFormat="1" ht="25.5" customHeight="1">
      <c r="A92" s="251"/>
      <c r="B92" s="251"/>
      <c r="C92" s="270" t="s">
        <v>1353</v>
      </c>
      <c r="D92" s="635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</row>
    <row r="93" spans="1:15" s="250" customFormat="1" ht="13.5" customHeight="1">
      <c r="A93" s="251"/>
      <c r="B93" s="251"/>
      <c r="C93" s="302" t="s">
        <v>1354</v>
      </c>
      <c r="D93" s="634">
        <v>171980</v>
      </c>
      <c r="E93" s="280">
        <f>0+'táj.1.'!E93</f>
        <v>0</v>
      </c>
      <c r="F93" s="280">
        <f>0+'táj.1.'!F93</f>
        <v>0</v>
      </c>
      <c r="G93" s="280">
        <f>0+'táj.1.'!G93</f>
        <v>0</v>
      </c>
      <c r="H93" s="280">
        <f>27940+'táj.1.'!H93</f>
        <v>27940</v>
      </c>
      <c r="I93" s="280">
        <f>0+'táj.1.'!I93</f>
        <v>0</v>
      </c>
      <c r="J93" s="280">
        <f>0+'táj.1.'!J93</f>
        <v>0</v>
      </c>
      <c r="K93" s="280">
        <f>0+'táj.1.'!K93</f>
        <v>0</v>
      </c>
      <c r="L93" s="280">
        <f>0+'táj.1.'!L93</f>
        <v>0</v>
      </c>
      <c r="M93" s="280">
        <f>0+'táj.1.'!M93</f>
        <v>0</v>
      </c>
      <c r="N93" s="280">
        <f>0+'táj.1.'!N93</f>
        <v>0</v>
      </c>
      <c r="O93" s="280">
        <f>SUM(E93:N93)</f>
        <v>27940</v>
      </c>
    </row>
    <row r="94" spans="1:15" s="250" customFormat="1" ht="26.25" customHeight="1">
      <c r="A94" s="303"/>
      <c r="B94" s="303"/>
      <c r="C94" s="180" t="s">
        <v>372</v>
      </c>
      <c r="D94" s="633"/>
      <c r="E94" s="280"/>
      <c r="F94" s="304"/>
      <c r="G94" s="304"/>
      <c r="H94" s="304"/>
      <c r="I94" s="304"/>
      <c r="J94" s="304"/>
      <c r="K94" s="304"/>
      <c r="L94" s="304"/>
      <c r="M94" s="304"/>
      <c r="N94" s="304"/>
      <c r="O94" s="280"/>
    </row>
    <row r="95" spans="1:15" s="250" customFormat="1" ht="27.75" customHeight="1">
      <c r="A95" s="303"/>
      <c r="B95" s="303"/>
      <c r="C95" s="270" t="s">
        <v>794</v>
      </c>
      <c r="D95" s="635">
        <v>171905</v>
      </c>
      <c r="E95" s="280">
        <f>0+'táj.1.'!E95</f>
        <v>0</v>
      </c>
      <c r="F95" s="280">
        <f>0+'táj.1.'!F95</f>
        <v>0</v>
      </c>
      <c r="G95" s="280">
        <f>0+'táj.1.'!G95</f>
        <v>0</v>
      </c>
      <c r="H95" s="280">
        <f>55880+'táj.1.'!H95</f>
        <v>55880</v>
      </c>
      <c r="I95" s="280">
        <f>0+'táj.1.'!I95</f>
        <v>0</v>
      </c>
      <c r="J95" s="280">
        <f>0+'táj.1.'!J95</f>
        <v>0</v>
      </c>
      <c r="K95" s="280">
        <f>0+'táj.1.'!K95</f>
        <v>0</v>
      </c>
      <c r="L95" s="280">
        <f>0+'táj.1.'!L95</f>
        <v>0</v>
      </c>
      <c r="M95" s="280">
        <f>0+'táj.1.'!M95</f>
        <v>0</v>
      </c>
      <c r="N95" s="280">
        <f>0+'táj.1.'!N95</f>
        <v>0</v>
      </c>
      <c r="O95" s="280">
        <f>SUM(E95:N95)</f>
        <v>55880</v>
      </c>
    </row>
    <row r="96" spans="1:15" s="250" customFormat="1" ht="13.5" customHeight="1">
      <c r="A96" s="305"/>
      <c r="B96" s="305"/>
      <c r="C96" s="254" t="s">
        <v>1355</v>
      </c>
      <c r="D96" s="636">
        <v>171909</v>
      </c>
      <c r="E96" s="306">
        <f>0+'táj.1.'!E96</f>
        <v>0</v>
      </c>
      <c r="F96" s="306">
        <f>0+'táj.1.'!F96</f>
        <v>0</v>
      </c>
      <c r="G96" s="306">
        <f>0+'táj.1.'!G96</f>
        <v>0</v>
      </c>
      <c r="H96" s="306">
        <f>3429+'táj.1.'!H96</f>
        <v>3429</v>
      </c>
      <c r="I96" s="306">
        <f>0+'táj.1.'!I96</f>
        <v>0</v>
      </c>
      <c r="J96" s="306">
        <f>0+'táj.1.'!J96</f>
        <v>0</v>
      </c>
      <c r="K96" s="306">
        <f>0+'táj.1.'!K96</f>
        <v>0</v>
      </c>
      <c r="L96" s="306">
        <f>0+'táj.1.'!L96</f>
        <v>0</v>
      </c>
      <c r="M96" s="306">
        <f>0+'táj.1.'!M96</f>
        <v>0</v>
      </c>
      <c r="N96" s="306">
        <f>0+'táj.1.'!N96</f>
        <v>0</v>
      </c>
      <c r="O96" s="306">
        <f>SUM(E96:N96)</f>
        <v>3429</v>
      </c>
    </row>
    <row r="97" spans="1:15" s="250" customFormat="1" ht="13.5" customHeight="1">
      <c r="A97" s="305"/>
      <c r="B97" s="305"/>
      <c r="C97" s="254" t="s">
        <v>1356</v>
      </c>
      <c r="D97" s="636">
        <v>171904</v>
      </c>
      <c r="E97" s="280">
        <f>0+'táj.1.'!E97</f>
        <v>0</v>
      </c>
      <c r="F97" s="280">
        <f>0+'táj.1.'!F97</f>
        <v>0</v>
      </c>
      <c r="G97" s="280">
        <f>0+'táj.1.'!G97</f>
        <v>0</v>
      </c>
      <c r="H97" s="280">
        <f>2000+'táj.1.'!H97</f>
        <v>2000</v>
      </c>
      <c r="I97" s="280">
        <f>0+'táj.1.'!I97</f>
        <v>0</v>
      </c>
      <c r="J97" s="280">
        <f>0+'táj.1.'!J97</f>
        <v>0</v>
      </c>
      <c r="K97" s="280">
        <f>0+'táj.1.'!K97</f>
        <v>0</v>
      </c>
      <c r="L97" s="280">
        <f>0+'táj.1.'!L97</f>
        <v>0</v>
      </c>
      <c r="M97" s="280">
        <f>0+'táj.1.'!M97</f>
        <v>0</v>
      </c>
      <c r="N97" s="280">
        <f>0+'táj.1.'!N97</f>
        <v>0</v>
      </c>
      <c r="O97" s="280">
        <f>SUM(E97:N97)</f>
        <v>2000</v>
      </c>
    </row>
    <row r="98" spans="1:15" s="250" customFormat="1" ht="25.5" customHeight="1">
      <c r="A98" s="305"/>
      <c r="B98" s="305"/>
      <c r="C98" s="275" t="s">
        <v>1069</v>
      </c>
      <c r="D98" s="636">
        <v>171967</v>
      </c>
      <c r="E98" s="280"/>
      <c r="F98" s="306"/>
      <c r="G98" s="306"/>
      <c r="H98" s="280">
        <f>81+'táj.1.'!H98</f>
        <v>81</v>
      </c>
      <c r="I98" s="306"/>
      <c r="J98" s="306"/>
      <c r="K98" s="306"/>
      <c r="L98" s="306"/>
      <c r="M98" s="306"/>
      <c r="N98" s="306"/>
      <c r="O98" s="280">
        <f>SUM(E98:N98)</f>
        <v>81</v>
      </c>
    </row>
    <row r="99" spans="1:15" s="250" customFormat="1" ht="24.75" customHeight="1">
      <c r="A99" s="305"/>
      <c r="B99" s="305"/>
      <c r="C99" s="275" t="s">
        <v>1078</v>
      </c>
      <c r="D99" s="637"/>
      <c r="E99" s="280"/>
      <c r="F99" s="306"/>
      <c r="G99" s="306"/>
      <c r="H99" s="306"/>
      <c r="I99" s="306"/>
      <c r="J99" s="306"/>
      <c r="K99" s="306"/>
      <c r="L99" s="306"/>
      <c r="M99" s="306"/>
      <c r="N99" s="306"/>
      <c r="O99" s="280"/>
    </row>
    <row r="100" spans="1:15" s="250" customFormat="1" ht="15" customHeight="1">
      <c r="A100" s="305"/>
      <c r="B100" s="305"/>
      <c r="C100" s="253" t="s">
        <v>1357</v>
      </c>
      <c r="D100" s="634">
        <v>171901</v>
      </c>
      <c r="E100" s="280">
        <f>0+'táj.1.'!E100</f>
        <v>0</v>
      </c>
      <c r="F100" s="280">
        <f>0+'táj.1.'!F100</f>
        <v>0</v>
      </c>
      <c r="G100" s="280">
        <f>0+'táj.1.'!G100</f>
        <v>0</v>
      </c>
      <c r="H100" s="280">
        <f>35714+'táj.1.'!H100</f>
        <v>35714</v>
      </c>
      <c r="I100" s="280">
        <f>0+'táj.1.'!I100</f>
        <v>0</v>
      </c>
      <c r="J100" s="280">
        <f>0+'táj.1.'!J100</f>
        <v>0</v>
      </c>
      <c r="K100" s="280">
        <f>0+'táj.1.'!K100</f>
        <v>0</v>
      </c>
      <c r="L100" s="280">
        <f>0+'táj.1.'!L100</f>
        <v>0</v>
      </c>
      <c r="M100" s="280">
        <f>0+'táj.1.'!M100</f>
        <v>0</v>
      </c>
      <c r="N100" s="280">
        <f>0+'táj.1.'!N100</f>
        <v>0</v>
      </c>
      <c r="O100" s="280">
        <f>SUM(E100:N100)</f>
        <v>35714</v>
      </c>
    </row>
    <row r="101" spans="1:15" s="250" customFormat="1" ht="24.75" customHeight="1">
      <c r="A101" s="251"/>
      <c r="B101" s="251"/>
      <c r="C101" s="307" t="s">
        <v>1358</v>
      </c>
      <c r="D101" s="635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</row>
    <row r="102" spans="1:15" s="250" customFormat="1" ht="24.75" customHeight="1">
      <c r="A102" s="251"/>
      <c r="B102" s="251"/>
      <c r="C102" s="308" t="s">
        <v>1359</v>
      </c>
      <c r="D102" s="638">
        <v>171908</v>
      </c>
      <c r="E102" s="280">
        <f>0+'táj.1.'!E102</f>
        <v>0</v>
      </c>
      <c r="F102" s="280">
        <f>0+'táj.1.'!F102</f>
        <v>0</v>
      </c>
      <c r="G102" s="280">
        <f>0+'táj.1.'!G102</f>
        <v>0</v>
      </c>
      <c r="H102" s="280">
        <f>190500+'táj.1.'!H102</f>
        <v>190500</v>
      </c>
      <c r="I102" s="280">
        <f>0+'táj.1.'!I102</f>
        <v>0</v>
      </c>
      <c r="J102" s="280">
        <f>0+'táj.1.'!J102</f>
        <v>0</v>
      </c>
      <c r="K102" s="280">
        <f>0+'táj.1.'!K102</f>
        <v>0</v>
      </c>
      <c r="L102" s="280">
        <f>0+'táj.1.'!L102</f>
        <v>0</v>
      </c>
      <c r="M102" s="280">
        <f>0+'táj.1.'!M102</f>
        <v>0</v>
      </c>
      <c r="N102" s="280">
        <f>0+'táj.1.'!N102</f>
        <v>0</v>
      </c>
      <c r="O102" s="280">
        <f>SUM(E102:N102)</f>
        <v>190500</v>
      </c>
    </row>
    <row r="103" spans="1:15" s="250" customFormat="1" ht="24.75" customHeight="1">
      <c r="A103" s="251"/>
      <c r="B103" s="251"/>
      <c r="C103" s="180" t="s">
        <v>372</v>
      </c>
      <c r="D103" s="633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</row>
    <row r="104" spans="1:15" s="250" customFormat="1" ht="13.5" customHeight="1">
      <c r="A104" s="251"/>
      <c r="B104" s="251"/>
      <c r="C104" s="309" t="s">
        <v>1360</v>
      </c>
      <c r="D104" s="639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</row>
    <row r="105" spans="1:15" s="250" customFormat="1" ht="24.75" customHeight="1">
      <c r="A105" s="251"/>
      <c r="B105" s="251"/>
      <c r="C105" s="197" t="s">
        <v>1361</v>
      </c>
      <c r="D105" s="64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</row>
    <row r="106" spans="1:15" s="250" customFormat="1" ht="24.75" customHeight="1">
      <c r="A106" s="251"/>
      <c r="B106" s="251"/>
      <c r="C106" s="270" t="s">
        <v>1362</v>
      </c>
      <c r="D106" s="635">
        <v>121401</v>
      </c>
      <c r="E106" s="280">
        <f>0+'táj.1.'!E106</f>
        <v>0</v>
      </c>
      <c r="F106" s="280">
        <f>0+'táj.1.'!F106</f>
        <v>0</v>
      </c>
      <c r="G106" s="280">
        <f>0+'táj.1.'!G106</f>
        <v>0</v>
      </c>
      <c r="H106" s="280">
        <f>0+'táj.1.'!H106</f>
        <v>0</v>
      </c>
      <c r="I106" s="280">
        <f>0+'táj.1.'!I106</f>
        <v>0</v>
      </c>
      <c r="J106" s="280">
        <f>0+'táj.1.'!J106</f>
        <v>0</v>
      </c>
      <c r="K106" s="280">
        <f>30000+'táj.1.'!K106</f>
        <v>30000</v>
      </c>
      <c r="L106" s="280">
        <f>0+'táj.1.'!L106</f>
        <v>0</v>
      </c>
      <c r="M106" s="280">
        <f>0+'táj.1.'!M106</f>
        <v>0</v>
      </c>
      <c r="N106" s="280">
        <f>0+'táj.1.'!N106</f>
        <v>0</v>
      </c>
      <c r="O106" s="280">
        <f>SUM(E106:N106)</f>
        <v>30000</v>
      </c>
    </row>
    <row r="107" spans="1:15" s="250" customFormat="1" ht="24.75" customHeight="1">
      <c r="A107" s="251"/>
      <c r="B107" s="251"/>
      <c r="C107" s="260" t="s">
        <v>373</v>
      </c>
      <c r="D107" s="641"/>
      <c r="E107" s="280"/>
      <c r="F107" s="289"/>
      <c r="G107" s="288"/>
      <c r="H107" s="280"/>
      <c r="I107" s="280"/>
      <c r="J107" s="280"/>
      <c r="K107" s="280"/>
      <c r="L107" s="280"/>
      <c r="M107" s="280"/>
      <c r="N107" s="280"/>
      <c r="O107" s="280"/>
    </row>
    <row r="108" spans="1:16" s="250" customFormat="1" ht="24.75" customHeight="1">
      <c r="A108" s="251"/>
      <c r="B108" s="251"/>
      <c r="C108" s="770" t="s">
        <v>1363</v>
      </c>
      <c r="D108" s="635">
        <v>176902</v>
      </c>
      <c r="E108" s="280">
        <f>0+'táj.1.'!E108</f>
        <v>0</v>
      </c>
      <c r="F108" s="280">
        <f>0+'táj.1.'!F108</f>
        <v>0</v>
      </c>
      <c r="G108" s="280">
        <f>0+'táj.1.'!G108</f>
        <v>0</v>
      </c>
      <c r="H108" s="280">
        <f>0+'táj.1.'!H108</f>
        <v>0</v>
      </c>
      <c r="I108" s="280">
        <f>0+'táj.1.'!I108</f>
        <v>0</v>
      </c>
      <c r="J108" s="280">
        <f>0+'táj.1.'!J108</f>
        <v>0</v>
      </c>
      <c r="K108" s="280">
        <f>0+'táj.1.'!K108</f>
        <v>0</v>
      </c>
      <c r="L108" s="280">
        <f>0+'táj.1.'!L108</f>
        <v>0</v>
      </c>
      <c r="M108" s="280">
        <f>79118+'táj.1.'!M108</f>
        <v>79118</v>
      </c>
      <c r="N108" s="280">
        <f>78306+'táj.1.'!N108</f>
        <v>78306</v>
      </c>
      <c r="O108" s="280">
        <f>SUM(E108:N108)</f>
        <v>157424</v>
      </c>
      <c r="P108" s="285"/>
    </row>
    <row r="109" spans="1:16" s="250" customFormat="1" ht="24.75" customHeight="1">
      <c r="A109" s="251"/>
      <c r="B109" s="251"/>
      <c r="C109" s="746" t="s">
        <v>1344</v>
      </c>
      <c r="D109" s="777">
        <v>171954</v>
      </c>
      <c r="E109" s="280">
        <f>0+'táj.1.'!E109</f>
        <v>0</v>
      </c>
      <c r="F109" s="280">
        <f>0+'táj.1.'!F109</f>
        <v>0</v>
      </c>
      <c r="G109" s="280">
        <f>0+'táj.1.'!G109</f>
        <v>0</v>
      </c>
      <c r="H109" s="280">
        <f>0+'táj.1.'!H109</f>
        <v>2300</v>
      </c>
      <c r="I109" s="280">
        <f>0+'táj.1.'!I109</f>
        <v>0</v>
      </c>
      <c r="J109" s="280">
        <f>0+'táj.1.'!J109</f>
        <v>0</v>
      </c>
      <c r="K109" s="280">
        <f>0+'táj.1.'!K109</f>
        <v>0</v>
      </c>
      <c r="L109" s="280">
        <f>0+'táj.1.'!L109</f>
        <v>0</v>
      </c>
      <c r="M109" s="280">
        <f>0+'táj.1.'!M109</f>
        <v>0</v>
      </c>
      <c r="N109" s="280">
        <f>0+'táj.1.'!N109</f>
        <v>0</v>
      </c>
      <c r="O109" s="280">
        <f>SUM(E109:N109)</f>
        <v>2300</v>
      </c>
      <c r="P109" s="285"/>
    </row>
    <row r="110" spans="1:15" s="250" customFormat="1" ht="18" customHeight="1">
      <c r="A110" s="264"/>
      <c r="B110" s="264"/>
      <c r="C110" s="290" t="s">
        <v>1364</v>
      </c>
      <c r="D110" s="642"/>
      <c r="E110" s="266">
        <f>SUM(E85:E109)</f>
        <v>0</v>
      </c>
      <c r="F110" s="266">
        <f aca="true" t="shared" si="6" ref="F110:O110">SUM(F85:F109)</f>
        <v>0</v>
      </c>
      <c r="G110" s="266">
        <f t="shared" si="6"/>
        <v>0</v>
      </c>
      <c r="H110" s="266">
        <f t="shared" si="6"/>
        <v>360400</v>
      </c>
      <c r="I110" s="266">
        <f t="shared" si="6"/>
        <v>353580</v>
      </c>
      <c r="J110" s="266">
        <f t="shared" si="6"/>
        <v>0</v>
      </c>
      <c r="K110" s="266">
        <f t="shared" si="6"/>
        <v>30000</v>
      </c>
      <c r="L110" s="266">
        <f t="shared" si="6"/>
        <v>0</v>
      </c>
      <c r="M110" s="266">
        <f t="shared" si="6"/>
        <v>79118</v>
      </c>
      <c r="N110" s="266">
        <f t="shared" si="6"/>
        <v>78306</v>
      </c>
      <c r="O110" s="266">
        <f t="shared" si="6"/>
        <v>901404</v>
      </c>
    </row>
    <row r="111" spans="1:15" s="250" customFormat="1" ht="12" customHeight="1">
      <c r="A111" s="267">
        <v>1</v>
      </c>
      <c r="B111" s="267">
        <v>18</v>
      </c>
      <c r="C111" s="314" t="s">
        <v>357</v>
      </c>
      <c r="D111" s="635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</row>
    <row r="112" spans="1:15" s="250" customFormat="1" ht="24.75" customHeight="1">
      <c r="A112" s="251"/>
      <c r="B112" s="251"/>
      <c r="C112" s="180" t="s">
        <v>372</v>
      </c>
      <c r="D112" s="635"/>
      <c r="E112" s="288"/>
      <c r="F112" s="288"/>
      <c r="G112" s="288"/>
      <c r="H112" s="280"/>
      <c r="I112" s="280"/>
      <c r="J112" s="280"/>
      <c r="K112" s="280"/>
      <c r="L112" s="280"/>
      <c r="M112" s="280"/>
      <c r="N112" s="280"/>
      <c r="O112" s="280"/>
    </row>
    <row r="113" spans="1:15" s="250" customFormat="1" ht="36" customHeight="1">
      <c r="A113" s="251"/>
      <c r="B113" s="251"/>
      <c r="C113" s="197" t="s">
        <v>1193</v>
      </c>
      <c r="D113" s="643">
        <v>181901</v>
      </c>
      <c r="E113" s="288">
        <f>0+'táj.1.'!E113</f>
        <v>0</v>
      </c>
      <c r="F113" s="288">
        <f>0+'táj.1.'!F113</f>
        <v>0</v>
      </c>
      <c r="G113" s="288">
        <f>0+'táj.1.'!G113</f>
        <v>0</v>
      </c>
      <c r="H113" s="288">
        <f>30955+'táj.1.'!H113</f>
        <v>30955</v>
      </c>
      <c r="I113" s="288">
        <f>0+'táj.1.'!I113</f>
        <v>0</v>
      </c>
      <c r="J113" s="288">
        <f>0+'táj.1.'!J113</f>
        <v>0</v>
      </c>
      <c r="K113" s="288">
        <f>0+'táj.1.'!K113</f>
        <v>0</v>
      </c>
      <c r="L113" s="288">
        <f>0+'táj.1.'!L113</f>
        <v>0</v>
      </c>
      <c r="M113" s="288">
        <f>0+'táj.1.'!M113</f>
        <v>0</v>
      </c>
      <c r="N113" s="288">
        <f>0+'táj.1.'!N113</f>
        <v>0</v>
      </c>
      <c r="O113" s="280">
        <f aca="true" t="shared" si="7" ref="O113:O118">SUM(E113:N113)</f>
        <v>30955</v>
      </c>
    </row>
    <row r="114" spans="1:15" s="250" customFormat="1" ht="12" customHeight="1">
      <c r="A114" s="251"/>
      <c r="B114" s="251"/>
      <c r="C114" s="314" t="s">
        <v>754</v>
      </c>
      <c r="D114" s="635">
        <v>181905</v>
      </c>
      <c r="E114" s="288">
        <f>0+'táj.1.'!E114</f>
        <v>0</v>
      </c>
      <c r="F114" s="288">
        <f>0+'táj.1.'!F114</f>
        <v>0</v>
      </c>
      <c r="G114" s="288">
        <f>0+'táj.1.'!G114</f>
        <v>0</v>
      </c>
      <c r="H114" s="288">
        <f>20320+'táj.1.'!H114</f>
        <v>20320</v>
      </c>
      <c r="I114" s="288">
        <f>0+'táj.1.'!I114</f>
        <v>0</v>
      </c>
      <c r="J114" s="288">
        <f>0+'táj.1.'!J114</f>
        <v>0</v>
      </c>
      <c r="K114" s="288">
        <f>0+'táj.1.'!K114</f>
        <v>0</v>
      </c>
      <c r="L114" s="288">
        <f>0+'táj.1.'!L114</f>
        <v>0</v>
      </c>
      <c r="M114" s="288">
        <f>0+'táj.1.'!M114</f>
        <v>0</v>
      </c>
      <c r="N114" s="288">
        <f>0+'táj.1.'!N114</f>
        <v>0</v>
      </c>
      <c r="O114" s="280">
        <f t="shared" si="7"/>
        <v>20320</v>
      </c>
    </row>
    <row r="115" spans="1:15" s="250" customFormat="1" ht="15" customHeight="1">
      <c r="A115" s="251"/>
      <c r="B115" s="251"/>
      <c r="C115" s="180" t="s">
        <v>755</v>
      </c>
      <c r="D115" s="635">
        <v>181903</v>
      </c>
      <c r="E115" s="288">
        <f>0+'táj.1.'!E115</f>
        <v>0</v>
      </c>
      <c r="F115" s="288">
        <f>0+'táj.1.'!F115</f>
        <v>0</v>
      </c>
      <c r="G115" s="288">
        <f>7000+'táj.1.'!G115</f>
        <v>7000</v>
      </c>
      <c r="H115" s="288">
        <f>0+'táj.1.'!H115</f>
        <v>0</v>
      </c>
      <c r="I115" s="288">
        <f>0+'táj.1.'!I115</f>
        <v>0</v>
      </c>
      <c r="J115" s="288">
        <f>0+'táj.1.'!J115</f>
        <v>0</v>
      </c>
      <c r="K115" s="288">
        <f>0+'táj.1.'!K115</f>
        <v>0</v>
      </c>
      <c r="L115" s="288">
        <f>0+'táj.1.'!L115</f>
        <v>0</v>
      </c>
      <c r="M115" s="288">
        <f>0+'táj.1.'!M115</f>
        <v>0</v>
      </c>
      <c r="N115" s="288">
        <f>0+'táj.1.'!N115</f>
        <v>0</v>
      </c>
      <c r="O115" s="280">
        <f t="shared" si="7"/>
        <v>7000</v>
      </c>
    </row>
    <row r="116" spans="1:15" s="250" customFormat="1" ht="27.75" customHeight="1">
      <c r="A116" s="251"/>
      <c r="B116" s="251"/>
      <c r="C116" s="180" t="s">
        <v>1365</v>
      </c>
      <c r="D116" s="635">
        <v>181904</v>
      </c>
      <c r="E116" s="288">
        <f>0+'táj.1.'!E116</f>
        <v>0</v>
      </c>
      <c r="F116" s="288">
        <f>0+'táj.1.'!F116</f>
        <v>0</v>
      </c>
      <c r="G116" s="288">
        <f>0+'táj.1.'!G116</f>
        <v>0</v>
      </c>
      <c r="H116" s="288">
        <f>127+'táj.1.'!H116</f>
        <v>127</v>
      </c>
      <c r="I116" s="288">
        <f>0+'táj.1.'!I116</f>
        <v>0</v>
      </c>
      <c r="J116" s="288">
        <f>0+'táj.1.'!J116</f>
        <v>0</v>
      </c>
      <c r="K116" s="288">
        <f>0+'táj.1.'!K116</f>
        <v>0</v>
      </c>
      <c r="L116" s="288">
        <f>0+'táj.1.'!L116</f>
        <v>0</v>
      </c>
      <c r="M116" s="288">
        <f>0+'táj.1.'!M116</f>
        <v>0</v>
      </c>
      <c r="N116" s="288">
        <f>0+'táj.1.'!N116</f>
        <v>0</v>
      </c>
      <c r="O116" s="280">
        <f t="shared" si="7"/>
        <v>127</v>
      </c>
    </row>
    <row r="117" spans="1:15" s="250" customFormat="1" ht="15" customHeight="1">
      <c r="A117" s="251" t="s">
        <v>1366</v>
      </c>
      <c r="B117" s="251"/>
      <c r="C117" s="314" t="s">
        <v>756</v>
      </c>
      <c r="D117" s="635">
        <v>181902</v>
      </c>
      <c r="E117" s="288">
        <f>0+'táj.1.'!E117</f>
        <v>0</v>
      </c>
      <c r="F117" s="288">
        <f>0+'táj.1.'!F117</f>
        <v>0</v>
      </c>
      <c r="G117" s="288">
        <f>0+'táj.1.'!G117</f>
        <v>0</v>
      </c>
      <c r="H117" s="288">
        <f>17018+'táj.1.'!H117</f>
        <v>17018</v>
      </c>
      <c r="I117" s="288">
        <f>0+'táj.1.'!I117</f>
        <v>0</v>
      </c>
      <c r="J117" s="288">
        <f>0+'táj.1.'!J117</f>
        <v>0</v>
      </c>
      <c r="K117" s="288">
        <f>0+'táj.1.'!K117</f>
        <v>0</v>
      </c>
      <c r="L117" s="288">
        <f>0+'táj.1.'!L117</f>
        <v>0</v>
      </c>
      <c r="M117" s="288">
        <f>0+'táj.1.'!M117</f>
        <v>0</v>
      </c>
      <c r="N117" s="288">
        <f>0+'táj.1.'!N117</f>
        <v>0</v>
      </c>
      <c r="O117" s="280">
        <f t="shared" si="7"/>
        <v>17018</v>
      </c>
    </row>
    <row r="118" spans="1:15" s="250" customFormat="1" ht="26.25" customHeight="1">
      <c r="A118" s="251"/>
      <c r="B118" s="251"/>
      <c r="C118" s="691" t="s">
        <v>1345</v>
      </c>
      <c r="D118" s="777">
        <v>181907</v>
      </c>
      <c r="E118" s="288">
        <f>0+'táj.1.'!E118</f>
        <v>0</v>
      </c>
      <c r="F118" s="288">
        <f>0+'táj.1.'!F118</f>
        <v>0</v>
      </c>
      <c r="G118" s="288">
        <f>0+'táj.1.'!G118</f>
        <v>0</v>
      </c>
      <c r="H118" s="288">
        <f>0+'táj.1.'!H118</f>
        <v>275</v>
      </c>
      <c r="I118" s="288">
        <f>0+'táj.1.'!I118</f>
        <v>0</v>
      </c>
      <c r="J118" s="288">
        <f>0+'táj.1.'!J118</f>
        <v>0</v>
      </c>
      <c r="K118" s="288">
        <f>0+'táj.1.'!K118</f>
        <v>0</v>
      </c>
      <c r="L118" s="288">
        <f>0+'táj.1.'!L118</f>
        <v>0</v>
      </c>
      <c r="M118" s="288">
        <f>0+'táj.1.'!M118</f>
        <v>0</v>
      </c>
      <c r="N118" s="288">
        <f>0+'táj.1.'!N118</f>
        <v>0</v>
      </c>
      <c r="O118" s="280">
        <f t="shared" si="7"/>
        <v>275</v>
      </c>
    </row>
    <row r="119" spans="1:15" s="250" customFormat="1" ht="14.25" customHeight="1">
      <c r="A119" s="264"/>
      <c r="B119" s="264"/>
      <c r="C119" s="290" t="s">
        <v>1367</v>
      </c>
      <c r="D119" s="642"/>
      <c r="E119" s="312">
        <f>SUM(E113:E118)</f>
        <v>0</v>
      </c>
      <c r="F119" s="312">
        <f aca="true" t="shared" si="8" ref="F119:O119">SUM(F113:F118)</f>
        <v>0</v>
      </c>
      <c r="G119" s="312">
        <f t="shared" si="8"/>
        <v>7000</v>
      </c>
      <c r="H119" s="312">
        <f t="shared" si="8"/>
        <v>68695</v>
      </c>
      <c r="I119" s="312">
        <f t="shared" si="8"/>
        <v>0</v>
      </c>
      <c r="J119" s="312">
        <f t="shared" si="8"/>
        <v>0</v>
      </c>
      <c r="K119" s="312">
        <f t="shared" si="8"/>
        <v>0</v>
      </c>
      <c r="L119" s="312">
        <f t="shared" si="8"/>
        <v>0</v>
      </c>
      <c r="M119" s="312">
        <f t="shared" si="8"/>
        <v>0</v>
      </c>
      <c r="N119" s="312">
        <f t="shared" si="8"/>
        <v>0</v>
      </c>
      <c r="O119" s="312">
        <f t="shared" si="8"/>
        <v>75695</v>
      </c>
    </row>
    <row r="120" spans="1:15" s="250" customFormat="1" ht="12" customHeight="1">
      <c r="A120" s="251">
        <v>1</v>
      </c>
      <c r="B120" s="251">
        <v>19</v>
      </c>
      <c r="C120" s="771" t="s">
        <v>691</v>
      </c>
      <c r="D120" s="644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</row>
    <row r="121" spans="1:15" s="250" customFormat="1" ht="26.25" customHeight="1">
      <c r="A121" s="251"/>
      <c r="B121" s="251"/>
      <c r="C121" s="772" t="s">
        <v>1197</v>
      </c>
      <c r="D121" s="645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</row>
    <row r="122" spans="1:16" s="250" customFormat="1" ht="24.75" customHeight="1">
      <c r="A122" s="251"/>
      <c r="B122" s="251"/>
      <c r="C122" s="286" t="s">
        <v>1198</v>
      </c>
      <c r="D122" s="643">
        <v>196906</v>
      </c>
      <c r="E122" s="288">
        <f>0+'táj.1.'!E122</f>
        <v>0</v>
      </c>
      <c r="F122" s="288">
        <f>0+'táj.1.'!F122</f>
        <v>0</v>
      </c>
      <c r="G122" s="288">
        <f>0+'táj.1.'!G122</f>
        <v>0</v>
      </c>
      <c r="H122" s="288">
        <f>0+'táj.1.'!H122</f>
        <v>0</v>
      </c>
      <c r="I122" s="288">
        <f>0+'táj.1.'!I122</f>
        <v>0</v>
      </c>
      <c r="J122" s="288">
        <f>0+'táj.1.'!J122</f>
        <v>0</v>
      </c>
      <c r="K122" s="288">
        <f>0+'táj.1.'!K122</f>
        <v>0</v>
      </c>
      <c r="L122" s="288">
        <f>378018+'táj.1.'!L122</f>
        <v>378018</v>
      </c>
      <c r="M122" s="288">
        <f>0+'táj.1.'!M122</f>
        <v>0</v>
      </c>
      <c r="N122" s="288">
        <f>0+'táj.1.'!N122</f>
        <v>0</v>
      </c>
      <c r="O122" s="280">
        <f>SUM(E122:N122)</f>
        <v>378018</v>
      </c>
      <c r="P122" s="285"/>
    </row>
    <row r="123" spans="1:15" s="250" customFormat="1" ht="24.75" customHeight="1">
      <c r="A123" s="251"/>
      <c r="B123" s="251"/>
      <c r="C123" s="260" t="s">
        <v>414</v>
      </c>
      <c r="D123" s="778"/>
      <c r="E123" s="288"/>
      <c r="F123" s="288"/>
      <c r="G123" s="288"/>
      <c r="H123" s="280"/>
      <c r="I123" s="280"/>
      <c r="J123" s="280"/>
      <c r="K123" s="280"/>
      <c r="L123" s="280"/>
      <c r="M123" s="280"/>
      <c r="N123" s="280"/>
      <c r="O123" s="280"/>
    </row>
    <row r="124" spans="1:15" s="250" customFormat="1" ht="12.75">
      <c r="A124" s="251" t="s">
        <v>1366</v>
      </c>
      <c r="B124" s="251"/>
      <c r="C124" s="282" t="s">
        <v>1368</v>
      </c>
      <c r="D124" s="634">
        <v>191102</v>
      </c>
      <c r="E124" s="288">
        <f>0+'táj.1.'!E124</f>
        <v>0</v>
      </c>
      <c r="F124" s="288">
        <f>0+'táj.1.'!F124</f>
        <v>0</v>
      </c>
      <c r="G124" s="288">
        <f>0+'táj.1.'!G124</f>
        <v>0</v>
      </c>
      <c r="H124" s="288">
        <f>10000+'táj.1.'!H124</f>
        <v>10000</v>
      </c>
      <c r="I124" s="288">
        <f>0+'táj.1.'!I124</f>
        <v>0</v>
      </c>
      <c r="J124" s="288">
        <f>0+'táj.1.'!J124</f>
        <v>0</v>
      </c>
      <c r="K124" s="288">
        <f>0+'táj.1.'!K124</f>
        <v>0</v>
      </c>
      <c r="L124" s="288">
        <f>0+'táj.1.'!L124</f>
        <v>0</v>
      </c>
      <c r="M124" s="288">
        <f>0+'táj.1.'!M124</f>
        <v>0</v>
      </c>
      <c r="N124" s="288">
        <f>0+'táj.1.'!N124</f>
        <v>0</v>
      </c>
      <c r="O124" s="280">
        <f aca="true" t="shared" si="9" ref="O124:O129">SUM(E124:N124)</f>
        <v>10000</v>
      </c>
    </row>
    <row r="125" spans="1:16" s="250" customFormat="1" ht="12.75">
      <c r="A125" s="251"/>
      <c r="B125" s="251"/>
      <c r="C125" s="427" t="s">
        <v>1369</v>
      </c>
      <c r="D125" s="646">
        <v>191103</v>
      </c>
      <c r="E125" s="288">
        <f>0+'táj.1.'!E125</f>
        <v>0</v>
      </c>
      <c r="F125" s="288">
        <f>0+'táj.1.'!F125</f>
        <v>0</v>
      </c>
      <c r="G125" s="288">
        <f>0+'táj.1.'!G125</f>
        <v>0</v>
      </c>
      <c r="H125" s="288">
        <f>241262+'táj.1.'!H125</f>
        <v>242882</v>
      </c>
      <c r="I125" s="288">
        <f>0+'táj.1.'!I125</f>
        <v>0</v>
      </c>
      <c r="J125" s="288">
        <f>0+'táj.1.'!J125</f>
        <v>0</v>
      </c>
      <c r="K125" s="288">
        <f>0+'táj.1.'!K125</f>
        <v>0</v>
      </c>
      <c r="L125" s="288">
        <f>0+'táj.1.'!L125</f>
        <v>0</v>
      </c>
      <c r="M125" s="288">
        <f>0+'táj.1.'!M125</f>
        <v>0</v>
      </c>
      <c r="N125" s="288">
        <f>0+'táj.1.'!N125</f>
        <v>0</v>
      </c>
      <c r="O125" s="280">
        <f t="shared" si="9"/>
        <v>242882</v>
      </c>
      <c r="P125" s="285"/>
    </row>
    <row r="126" spans="1:16" s="250" customFormat="1" ht="25.5">
      <c r="A126" s="251"/>
      <c r="B126" s="251"/>
      <c r="C126" s="314" t="s">
        <v>1370</v>
      </c>
      <c r="D126" s="635">
        <v>191196</v>
      </c>
      <c r="E126" s="288">
        <f>0+'táj.1.'!E126</f>
        <v>0</v>
      </c>
      <c r="F126" s="288">
        <f>0+'táj.1.'!F126</f>
        <v>0</v>
      </c>
      <c r="G126" s="288">
        <f>0+'táj.1.'!G126</f>
        <v>0</v>
      </c>
      <c r="H126" s="288">
        <f>0+'táj.1.'!H126</f>
        <v>0</v>
      </c>
      <c r="I126" s="288">
        <f>0+'táj.1.'!I126</f>
        <v>0</v>
      </c>
      <c r="J126" s="288">
        <f>0+'táj.1.'!J126</f>
        <v>0</v>
      </c>
      <c r="K126" s="288">
        <f>0+'táj.1.'!K126</f>
        <v>0</v>
      </c>
      <c r="L126" s="288">
        <f>0+'táj.1.'!L126</f>
        <v>0</v>
      </c>
      <c r="M126" s="288">
        <f>1223262+'táj.1.'!M126</f>
        <v>1223262</v>
      </c>
      <c r="N126" s="288">
        <f>0+'táj.1.'!N126</f>
        <v>0</v>
      </c>
      <c r="O126" s="280">
        <f t="shared" si="9"/>
        <v>1223262</v>
      </c>
      <c r="P126" s="285"/>
    </row>
    <row r="127" spans="1:16" s="250" customFormat="1" ht="25.5">
      <c r="A127" s="251"/>
      <c r="B127" s="251"/>
      <c r="C127" s="314" t="s">
        <v>1371</v>
      </c>
      <c r="D127" s="635">
        <v>191198</v>
      </c>
      <c r="E127" s="288">
        <f>0+'táj.1.'!E127</f>
        <v>0</v>
      </c>
      <c r="F127" s="288">
        <f>0+'táj.1.'!F127</f>
        <v>0</v>
      </c>
      <c r="G127" s="288">
        <f>0+'táj.1.'!G127</f>
        <v>0</v>
      </c>
      <c r="H127" s="288">
        <f>0+'táj.1.'!H127</f>
        <v>0</v>
      </c>
      <c r="I127" s="288">
        <f>0+'táj.1.'!I127</f>
        <v>0</v>
      </c>
      <c r="J127" s="288">
        <f>0+'táj.1.'!J127</f>
        <v>0</v>
      </c>
      <c r="K127" s="288">
        <f>0+'táj.1.'!K127</f>
        <v>0</v>
      </c>
      <c r="L127" s="288">
        <f>0+'táj.1.'!L127</f>
        <v>0</v>
      </c>
      <c r="M127" s="288">
        <f>168935+'táj.1.'!M127</f>
        <v>168935</v>
      </c>
      <c r="N127" s="288">
        <f>0+'táj.1.'!N127</f>
        <v>0</v>
      </c>
      <c r="O127" s="280">
        <f t="shared" si="9"/>
        <v>168935</v>
      </c>
      <c r="P127" s="285"/>
    </row>
    <row r="128" spans="1:16" s="250" customFormat="1" ht="31.5" customHeight="1">
      <c r="A128" s="251"/>
      <c r="B128" s="251"/>
      <c r="C128" s="314" t="s">
        <v>1372</v>
      </c>
      <c r="D128" s="635">
        <v>191901</v>
      </c>
      <c r="E128" s="288">
        <f>0+'táj.1.'!E128</f>
        <v>0</v>
      </c>
      <c r="F128" s="288">
        <f>0+'táj.1.'!F128</f>
        <v>0</v>
      </c>
      <c r="G128" s="288">
        <f>0+'táj.1.'!G128</f>
        <v>0</v>
      </c>
      <c r="H128" s="288">
        <f>0+'táj.1.'!H128</f>
        <v>0</v>
      </c>
      <c r="I128" s="288">
        <f>0+'táj.1.'!I128</f>
        <v>0</v>
      </c>
      <c r="J128" s="288">
        <f>0+'táj.1.'!J128</f>
        <v>0</v>
      </c>
      <c r="K128" s="288">
        <f>0+'táj.1.'!K128</f>
        <v>0</v>
      </c>
      <c r="L128" s="288">
        <f>0+'táj.1.'!L128</f>
        <v>0</v>
      </c>
      <c r="M128" s="288">
        <f>800000+'táj.1.'!M128</f>
        <v>800000</v>
      </c>
      <c r="N128" s="288">
        <f>0+'táj.1.'!N128</f>
        <v>0</v>
      </c>
      <c r="O128" s="280">
        <f t="shared" si="9"/>
        <v>800000</v>
      </c>
      <c r="P128" s="285"/>
    </row>
    <row r="129" spans="1:16" s="250" customFormat="1" ht="15" customHeight="1">
      <c r="A129" s="251"/>
      <c r="B129" s="251"/>
      <c r="C129" s="691" t="s">
        <v>1346</v>
      </c>
      <c r="D129" s="777">
        <v>191193</v>
      </c>
      <c r="E129" s="288">
        <f>0+'táj.1.'!E129</f>
        <v>0</v>
      </c>
      <c r="F129" s="288">
        <f>0+'táj.1.'!F129</f>
        <v>0</v>
      </c>
      <c r="G129" s="288">
        <f>0+'táj.1.'!G129</f>
        <v>0</v>
      </c>
      <c r="H129" s="288">
        <f>0+'táj.1.'!H129</f>
        <v>0</v>
      </c>
      <c r="I129" s="288">
        <f>0+'táj.1.'!I129</f>
        <v>0</v>
      </c>
      <c r="J129" s="288">
        <f>0+'táj.1.'!J129</f>
        <v>2400</v>
      </c>
      <c r="K129" s="288">
        <f>0+'táj.1.'!K129</f>
        <v>0</v>
      </c>
      <c r="L129" s="288">
        <f>0+'táj.1.'!L129</f>
        <v>0</v>
      </c>
      <c r="M129" s="288">
        <f>0+'táj.1.'!M129</f>
        <v>0</v>
      </c>
      <c r="N129" s="288">
        <f>0+'táj.1.'!N129</f>
        <v>0</v>
      </c>
      <c r="O129" s="280">
        <f t="shared" si="9"/>
        <v>2400</v>
      </c>
      <c r="P129" s="285"/>
    </row>
    <row r="130" spans="1:15" s="250" customFormat="1" ht="24.75" customHeight="1">
      <c r="A130" s="251"/>
      <c r="B130" s="251"/>
      <c r="C130" s="314" t="s">
        <v>378</v>
      </c>
      <c r="D130" s="635"/>
      <c r="E130" s="288"/>
      <c r="F130" s="288"/>
      <c r="G130" s="288"/>
      <c r="H130" s="288"/>
      <c r="I130" s="288"/>
      <c r="J130" s="288"/>
      <c r="K130" s="280"/>
      <c r="L130" s="280"/>
      <c r="M130" s="280"/>
      <c r="N130" s="280"/>
      <c r="O130" s="280"/>
    </row>
    <row r="131" spans="1:15" s="250" customFormat="1" ht="25.5">
      <c r="A131" s="251"/>
      <c r="B131" s="251"/>
      <c r="C131" s="197" t="s">
        <v>1373</v>
      </c>
      <c r="D131" s="643">
        <v>191901</v>
      </c>
      <c r="E131" s="288">
        <f>7069+'táj.1.'!E131</f>
        <v>7069</v>
      </c>
      <c r="F131" s="288">
        <f>0+'táj.1.'!F131</f>
        <v>0</v>
      </c>
      <c r="G131" s="288">
        <f>0+'táj.1.'!G131</f>
        <v>0</v>
      </c>
      <c r="H131" s="288">
        <f>0+'táj.1.'!H131</f>
        <v>0</v>
      </c>
      <c r="I131" s="288">
        <f>0+'táj.1.'!I131</f>
        <v>0</v>
      </c>
      <c r="J131" s="288">
        <f>0+'táj.1.'!J131</f>
        <v>0</v>
      </c>
      <c r="K131" s="288">
        <f>0+'táj.1.'!K131</f>
        <v>0</v>
      </c>
      <c r="L131" s="288">
        <f>0+'táj.1.'!L131</f>
        <v>0</v>
      </c>
      <c r="M131" s="288">
        <f>0+'táj.1.'!M131</f>
        <v>0</v>
      </c>
      <c r="N131" s="288">
        <f>0+'táj.1.'!N131</f>
        <v>0</v>
      </c>
      <c r="O131" s="280">
        <f aca="true" t="shared" si="10" ref="O131:O136">SUM(E131:N131)</f>
        <v>7069</v>
      </c>
    </row>
    <row r="132" spans="1:15" s="250" customFormat="1" ht="25.5">
      <c r="A132" s="251"/>
      <c r="B132" s="251"/>
      <c r="C132" s="197" t="s">
        <v>1374</v>
      </c>
      <c r="D132" s="643">
        <v>191901</v>
      </c>
      <c r="E132" s="288">
        <f>886883+'táj.1.'!E132</f>
        <v>886883</v>
      </c>
      <c r="F132" s="288">
        <f>0+'táj.1.'!F132</f>
        <v>0</v>
      </c>
      <c r="G132" s="288">
        <f>0+'táj.1.'!G132</f>
        <v>0</v>
      </c>
      <c r="H132" s="288">
        <f>0+'táj.1.'!H132</f>
        <v>0</v>
      </c>
      <c r="I132" s="288">
        <f>0+'táj.1.'!I132</f>
        <v>0</v>
      </c>
      <c r="J132" s="288">
        <f>0+'táj.1.'!J132</f>
        <v>0</v>
      </c>
      <c r="K132" s="288">
        <f>0+'táj.1.'!K132</f>
        <v>0</v>
      </c>
      <c r="L132" s="288">
        <f>0+'táj.1.'!L132</f>
        <v>0</v>
      </c>
      <c r="M132" s="288">
        <f>0+'táj.1.'!M132</f>
        <v>0</v>
      </c>
      <c r="N132" s="288">
        <f>0+'táj.1.'!N132</f>
        <v>0</v>
      </c>
      <c r="O132" s="280">
        <f t="shared" si="10"/>
        <v>886883</v>
      </c>
    </row>
    <row r="133" spans="1:17" s="250" customFormat="1" ht="24" customHeight="1">
      <c r="A133" s="251"/>
      <c r="B133" s="251"/>
      <c r="C133" s="197" t="s">
        <v>1375</v>
      </c>
      <c r="D133" s="643">
        <v>191901</v>
      </c>
      <c r="E133" s="288">
        <f>703869+'táj.1.'!E133</f>
        <v>740182</v>
      </c>
      <c r="F133" s="288">
        <f>0+'táj.1.'!F133</f>
        <v>0</v>
      </c>
      <c r="G133" s="288">
        <f>0+'táj.1.'!G133</f>
        <v>0</v>
      </c>
      <c r="H133" s="288">
        <f>0+'táj.1.'!H133</f>
        <v>0</v>
      </c>
      <c r="I133" s="288">
        <f>0+'táj.1.'!I133</f>
        <v>0</v>
      </c>
      <c r="J133" s="288">
        <f>0+'táj.1.'!J133</f>
        <v>0</v>
      </c>
      <c r="K133" s="288">
        <f>0+'táj.1.'!K133</f>
        <v>0</v>
      </c>
      <c r="L133" s="288">
        <f>0+'táj.1.'!L133</f>
        <v>0</v>
      </c>
      <c r="M133" s="288">
        <f>0+'táj.1.'!M133</f>
        <v>0</v>
      </c>
      <c r="N133" s="288">
        <f>0+'táj.1.'!N133</f>
        <v>0</v>
      </c>
      <c r="O133" s="280">
        <f t="shared" si="10"/>
        <v>740182</v>
      </c>
      <c r="Q133" s="285"/>
    </row>
    <row r="134" spans="1:16" s="250" customFormat="1" ht="24" customHeight="1">
      <c r="A134" s="251"/>
      <c r="B134" s="251"/>
      <c r="C134" s="197" t="s">
        <v>1376</v>
      </c>
      <c r="D134" s="643">
        <v>191901</v>
      </c>
      <c r="E134" s="288">
        <f>656956+'táj.1.'!E134</f>
        <v>656956</v>
      </c>
      <c r="F134" s="288">
        <f>0+'táj.1.'!F134</f>
        <v>0</v>
      </c>
      <c r="G134" s="288">
        <f>0+'táj.1.'!G134</f>
        <v>0</v>
      </c>
      <c r="H134" s="288">
        <f>0+'táj.1.'!H134</f>
        <v>0</v>
      </c>
      <c r="I134" s="288">
        <f>0+'táj.1.'!I134</f>
        <v>0</v>
      </c>
      <c r="J134" s="288">
        <f>0+'táj.1.'!J134</f>
        <v>0</v>
      </c>
      <c r="K134" s="288">
        <f>0+'táj.1.'!K134</f>
        <v>0</v>
      </c>
      <c r="L134" s="288">
        <f>0+'táj.1.'!L134</f>
        <v>0</v>
      </c>
      <c r="M134" s="288">
        <f>0+'táj.1.'!M134</f>
        <v>0</v>
      </c>
      <c r="N134" s="288">
        <f>0+'táj.1.'!N134</f>
        <v>0</v>
      </c>
      <c r="O134" s="280">
        <f t="shared" si="10"/>
        <v>656956</v>
      </c>
      <c r="P134" s="285"/>
    </row>
    <row r="135" spans="1:16" s="250" customFormat="1" ht="24" customHeight="1">
      <c r="A135" s="251"/>
      <c r="B135" s="251"/>
      <c r="C135" s="197" t="s">
        <v>940</v>
      </c>
      <c r="D135" s="643">
        <v>191901</v>
      </c>
      <c r="E135" s="288">
        <f>36079+'táj.1.'!E135</f>
        <v>82550</v>
      </c>
      <c r="F135" s="288">
        <f>0+'táj.1.'!F135</f>
        <v>500</v>
      </c>
      <c r="G135" s="288">
        <f>0+'táj.1.'!G135</f>
        <v>0</v>
      </c>
      <c r="H135" s="288">
        <f>0+'táj.1.'!H135</f>
        <v>0</v>
      </c>
      <c r="I135" s="288">
        <f>0+'táj.1.'!I135</f>
        <v>0</v>
      </c>
      <c r="J135" s="288">
        <f>0+'táj.1.'!J135</f>
        <v>0</v>
      </c>
      <c r="K135" s="288">
        <f>0+'táj.1.'!K135</f>
        <v>0</v>
      </c>
      <c r="L135" s="288">
        <f>0+'táj.1.'!L135</f>
        <v>0</v>
      </c>
      <c r="M135" s="288">
        <f>0+'táj.1.'!M135</f>
        <v>0</v>
      </c>
      <c r="N135" s="288">
        <f>0+'táj.1.'!N135</f>
        <v>0</v>
      </c>
      <c r="O135" s="280">
        <f t="shared" si="10"/>
        <v>83050</v>
      </c>
      <c r="P135" s="285"/>
    </row>
    <row r="136" spans="1:16" s="250" customFormat="1" ht="24" customHeight="1">
      <c r="A136" s="251"/>
      <c r="B136" s="251"/>
      <c r="C136" s="197" t="s">
        <v>1347</v>
      </c>
      <c r="D136" s="643">
        <v>191901</v>
      </c>
      <c r="E136" s="288">
        <f>0+'táj.1.'!E136</f>
        <v>12958</v>
      </c>
      <c r="F136" s="288">
        <f>0+'táj.1.'!F136</f>
        <v>0</v>
      </c>
      <c r="G136" s="288">
        <f>0+'táj.1.'!G136</f>
        <v>0</v>
      </c>
      <c r="H136" s="288">
        <f>0+'táj.1.'!H136</f>
        <v>0</v>
      </c>
      <c r="I136" s="288">
        <f>0+'táj.1.'!I136</f>
        <v>0</v>
      </c>
      <c r="J136" s="288">
        <f>0+'táj.1.'!J136</f>
        <v>0</v>
      </c>
      <c r="K136" s="288">
        <f>0+'táj.1.'!K136</f>
        <v>0</v>
      </c>
      <c r="L136" s="288">
        <f>0+'táj.1.'!L136</f>
        <v>0</v>
      </c>
      <c r="M136" s="288">
        <f>0+'táj.1.'!M136</f>
        <v>0</v>
      </c>
      <c r="N136" s="288">
        <f>0+'táj.1.'!N136</f>
        <v>0</v>
      </c>
      <c r="O136" s="280">
        <f t="shared" si="10"/>
        <v>12958</v>
      </c>
      <c r="P136" s="285"/>
    </row>
    <row r="137" spans="1:16" s="250" customFormat="1" ht="28.5" customHeight="1">
      <c r="A137" s="251"/>
      <c r="B137" s="251"/>
      <c r="C137" s="314" t="s">
        <v>1377</v>
      </c>
      <c r="D137" s="635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0"/>
      <c r="P137" s="285"/>
    </row>
    <row r="138" spans="1:15" s="250" customFormat="1" ht="13.5" customHeight="1">
      <c r="A138" s="251"/>
      <c r="B138" s="251"/>
      <c r="C138" s="282" t="s">
        <v>554</v>
      </c>
      <c r="D138" s="634">
        <v>191901</v>
      </c>
      <c r="E138" s="288">
        <f>0+'táj.1.'!E138</f>
        <v>0</v>
      </c>
      <c r="F138" s="288">
        <f>0+'táj.1.'!F138</f>
        <v>0</v>
      </c>
      <c r="G138" s="288">
        <f>3700000+'táj.1.'!G138</f>
        <v>3700000</v>
      </c>
      <c r="H138" s="288">
        <f>0+'táj.1.'!H138</f>
        <v>0</v>
      </c>
      <c r="I138" s="288">
        <f>0+'táj.1.'!I138</f>
        <v>0</v>
      </c>
      <c r="J138" s="288">
        <f>0+'táj.1.'!J138</f>
        <v>0</v>
      </c>
      <c r="K138" s="288">
        <f>0+'táj.1.'!K138</f>
        <v>0</v>
      </c>
      <c r="L138" s="288">
        <f>0+'táj.1.'!L138</f>
        <v>0</v>
      </c>
      <c r="M138" s="288">
        <f>0+'táj.1.'!M138</f>
        <v>0</v>
      </c>
      <c r="N138" s="288">
        <f>0+'táj.1.'!N138</f>
        <v>0</v>
      </c>
      <c r="O138" s="280">
        <f aca="true" t="shared" si="11" ref="O138:O147">SUM(E138:N138)</f>
        <v>3700000</v>
      </c>
    </row>
    <row r="139" spans="1:15" s="250" customFormat="1" ht="13.5" customHeight="1">
      <c r="A139" s="251"/>
      <c r="B139" s="251"/>
      <c r="C139" s="282" t="s">
        <v>1378</v>
      </c>
      <c r="D139" s="634">
        <v>191901</v>
      </c>
      <c r="E139" s="288">
        <f>0+'táj.1.'!E139</f>
        <v>0</v>
      </c>
      <c r="F139" s="288">
        <f>0+'táj.1.'!F139</f>
        <v>0</v>
      </c>
      <c r="G139" s="288">
        <f>228000+'táj.1.'!G139</f>
        <v>228000</v>
      </c>
      <c r="H139" s="288">
        <f>0+'táj.1.'!H139</f>
        <v>0</v>
      </c>
      <c r="I139" s="288">
        <f>0+'táj.1.'!I139</f>
        <v>0</v>
      </c>
      <c r="J139" s="288">
        <f>0+'táj.1.'!J139</f>
        <v>0</v>
      </c>
      <c r="K139" s="288">
        <f>0+'táj.1.'!K139</f>
        <v>0</v>
      </c>
      <c r="L139" s="288">
        <f>0+'táj.1.'!L139</f>
        <v>0</v>
      </c>
      <c r="M139" s="288">
        <f>0+'táj.1.'!M139</f>
        <v>0</v>
      </c>
      <c r="N139" s="288">
        <f>0+'táj.1.'!N139</f>
        <v>0</v>
      </c>
      <c r="O139" s="280">
        <f t="shared" si="11"/>
        <v>228000</v>
      </c>
    </row>
    <row r="140" spans="1:15" s="250" customFormat="1" ht="13.5" customHeight="1">
      <c r="A140" s="251"/>
      <c r="B140" s="251"/>
      <c r="C140" s="282" t="s">
        <v>1379</v>
      </c>
      <c r="D140" s="634">
        <v>191901</v>
      </c>
      <c r="E140" s="288">
        <f>0+'táj.1.'!E140</f>
        <v>0</v>
      </c>
      <c r="F140" s="288">
        <f>0+'táj.1.'!F140</f>
        <v>0</v>
      </c>
      <c r="G140" s="288">
        <f>12000+'táj.1.'!G140</f>
        <v>12000</v>
      </c>
      <c r="H140" s="288">
        <f>0+'táj.1.'!H140</f>
        <v>0</v>
      </c>
      <c r="I140" s="288">
        <f>0+'táj.1.'!I140</f>
        <v>0</v>
      </c>
      <c r="J140" s="288">
        <f>0+'táj.1.'!J140</f>
        <v>0</v>
      </c>
      <c r="K140" s="288">
        <f>0+'táj.1.'!K140</f>
        <v>0</v>
      </c>
      <c r="L140" s="288">
        <f>0+'táj.1.'!L140</f>
        <v>0</v>
      </c>
      <c r="M140" s="288">
        <f>0+'táj.1.'!M140</f>
        <v>0</v>
      </c>
      <c r="N140" s="288">
        <f>0+'táj.1.'!N140</f>
        <v>0</v>
      </c>
      <c r="O140" s="280">
        <f t="shared" si="11"/>
        <v>12000</v>
      </c>
    </row>
    <row r="141" spans="1:15" s="250" customFormat="1" ht="13.5" customHeight="1">
      <c r="A141" s="251"/>
      <c r="B141" s="251"/>
      <c r="C141" s="282" t="s">
        <v>1380</v>
      </c>
      <c r="D141" s="634">
        <v>191901</v>
      </c>
      <c r="E141" s="288">
        <f>0+'táj.1.'!E141</f>
        <v>0</v>
      </c>
      <c r="F141" s="288">
        <f>0+'táj.1.'!F141</f>
        <v>0</v>
      </c>
      <c r="G141" s="288">
        <f>5000+'táj.1.'!G141</f>
        <v>5000</v>
      </c>
      <c r="H141" s="288">
        <f>0+'táj.1.'!H141</f>
        <v>0</v>
      </c>
      <c r="I141" s="288">
        <f>0+'táj.1.'!I141</f>
        <v>0</v>
      </c>
      <c r="J141" s="288">
        <f>0+'táj.1.'!J141</f>
        <v>0</v>
      </c>
      <c r="K141" s="288">
        <f>0+'táj.1.'!K141</f>
        <v>0</v>
      </c>
      <c r="L141" s="288">
        <f>0+'táj.1.'!L141</f>
        <v>0</v>
      </c>
      <c r="M141" s="288">
        <f>0+'táj.1.'!M141</f>
        <v>0</v>
      </c>
      <c r="N141" s="288">
        <f>0+'táj.1.'!N141</f>
        <v>0</v>
      </c>
      <c r="O141" s="280">
        <f t="shared" si="11"/>
        <v>5000</v>
      </c>
    </row>
    <row r="142" spans="1:15" s="250" customFormat="1" ht="13.5" customHeight="1">
      <c r="A142" s="251"/>
      <c r="B142" s="251"/>
      <c r="C142" s="427" t="s">
        <v>1254</v>
      </c>
      <c r="D142" s="634">
        <v>191901</v>
      </c>
      <c r="E142" s="288">
        <f>0+'táj.1.'!E142</f>
        <v>0</v>
      </c>
      <c r="F142" s="288">
        <f>0+'táj.1.'!F142</f>
        <v>0</v>
      </c>
      <c r="G142" s="288">
        <f>600000+'táj.1.'!G142</f>
        <v>600000</v>
      </c>
      <c r="H142" s="288">
        <f>0+'táj.1.'!H142</f>
        <v>0</v>
      </c>
      <c r="I142" s="288">
        <f>0+'táj.1.'!I142</f>
        <v>0</v>
      </c>
      <c r="J142" s="288">
        <f>0+'táj.1.'!J142</f>
        <v>0</v>
      </c>
      <c r="K142" s="288">
        <f>0+'táj.1.'!K142</f>
        <v>0</v>
      </c>
      <c r="L142" s="288">
        <f>0+'táj.1.'!L142</f>
        <v>0</v>
      </c>
      <c r="M142" s="288">
        <f>0+'táj.1.'!M142</f>
        <v>0</v>
      </c>
      <c r="N142" s="288">
        <f>0+'táj.1.'!N142</f>
        <v>0</v>
      </c>
      <c r="O142" s="280">
        <f t="shared" si="11"/>
        <v>600000</v>
      </c>
    </row>
    <row r="143" spans="1:15" s="250" customFormat="1" ht="13.5" customHeight="1">
      <c r="A143" s="251"/>
      <c r="B143" s="251"/>
      <c r="C143" s="282" t="s">
        <v>1348</v>
      </c>
      <c r="D143" s="634">
        <v>191901</v>
      </c>
      <c r="E143" s="288">
        <f>0+'táj.1.'!E143</f>
        <v>0</v>
      </c>
      <c r="F143" s="288">
        <f>0+'táj.1.'!F143</f>
        <v>0</v>
      </c>
      <c r="G143" s="288">
        <f>0+'táj.1.'!G143</f>
        <v>20000</v>
      </c>
      <c r="H143" s="288">
        <f>0+'táj.1.'!H143</f>
        <v>0</v>
      </c>
      <c r="I143" s="288">
        <f>0+'táj.1.'!I143</f>
        <v>0</v>
      </c>
      <c r="J143" s="288">
        <f>0+'táj.1.'!J143</f>
        <v>0</v>
      </c>
      <c r="K143" s="288">
        <f>0+'táj.1.'!K143</f>
        <v>0</v>
      </c>
      <c r="L143" s="288">
        <f>0+'táj.1.'!L143</f>
        <v>0</v>
      </c>
      <c r="M143" s="288">
        <f>0+'táj.1.'!M143</f>
        <v>0</v>
      </c>
      <c r="N143" s="288">
        <f>0+'táj.1.'!N143</f>
        <v>0</v>
      </c>
      <c r="O143" s="280">
        <f t="shared" si="11"/>
        <v>20000</v>
      </c>
    </row>
    <row r="144" spans="1:15" s="250" customFormat="1" ht="26.25" customHeight="1">
      <c r="A144" s="251"/>
      <c r="B144" s="251"/>
      <c r="C144" s="773" t="s">
        <v>1095</v>
      </c>
      <c r="D144" s="635">
        <v>191128</v>
      </c>
      <c r="E144" s="288">
        <f>363+'táj.1.'!E144</f>
        <v>363</v>
      </c>
      <c r="F144" s="288">
        <f>'táj.1.'!F144</f>
        <v>0</v>
      </c>
      <c r="G144" s="288">
        <f>'táj.1.'!G144</f>
        <v>0</v>
      </c>
      <c r="H144" s="288">
        <f>'táj.1.'!H144</f>
        <v>0</v>
      </c>
      <c r="I144" s="288">
        <f>'táj.1.'!I144</f>
        <v>0</v>
      </c>
      <c r="J144" s="288">
        <f>'táj.1.'!J144</f>
        <v>0</v>
      </c>
      <c r="K144" s="288">
        <f>'táj.1.'!K144</f>
        <v>0</v>
      </c>
      <c r="L144" s="288">
        <f>'táj.1.'!L144</f>
        <v>0</v>
      </c>
      <c r="M144" s="288">
        <f>'táj.1.'!M144</f>
        <v>0</v>
      </c>
      <c r="N144" s="288">
        <f>'táj.1.'!N144</f>
        <v>0</v>
      </c>
      <c r="O144" s="280">
        <f t="shared" si="11"/>
        <v>363</v>
      </c>
    </row>
    <row r="145" spans="1:15" s="250" customFormat="1" ht="26.25" customHeight="1">
      <c r="A145" s="251"/>
      <c r="B145" s="251"/>
      <c r="C145" s="691" t="s">
        <v>1349</v>
      </c>
      <c r="D145" s="643">
        <v>191901</v>
      </c>
      <c r="E145" s="288">
        <f>0+'táj.1.'!E145</f>
        <v>340</v>
      </c>
      <c r="F145" s="288">
        <f>'táj.1.'!F145</f>
        <v>0</v>
      </c>
      <c r="G145" s="288">
        <f>'táj.1.'!G145</f>
        <v>0</v>
      </c>
      <c r="H145" s="288">
        <f>'táj.1.'!H145</f>
        <v>0</v>
      </c>
      <c r="I145" s="288">
        <f>'táj.1.'!I145</f>
        <v>0</v>
      </c>
      <c r="J145" s="288">
        <f>'táj.1.'!J145</f>
        <v>0</v>
      </c>
      <c r="K145" s="288">
        <f>'táj.1.'!K145</f>
        <v>0</v>
      </c>
      <c r="L145" s="288">
        <f>'táj.1.'!L145</f>
        <v>0</v>
      </c>
      <c r="M145" s="288">
        <f>'táj.1.'!M145</f>
        <v>0</v>
      </c>
      <c r="N145" s="288">
        <f>'táj.1.'!N145</f>
        <v>0</v>
      </c>
      <c r="O145" s="280">
        <f t="shared" si="11"/>
        <v>340</v>
      </c>
    </row>
    <row r="146" spans="1:15" s="250" customFormat="1" ht="24.75" customHeight="1">
      <c r="A146" s="251"/>
      <c r="B146" s="251"/>
      <c r="C146" s="178" t="s">
        <v>1381</v>
      </c>
      <c r="D146" s="779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0"/>
    </row>
    <row r="147" spans="1:15" s="250" customFormat="1" ht="33.75" customHeight="1">
      <c r="A147" s="251"/>
      <c r="B147" s="251"/>
      <c r="C147" s="204" t="s">
        <v>1382</v>
      </c>
      <c r="D147" s="779">
        <v>191158</v>
      </c>
      <c r="E147" s="288">
        <f>16000+'táj.1.'!E147</f>
        <v>16000</v>
      </c>
      <c r="F147" s="288">
        <f>0+'táj.1.'!F147</f>
        <v>0</v>
      </c>
      <c r="G147" s="288">
        <f>0+'táj.1.'!G147</f>
        <v>0</v>
      </c>
      <c r="H147" s="288">
        <f>0+'táj.1.'!H147</f>
        <v>0</v>
      </c>
      <c r="I147" s="288">
        <f>0+'táj.1.'!I147</f>
        <v>0</v>
      </c>
      <c r="J147" s="288">
        <f>0+'táj.1.'!J147</f>
        <v>0</v>
      </c>
      <c r="K147" s="288">
        <f>0+'táj.1.'!K147</f>
        <v>0</v>
      </c>
      <c r="L147" s="288">
        <f>0+'táj.1.'!L147</f>
        <v>0</v>
      </c>
      <c r="M147" s="288">
        <f>0+'táj.1.'!M147</f>
        <v>0</v>
      </c>
      <c r="N147" s="288">
        <f>0+'táj.1.'!N147</f>
        <v>0</v>
      </c>
      <c r="O147" s="280">
        <f t="shared" si="11"/>
        <v>16000</v>
      </c>
    </row>
    <row r="148" spans="1:15" s="250" customFormat="1" ht="24.75" customHeight="1">
      <c r="A148" s="251"/>
      <c r="B148" s="251"/>
      <c r="C148" s="204" t="s">
        <v>1383</v>
      </c>
      <c r="D148" s="779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0"/>
    </row>
    <row r="149" spans="1:15" s="250" customFormat="1" ht="24.75" customHeight="1">
      <c r="A149" s="251"/>
      <c r="B149" s="251"/>
      <c r="C149" s="314" t="s">
        <v>1384</v>
      </c>
      <c r="D149" s="643">
        <v>191607</v>
      </c>
      <c r="E149" s="288">
        <f>11224+'táj.1.'!E149</f>
        <v>11224</v>
      </c>
      <c r="F149" s="288">
        <f>0+'táj.1.'!F149</f>
        <v>0</v>
      </c>
      <c r="G149" s="288">
        <f>0+'táj.1.'!G149</f>
        <v>0</v>
      </c>
      <c r="H149" s="288">
        <f>0+'táj.1.'!H149</f>
        <v>0</v>
      </c>
      <c r="I149" s="288">
        <f>0+'táj.1.'!I149</f>
        <v>0</v>
      </c>
      <c r="J149" s="288">
        <f>0+'táj.1.'!J149</f>
        <v>0</v>
      </c>
      <c r="K149" s="288">
        <f>0+'táj.1.'!K149</f>
        <v>0</v>
      </c>
      <c r="L149" s="288">
        <f>0+'táj.1.'!L149</f>
        <v>0</v>
      </c>
      <c r="M149" s="288">
        <f>0+'táj.1.'!M149</f>
        <v>0</v>
      </c>
      <c r="N149" s="288">
        <f>0+'táj.1.'!N149</f>
        <v>0</v>
      </c>
      <c r="O149" s="280">
        <f>SUM(E149:N149)</f>
        <v>11224</v>
      </c>
    </row>
    <row r="150" spans="1:15" s="250" customFormat="1" ht="24.75" customHeight="1">
      <c r="A150" s="251"/>
      <c r="B150" s="251"/>
      <c r="C150" s="770" t="s">
        <v>1078</v>
      </c>
      <c r="D150" s="635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0"/>
    </row>
    <row r="151" spans="1:15" s="250" customFormat="1" ht="24.75" customHeight="1">
      <c r="A151" s="251"/>
      <c r="B151" s="251"/>
      <c r="C151" s="314" t="s">
        <v>1305</v>
      </c>
      <c r="D151" s="635">
        <v>192909</v>
      </c>
      <c r="E151" s="288">
        <f>0+'táj.1.'!E151</f>
        <v>0</v>
      </c>
      <c r="F151" s="288">
        <f>0+'táj.1.'!F151</f>
        <v>0</v>
      </c>
      <c r="G151" s="288">
        <f>0+'táj.1.'!G151</f>
        <v>0</v>
      </c>
      <c r="H151" s="288">
        <f>0+'táj.1.'!H151</f>
        <v>0</v>
      </c>
      <c r="I151" s="288">
        <f>0+'táj.1.'!I151</f>
        <v>0</v>
      </c>
      <c r="J151" s="288">
        <f>0+'táj.1.'!J151</f>
        <v>0</v>
      </c>
      <c r="K151" s="288">
        <f>0+'táj.1.'!K151</f>
        <v>800</v>
      </c>
      <c r="L151" s="288">
        <f>0+'táj.1.'!L151</f>
        <v>0</v>
      </c>
      <c r="M151" s="288">
        <f>0+'táj.1.'!M151</f>
        <v>0</v>
      </c>
      <c r="N151" s="288">
        <f>0+'táj.1.'!N151</f>
        <v>0</v>
      </c>
      <c r="O151" s="280">
        <f>SUM(E151:N151)</f>
        <v>800</v>
      </c>
    </row>
    <row r="152" spans="1:15" s="250" customFormat="1" ht="24.75" customHeight="1">
      <c r="A152" s="251"/>
      <c r="B152" s="251"/>
      <c r="C152" s="691" t="s">
        <v>415</v>
      </c>
      <c r="D152" s="643"/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0"/>
    </row>
    <row r="153" spans="1:15" s="250" customFormat="1" ht="24.75" customHeight="1">
      <c r="A153" s="251"/>
      <c r="B153" s="251"/>
      <c r="C153" s="691" t="s">
        <v>1350</v>
      </c>
      <c r="D153" s="643">
        <v>191131</v>
      </c>
      <c r="E153" s="288">
        <f>0+'táj.1.'!E153</f>
        <v>1013</v>
      </c>
      <c r="F153" s="288">
        <f>0+'táj.1.'!F153</f>
        <v>0</v>
      </c>
      <c r="G153" s="288">
        <f>0+'táj.1.'!G153</f>
        <v>0</v>
      </c>
      <c r="H153" s="288">
        <f>0+'táj.1.'!H153</f>
        <v>0</v>
      </c>
      <c r="I153" s="288">
        <f>0+'táj.1.'!I153</f>
        <v>0</v>
      </c>
      <c r="J153" s="288">
        <f>0+'táj.1.'!J153</f>
        <v>0</v>
      </c>
      <c r="K153" s="288">
        <f>0+'táj.1.'!K153</f>
        <v>0</v>
      </c>
      <c r="L153" s="288">
        <f>0+'táj.1.'!L153</f>
        <v>0</v>
      </c>
      <c r="M153" s="288">
        <f>0+'táj.1.'!M153</f>
        <v>0</v>
      </c>
      <c r="N153" s="288">
        <f>0+'táj.1.'!N153</f>
        <v>0</v>
      </c>
      <c r="O153" s="280">
        <f>SUM(E153:N153)</f>
        <v>1013</v>
      </c>
    </row>
    <row r="154" spans="1:15" s="250" customFormat="1" ht="15.75" customHeight="1">
      <c r="A154" s="316"/>
      <c r="B154" s="264"/>
      <c r="C154" s="290" t="s">
        <v>692</v>
      </c>
      <c r="D154" s="642"/>
      <c r="E154" s="266">
        <f>SUM(E121:E153)</f>
        <v>2415538</v>
      </c>
      <c r="F154" s="266">
        <f aca="true" t="shared" si="12" ref="F154:O154">SUM(F121:F153)</f>
        <v>500</v>
      </c>
      <c r="G154" s="266">
        <f t="shared" si="12"/>
        <v>4565000</v>
      </c>
      <c r="H154" s="266">
        <f t="shared" si="12"/>
        <v>252882</v>
      </c>
      <c r="I154" s="266">
        <f t="shared" si="12"/>
        <v>0</v>
      </c>
      <c r="J154" s="266">
        <f t="shared" si="12"/>
        <v>2400</v>
      </c>
      <c r="K154" s="266">
        <f t="shared" si="12"/>
        <v>800</v>
      </c>
      <c r="L154" s="266">
        <f t="shared" si="12"/>
        <v>378018</v>
      </c>
      <c r="M154" s="266">
        <f t="shared" si="12"/>
        <v>2192197</v>
      </c>
      <c r="N154" s="266">
        <f t="shared" si="12"/>
        <v>0</v>
      </c>
      <c r="O154" s="266">
        <f t="shared" si="12"/>
        <v>9807335</v>
      </c>
    </row>
    <row r="155" spans="1:15" s="250" customFormat="1" ht="27.75" customHeight="1">
      <c r="A155" s="262">
        <v>1</v>
      </c>
      <c r="B155" s="267">
        <v>21</v>
      </c>
      <c r="C155" s="180" t="s">
        <v>372</v>
      </c>
      <c r="D155" s="635"/>
      <c r="E155" s="317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</row>
    <row r="156" spans="1:15" s="250" customFormat="1" ht="15" customHeight="1">
      <c r="A156" s="316"/>
      <c r="B156" s="264"/>
      <c r="C156" s="318" t="s">
        <v>1385</v>
      </c>
      <c r="D156" s="780">
        <v>201901</v>
      </c>
      <c r="E156" s="319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>
        <f>SUM(E156:N156)</f>
        <v>0</v>
      </c>
    </row>
    <row r="157" spans="1:15" s="250" customFormat="1" ht="10.5" customHeight="1">
      <c r="A157" s="262">
        <v>1</v>
      </c>
      <c r="B157" s="267">
        <v>22</v>
      </c>
      <c r="C157" s="774" t="s">
        <v>1288</v>
      </c>
      <c r="D157" s="647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</row>
    <row r="158" spans="1:15" s="250" customFormat="1" ht="24.75" customHeight="1">
      <c r="A158" s="262"/>
      <c r="B158" s="267"/>
      <c r="C158" s="260" t="s">
        <v>414</v>
      </c>
      <c r="D158" s="778"/>
      <c r="E158" s="310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</row>
    <row r="159" spans="1:15" s="250" customFormat="1" ht="15" customHeight="1">
      <c r="A159" s="262"/>
      <c r="B159" s="267"/>
      <c r="C159" s="381" t="s">
        <v>1386</v>
      </c>
      <c r="D159" s="646">
        <v>221903</v>
      </c>
      <c r="E159" s="320">
        <f>8000+'táj.1.'!E159</f>
        <v>0</v>
      </c>
      <c r="F159" s="320">
        <f>0+'táj.1.'!F159</f>
        <v>0</v>
      </c>
      <c r="G159" s="320">
        <f>0+'táj.1.'!G159</f>
        <v>0</v>
      </c>
      <c r="H159" s="320">
        <f>0+'táj.1.'!H159</f>
        <v>0</v>
      </c>
      <c r="I159" s="320">
        <f>0+'táj.1.'!I159</f>
        <v>0</v>
      </c>
      <c r="J159" s="320">
        <f>0+'táj.1.'!J159</f>
        <v>8000</v>
      </c>
      <c r="K159" s="320">
        <f>0+'táj.1.'!K159</f>
        <v>0</v>
      </c>
      <c r="L159" s="320">
        <f>0+'táj.1.'!L159</f>
        <v>0</v>
      </c>
      <c r="M159" s="320">
        <f>0+'táj.1.'!M159</f>
        <v>0</v>
      </c>
      <c r="N159" s="320">
        <f>0+'táj.1.'!N159</f>
        <v>0</v>
      </c>
      <c r="O159" s="206">
        <f>SUM(E159:N159)</f>
        <v>8000</v>
      </c>
    </row>
    <row r="160" spans="1:15" s="250" customFormat="1" ht="25.5" customHeight="1">
      <c r="A160" s="262"/>
      <c r="B160" s="267"/>
      <c r="C160" s="204" t="s">
        <v>359</v>
      </c>
      <c r="D160" s="646"/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206"/>
    </row>
    <row r="161" spans="1:15" s="250" customFormat="1" ht="15" customHeight="1">
      <c r="A161" s="262"/>
      <c r="B161" s="267"/>
      <c r="C161" s="496" t="s">
        <v>708</v>
      </c>
      <c r="D161" s="13" t="s">
        <v>1195</v>
      </c>
      <c r="E161" s="320">
        <f>0+'táj.1.'!E161</f>
        <v>0</v>
      </c>
      <c r="F161" s="320">
        <f>0+'táj.1.'!F161</f>
        <v>0</v>
      </c>
      <c r="G161" s="320">
        <f>0+'táj.1.'!G161</f>
        <v>0</v>
      </c>
      <c r="H161" s="320">
        <f>140+'táj.1.'!H161</f>
        <v>142</v>
      </c>
      <c r="I161" s="320">
        <f>0+'táj.1.'!I161</f>
        <v>0</v>
      </c>
      <c r="J161" s="320">
        <f>0+'táj.1.'!J161</f>
        <v>0</v>
      </c>
      <c r="K161" s="320">
        <f>0+'táj.1.'!K161</f>
        <v>0</v>
      </c>
      <c r="L161" s="320">
        <f>0+'táj.1.'!L161</f>
        <v>0</v>
      </c>
      <c r="M161" s="320">
        <f>0+'táj.1.'!M161</f>
        <v>0</v>
      </c>
      <c r="N161" s="320">
        <f>0+'táj.1.'!N161</f>
        <v>0</v>
      </c>
      <c r="O161" s="206">
        <f>SUM(E161:N161)</f>
        <v>142</v>
      </c>
    </row>
    <row r="162" spans="1:15" s="250" customFormat="1" ht="15" customHeight="1">
      <c r="A162" s="262"/>
      <c r="B162" s="267"/>
      <c r="C162" s="496" t="s">
        <v>1351</v>
      </c>
      <c r="D162" s="256">
        <v>151508</v>
      </c>
      <c r="E162" s="320">
        <f>0+'táj.1.'!E162</f>
        <v>0</v>
      </c>
      <c r="F162" s="320">
        <f>0+'táj.1.'!F162</f>
        <v>0</v>
      </c>
      <c r="G162" s="320">
        <f>0+'táj.1.'!G162</f>
        <v>0</v>
      </c>
      <c r="H162" s="320">
        <f>0+'táj.1.'!H162</f>
        <v>0</v>
      </c>
      <c r="I162" s="320">
        <f>0+'táj.1.'!I162</f>
        <v>0</v>
      </c>
      <c r="J162" s="320">
        <f>0+'táj.1.'!J162</f>
        <v>0</v>
      </c>
      <c r="K162" s="320">
        <f>0+'táj.1.'!K162</f>
        <v>9960</v>
      </c>
      <c r="L162" s="320">
        <f>0+'táj.1.'!L162</f>
        <v>0</v>
      </c>
      <c r="M162" s="320">
        <f>0+'táj.1.'!M162</f>
        <v>0</v>
      </c>
      <c r="N162" s="320">
        <f>0+'táj.1.'!N162</f>
        <v>0</v>
      </c>
      <c r="O162" s="206">
        <f>SUM(E162:N162)</f>
        <v>9960</v>
      </c>
    </row>
    <row r="163" spans="1:15" s="250" customFormat="1" ht="15" customHeight="1">
      <c r="A163" s="262"/>
      <c r="B163" s="267"/>
      <c r="C163" s="496" t="s">
        <v>1352</v>
      </c>
      <c r="D163" s="256">
        <v>221912</v>
      </c>
      <c r="E163" s="320">
        <f>0+'táj.1.'!E163</f>
        <v>0</v>
      </c>
      <c r="F163" s="320">
        <f>0+'táj.1.'!F163</f>
        <v>0</v>
      </c>
      <c r="G163" s="320">
        <f>0+'táj.1.'!G163</f>
        <v>0</v>
      </c>
      <c r="H163" s="320">
        <f>0+'táj.1.'!H163</f>
        <v>8</v>
      </c>
      <c r="I163" s="320">
        <f>0+'táj.1.'!I163</f>
        <v>0</v>
      </c>
      <c r="J163" s="320">
        <f>0+'táj.1.'!J163</f>
        <v>0</v>
      </c>
      <c r="K163" s="320">
        <f>0+'táj.1.'!K163</f>
        <v>0</v>
      </c>
      <c r="L163" s="320">
        <f>0+'táj.1.'!L163</f>
        <v>0</v>
      </c>
      <c r="M163" s="320">
        <f>0+'táj.1.'!M163</f>
        <v>0</v>
      </c>
      <c r="N163" s="320">
        <f>0+'táj.1.'!N163</f>
        <v>0</v>
      </c>
      <c r="O163" s="206">
        <f>SUM(E163:N163)</f>
        <v>8</v>
      </c>
    </row>
    <row r="164" spans="1:15" s="250" customFormat="1" ht="24" customHeight="1">
      <c r="A164" s="262"/>
      <c r="B164" s="267"/>
      <c r="C164" s="178" t="s">
        <v>370</v>
      </c>
      <c r="D164" s="256"/>
      <c r="E164" s="320">
        <f>0+'táj.1.'!E164</f>
        <v>0</v>
      </c>
      <c r="F164" s="320">
        <f>0+'táj.1.'!F164</f>
        <v>0</v>
      </c>
      <c r="G164" s="320">
        <f>0+'táj.1.'!G164</f>
        <v>0</v>
      </c>
      <c r="H164" s="320">
        <f>0+'táj.1.'!H164</f>
        <v>0</v>
      </c>
      <c r="I164" s="320">
        <f>0+'táj.1.'!I164</f>
        <v>0</v>
      </c>
      <c r="J164" s="320">
        <f>0+'táj.1.'!J164</f>
        <v>0</v>
      </c>
      <c r="K164" s="320">
        <f>0+'táj.1.'!K164</f>
        <v>0</v>
      </c>
      <c r="L164" s="320">
        <f>0+'táj.1.'!L164</f>
        <v>0</v>
      </c>
      <c r="M164" s="320">
        <f>0+'táj.1.'!M164</f>
        <v>0</v>
      </c>
      <c r="N164" s="320">
        <f>0+'táj.1.'!N164</f>
        <v>0</v>
      </c>
      <c r="O164" s="206">
        <f>SUM(E164:N164)</f>
        <v>0</v>
      </c>
    </row>
    <row r="165" spans="1:15" s="250" customFormat="1" ht="15" customHeight="1">
      <c r="A165" s="262"/>
      <c r="B165" s="267"/>
      <c r="C165" s="16" t="s">
        <v>371</v>
      </c>
      <c r="D165" s="256">
        <v>191110</v>
      </c>
      <c r="E165" s="320">
        <f>0+'táj.1.'!E165</f>
        <v>0</v>
      </c>
      <c r="F165" s="320">
        <f>0+'táj.1.'!F165</f>
        <v>0</v>
      </c>
      <c r="G165" s="320">
        <f>0+'táj.1.'!G165</f>
        <v>0</v>
      </c>
      <c r="H165" s="320">
        <f>0+'táj.1.'!H165</f>
        <v>0</v>
      </c>
      <c r="I165" s="320">
        <f>0+'táj.1.'!I165</f>
        <v>0</v>
      </c>
      <c r="J165" s="320">
        <f>0+'táj.1.'!J165</f>
        <v>610</v>
      </c>
      <c r="K165" s="320">
        <f>0+'táj.1.'!K165</f>
        <v>0</v>
      </c>
      <c r="L165" s="320">
        <f>0+'táj.1.'!L165</f>
        <v>0</v>
      </c>
      <c r="M165" s="320">
        <f>0+'táj.1.'!M165</f>
        <v>0</v>
      </c>
      <c r="N165" s="320">
        <f>0+'táj.1.'!N165</f>
        <v>0</v>
      </c>
      <c r="O165" s="206">
        <f>SUM(E165:N165)</f>
        <v>610</v>
      </c>
    </row>
    <row r="166" spans="1:15" s="250" customFormat="1" ht="12" customHeight="1">
      <c r="A166" s="316"/>
      <c r="B166" s="264"/>
      <c r="C166" s="290" t="s">
        <v>1387</v>
      </c>
      <c r="D166" s="631"/>
      <c r="E166" s="266">
        <f>SUM(E157:E165)</f>
        <v>0</v>
      </c>
      <c r="F166" s="266">
        <f aca="true" t="shared" si="13" ref="F166:O166">SUM(F157:F165)</f>
        <v>0</v>
      </c>
      <c r="G166" s="266">
        <f t="shared" si="13"/>
        <v>0</v>
      </c>
      <c r="H166" s="266">
        <f t="shared" si="13"/>
        <v>150</v>
      </c>
      <c r="I166" s="266">
        <f t="shared" si="13"/>
        <v>0</v>
      </c>
      <c r="J166" s="266">
        <f t="shared" si="13"/>
        <v>8610</v>
      </c>
      <c r="K166" s="266">
        <f t="shared" si="13"/>
        <v>9960</v>
      </c>
      <c r="L166" s="266">
        <f t="shared" si="13"/>
        <v>0</v>
      </c>
      <c r="M166" s="266">
        <f t="shared" si="13"/>
        <v>0</v>
      </c>
      <c r="N166" s="266">
        <f t="shared" si="13"/>
        <v>0</v>
      </c>
      <c r="O166" s="266">
        <f t="shared" si="13"/>
        <v>18720</v>
      </c>
    </row>
    <row r="167" spans="1:15" s="250" customFormat="1" ht="24.75" customHeight="1">
      <c r="A167" s="264"/>
      <c r="B167" s="264"/>
      <c r="C167" s="775" t="s">
        <v>455</v>
      </c>
      <c r="D167" s="610"/>
      <c r="E167" s="266">
        <f aca="true" t="shared" si="14" ref="E167:O167">SUM(E12+E32+E58+E84+E110+E119+E154+E156+E166)</f>
        <v>3263672</v>
      </c>
      <c r="F167" s="266">
        <f t="shared" si="14"/>
        <v>3820651</v>
      </c>
      <c r="G167" s="266">
        <f t="shared" si="14"/>
        <v>4575300</v>
      </c>
      <c r="H167" s="266">
        <f t="shared" si="14"/>
        <v>1748691</v>
      </c>
      <c r="I167" s="266">
        <f t="shared" si="14"/>
        <v>357080</v>
      </c>
      <c r="J167" s="266">
        <f t="shared" si="14"/>
        <v>13102</v>
      </c>
      <c r="K167" s="266">
        <f t="shared" si="14"/>
        <v>332850</v>
      </c>
      <c r="L167" s="266">
        <f t="shared" si="14"/>
        <v>378018</v>
      </c>
      <c r="M167" s="266">
        <f t="shared" si="14"/>
        <v>2271315</v>
      </c>
      <c r="N167" s="266">
        <f t="shared" si="14"/>
        <v>78306</v>
      </c>
      <c r="O167" s="266">
        <f t="shared" si="14"/>
        <v>16838985</v>
      </c>
    </row>
    <row r="168" spans="1:15" s="250" customFormat="1" ht="15.75" customHeight="1">
      <c r="A168" s="251">
        <v>2</v>
      </c>
      <c r="B168" s="251"/>
      <c r="C168" s="776" t="s">
        <v>485</v>
      </c>
      <c r="D168" s="236"/>
      <c r="E168" s="280">
        <f>311497+'táj.1.'!E168</f>
        <v>318194</v>
      </c>
      <c r="F168" s="280">
        <f>14206+'táj.1.'!F168</f>
        <v>19000</v>
      </c>
      <c r="G168" s="280">
        <f>0+'táj.1.'!G168</f>
        <v>0</v>
      </c>
      <c r="H168" s="280">
        <f>1131916+'táj.1.'!H168</f>
        <v>1142651</v>
      </c>
      <c r="I168" s="280">
        <f>0+'táj.1.'!I168</f>
        <v>2255</v>
      </c>
      <c r="J168" s="280">
        <f>65360+'táj.1.'!J168</f>
        <v>66561</v>
      </c>
      <c r="K168" s="280">
        <f>1000+'táj.1.'!K168</f>
        <v>1500</v>
      </c>
      <c r="L168" s="280">
        <f>0+'táj.1.'!L168</f>
        <v>0</v>
      </c>
      <c r="M168" s="280">
        <f>605219+'táj.1.'!M168</f>
        <v>605219</v>
      </c>
      <c r="N168" s="280">
        <f>0+'táj.1.'!N168</f>
        <v>0</v>
      </c>
      <c r="O168" s="304">
        <f>SUM(E168:N168)</f>
        <v>2155380</v>
      </c>
    </row>
    <row r="169" spans="1:15" s="250" customFormat="1" ht="15.75" customHeight="1">
      <c r="A169" s="264"/>
      <c r="B169" s="264"/>
      <c r="C169" s="290" t="s">
        <v>468</v>
      </c>
      <c r="D169" s="264"/>
      <c r="E169" s="266">
        <f>SUM(E167:E168)</f>
        <v>3581866</v>
      </c>
      <c r="F169" s="266">
        <f>SUM(F167:F168)</f>
        <v>3839651</v>
      </c>
      <c r="G169" s="266">
        <f aca="true" t="shared" si="15" ref="G169:O169">SUM(G167:G168)+G155</f>
        <v>4575300</v>
      </c>
      <c r="H169" s="266">
        <f t="shared" si="15"/>
        <v>2891342</v>
      </c>
      <c r="I169" s="266">
        <f t="shared" si="15"/>
        <v>359335</v>
      </c>
      <c r="J169" s="266">
        <f t="shared" si="15"/>
        <v>79663</v>
      </c>
      <c r="K169" s="266">
        <f t="shared" si="15"/>
        <v>334350</v>
      </c>
      <c r="L169" s="266">
        <f t="shared" si="15"/>
        <v>378018</v>
      </c>
      <c r="M169" s="266">
        <f t="shared" si="15"/>
        <v>2876534</v>
      </c>
      <c r="N169" s="266">
        <f t="shared" si="15"/>
        <v>78306</v>
      </c>
      <c r="O169" s="266">
        <f t="shared" si="15"/>
        <v>18994365</v>
      </c>
    </row>
    <row r="170" spans="1:16" s="250" customFormat="1" ht="18.75" customHeight="1">
      <c r="A170" s="321"/>
      <c r="B170" s="321"/>
      <c r="C170" s="321"/>
      <c r="D170" s="61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1"/>
      <c r="P170" s="285"/>
    </row>
    <row r="171" spans="1:16" s="250" customFormat="1" ht="13.5" customHeight="1">
      <c r="A171" s="322"/>
      <c r="B171" s="322"/>
      <c r="C171" s="322"/>
      <c r="D171" s="61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285"/>
    </row>
    <row r="172" spans="1:15" ht="12.75">
      <c r="A172" s="322"/>
      <c r="B172" s="322"/>
      <c r="C172" s="322"/>
      <c r="D172" s="61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</row>
    <row r="173" spans="1:15" ht="12.75">
      <c r="A173" s="322"/>
      <c r="B173" s="322"/>
      <c r="C173" s="322"/>
      <c r="D173" s="61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</row>
    <row r="174" spans="1:15" ht="12.75">
      <c r="A174" s="322"/>
      <c r="B174" s="322"/>
      <c r="C174" s="322"/>
      <c r="D174" s="61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</row>
    <row r="175" spans="1:15" ht="12.75">
      <c r="A175" s="322"/>
      <c r="B175" s="322"/>
      <c r="C175" s="322"/>
      <c r="D175" s="61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</row>
    <row r="176" spans="1:15" ht="12.75">
      <c r="A176" s="322"/>
      <c r="B176" s="322"/>
      <c r="C176" s="322"/>
      <c r="D176" s="61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</row>
    <row r="177" spans="1:15" ht="12.75">
      <c r="A177" s="322"/>
      <c r="B177" s="322"/>
      <c r="C177" s="322"/>
      <c r="D177" s="61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</row>
    <row r="178" spans="1:15" ht="12.75">
      <c r="A178" s="322"/>
      <c r="B178" s="322"/>
      <c r="C178" s="322"/>
      <c r="D178" s="61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</row>
    <row r="179" spans="1:15" ht="12.75">
      <c r="A179" s="322"/>
      <c r="B179" s="322"/>
      <c r="C179" s="322"/>
      <c r="D179" s="61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</row>
    <row r="180" spans="1:15" ht="12.75">
      <c r="A180" s="322"/>
      <c r="B180" s="322"/>
      <c r="C180" s="322"/>
      <c r="D180" s="61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</row>
    <row r="181" spans="3:15" ht="12.75">
      <c r="C181" s="322"/>
      <c r="D181" s="61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</row>
    <row r="182" spans="3:15" ht="12.75">
      <c r="C182" s="322"/>
      <c r="D182" s="61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</row>
    <row r="183" spans="3:15" ht="12.75">
      <c r="C183" s="322"/>
      <c r="D183" s="61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</row>
    <row r="184" spans="3:15" ht="12.75">
      <c r="C184" s="322"/>
      <c r="D184" s="61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</row>
    <row r="185" spans="3:15" ht="12.75">
      <c r="C185" s="322"/>
      <c r="D185" s="61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</row>
    <row r="186" spans="3:15" ht="12.75">
      <c r="C186" s="322"/>
      <c r="D186" s="61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</row>
    <row r="187" spans="3:15" ht="12.75">
      <c r="C187" s="322"/>
      <c r="D187" s="61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</row>
    <row r="188" spans="3:15" ht="12.75">
      <c r="C188" s="322"/>
      <c r="D188" s="61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</row>
    <row r="189" spans="3:15" ht="12.75">
      <c r="C189" s="322"/>
      <c r="D189" s="61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</row>
    <row r="190" spans="3:15" ht="12.75">
      <c r="C190" s="322"/>
      <c r="D190" s="61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</row>
    <row r="191" spans="3:15" ht="12.75">
      <c r="C191" s="322"/>
      <c r="D191" s="61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</row>
    <row r="192" spans="3:15" ht="12.75">
      <c r="C192" s="322"/>
      <c r="D192" s="61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</row>
    <row r="193" spans="3:15" ht="12.75">
      <c r="C193" s="322"/>
      <c r="D193" s="61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</row>
    <row r="194" spans="3:15" ht="12.75">
      <c r="C194" s="322"/>
      <c r="D194" s="61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</row>
    <row r="195" spans="3:15" ht="12.75">
      <c r="C195" s="322"/>
      <c r="D195" s="61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</row>
    <row r="196" spans="3:15" ht="12.75">
      <c r="C196" s="322"/>
      <c r="D196" s="61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</row>
    <row r="197" spans="3:15" ht="12.75">
      <c r="C197" s="322"/>
      <c r="D197" s="61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dőlt"5.a melléklet
Adatok E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R14" sqref="R14"/>
    </sheetView>
  </sheetViews>
  <sheetFormatPr defaultColWidth="9.00390625" defaultRowHeight="12.75"/>
  <cols>
    <col min="1" max="1" width="4.375" style="31" customWidth="1"/>
    <col min="2" max="2" width="7.00390625" style="31" customWidth="1"/>
    <col min="3" max="3" width="23.625" style="31" customWidth="1"/>
    <col min="4" max="4" width="10.625" style="31" customWidth="1"/>
    <col min="5" max="5" width="11.875" style="31" customWidth="1"/>
    <col min="6" max="8" width="10.50390625" style="31" customWidth="1"/>
    <col min="9" max="9" width="12.00390625" style="31" customWidth="1"/>
    <col min="10" max="10" width="11.875" style="31" customWidth="1"/>
    <col min="11" max="11" width="10.625" style="31" customWidth="1"/>
    <col min="12" max="12" width="10.00390625" style="31" customWidth="1"/>
    <col min="13" max="13" width="10.375" style="31" customWidth="1"/>
    <col min="14" max="14" width="12.00390625" style="43" customWidth="1"/>
    <col min="15" max="16384" width="9.375" style="31" customWidth="1"/>
  </cols>
  <sheetData>
    <row r="1" spans="1:14" ht="12.75" customHeight="1">
      <c r="A1" s="826" t="s">
        <v>693</v>
      </c>
      <c r="B1" s="826" t="s">
        <v>694</v>
      </c>
      <c r="C1" s="826" t="s">
        <v>686</v>
      </c>
      <c r="D1" s="825" t="s">
        <v>720</v>
      </c>
      <c r="E1" s="825"/>
      <c r="F1" s="825"/>
      <c r="G1" s="825"/>
      <c r="H1" s="825"/>
      <c r="I1" s="825"/>
      <c r="J1" s="825"/>
      <c r="K1" s="825"/>
      <c r="L1" s="825" t="s">
        <v>724</v>
      </c>
      <c r="M1" s="825"/>
      <c r="N1" s="826" t="s">
        <v>610</v>
      </c>
    </row>
    <row r="2" spans="1:14" s="40" customFormat="1" ht="60" customHeight="1">
      <c r="A2" s="826"/>
      <c r="B2" s="826"/>
      <c r="C2" s="826"/>
      <c r="D2" s="114" t="s">
        <v>338</v>
      </c>
      <c r="E2" s="114" t="s">
        <v>1289</v>
      </c>
      <c r="F2" s="114" t="s">
        <v>472</v>
      </c>
      <c r="G2" s="114" t="s">
        <v>722</v>
      </c>
      <c r="H2" s="114" t="s">
        <v>341</v>
      </c>
      <c r="I2" s="114" t="s">
        <v>345</v>
      </c>
      <c r="J2" s="114" t="s">
        <v>346</v>
      </c>
      <c r="K2" s="114" t="s">
        <v>723</v>
      </c>
      <c r="L2" s="114" t="s">
        <v>1295</v>
      </c>
      <c r="M2" s="114" t="s">
        <v>298</v>
      </c>
      <c r="N2" s="826"/>
    </row>
    <row r="3" spans="1:14" s="40" customFormat="1" ht="15" customHeight="1">
      <c r="A3" s="2">
        <v>1</v>
      </c>
      <c r="B3" s="2"/>
      <c r="C3" s="228" t="s">
        <v>484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40" customFormat="1" ht="15" customHeight="1">
      <c r="A4" s="2">
        <v>1</v>
      </c>
      <c r="B4" s="2">
        <v>1</v>
      </c>
      <c r="C4" s="9" t="s">
        <v>354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41" customFormat="1" ht="24.75" customHeight="1">
      <c r="A5" s="5"/>
      <c r="B5" s="5">
        <v>12</v>
      </c>
      <c r="C5" s="231" t="s">
        <v>352</v>
      </c>
      <c r="D5" s="6">
        <f>'6.a'!G52</f>
        <v>0</v>
      </c>
      <c r="E5" s="6">
        <f>'6.a'!H52</f>
        <v>2700</v>
      </c>
      <c r="F5" s="6">
        <f>'6.a'!I52</f>
        <v>20627</v>
      </c>
      <c r="G5" s="6">
        <f>'6.a'!J52</f>
        <v>188940</v>
      </c>
      <c r="H5" s="6">
        <f>'6.a'!K52</f>
        <v>4505</v>
      </c>
      <c r="I5" s="6">
        <f>'6.a'!L52</f>
        <v>30000</v>
      </c>
      <c r="J5" s="6">
        <f>'6.a'!M52</f>
        <v>0</v>
      </c>
      <c r="K5" s="6">
        <f>'6.a'!N52</f>
        <v>42519</v>
      </c>
      <c r="L5" s="6">
        <f>'6.a'!O52</f>
        <v>0</v>
      </c>
      <c r="M5" s="6">
        <f>'6.a'!P52</f>
        <v>0</v>
      </c>
      <c r="N5" s="6">
        <f aca="true" t="shared" si="0" ref="N5:N15">SUM(D5:M5)</f>
        <v>289291</v>
      </c>
    </row>
    <row r="6" spans="1:14" s="41" customFormat="1" ht="13.5" customHeight="1">
      <c r="A6" s="5"/>
      <c r="B6" s="5">
        <v>13</v>
      </c>
      <c r="C6" s="228" t="s">
        <v>353</v>
      </c>
      <c r="D6" s="6">
        <f>'6.a'!G234</f>
        <v>4751</v>
      </c>
      <c r="E6" s="6">
        <f>'6.a'!H234</f>
        <v>1248</v>
      </c>
      <c r="F6" s="6">
        <f>'6.a'!I234</f>
        <v>130211</v>
      </c>
      <c r="G6" s="6">
        <f>'6.a'!J234</f>
        <v>19674</v>
      </c>
      <c r="H6" s="6">
        <f>'6.a'!K234</f>
        <v>530246</v>
      </c>
      <c r="I6" s="6">
        <f>'6.a'!L234</f>
        <v>100348</v>
      </c>
      <c r="J6" s="6">
        <f>'6.a'!M234</f>
        <v>401623</v>
      </c>
      <c r="K6" s="6">
        <f>'6.a'!N234</f>
        <v>103043</v>
      </c>
      <c r="L6" s="6">
        <f>'6.a'!O234</f>
        <v>0</v>
      </c>
      <c r="M6" s="6">
        <f>'6.a'!P234</f>
        <v>0</v>
      </c>
      <c r="N6" s="6">
        <f t="shared" si="0"/>
        <v>1291144</v>
      </c>
    </row>
    <row r="7" spans="1:14" s="41" customFormat="1" ht="13.5" customHeight="1">
      <c r="A7" s="5"/>
      <c r="B7" s="5">
        <v>14</v>
      </c>
      <c r="C7" s="228" t="s">
        <v>1296</v>
      </c>
      <c r="D7" s="6">
        <f>'6.a'!G250</f>
        <v>0</v>
      </c>
      <c r="E7" s="6">
        <f>'6.a'!H250</f>
        <v>0</v>
      </c>
      <c r="F7" s="6">
        <f>'6.a'!I250</f>
        <v>17913</v>
      </c>
      <c r="G7" s="6">
        <f>'6.a'!J250</f>
        <v>0</v>
      </c>
      <c r="H7" s="6">
        <f>'6.a'!K250</f>
        <v>0</v>
      </c>
      <c r="I7" s="6">
        <f>'6.a'!L250</f>
        <v>1273653</v>
      </c>
      <c r="J7" s="6">
        <f>'6.a'!M250</f>
        <v>0</v>
      </c>
      <c r="K7" s="6">
        <f>'6.a'!N250</f>
        <v>5968</v>
      </c>
      <c r="L7" s="6">
        <f>'6.a'!O250</f>
        <v>0</v>
      </c>
      <c r="M7" s="6">
        <f>'6.a'!P250</f>
        <v>0</v>
      </c>
      <c r="N7" s="6">
        <f t="shared" si="0"/>
        <v>1297534</v>
      </c>
    </row>
    <row r="8" spans="1:14" s="41" customFormat="1" ht="13.5" customHeight="1">
      <c r="A8" s="5"/>
      <c r="B8" s="5">
        <v>15</v>
      </c>
      <c r="C8" s="45" t="s">
        <v>689</v>
      </c>
      <c r="D8" s="6">
        <f>'6.a'!G494</f>
        <v>1920</v>
      </c>
      <c r="E8" s="6">
        <f>'6.a'!H494</f>
        <v>496</v>
      </c>
      <c r="F8" s="6">
        <f>'6.a'!I494</f>
        <v>1394418</v>
      </c>
      <c r="G8" s="6">
        <f>'6.a'!J494</f>
        <v>50</v>
      </c>
      <c r="H8" s="6">
        <f>'6.a'!K494</f>
        <v>52817</v>
      </c>
      <c r="I8" s="6">
        <f>'6.a'!L494</f>
        <v>225303</v>
      </c>
      <c r="J8" s="6">
        <f>'6.a'!M494</f>
        <v>576825</v>
      </c>
      <c r="K8" s="6">
        <f>'6.a'!N494</f>
        <v>667129</v>
      </c>
      <c r="L8" s="6">
        <f>'6.a'!O494</f>
        <v>0</v>
      </c>
      <c r="M8" s="6">
        <f>'6.a'!P494</f>
        <v>0</v>
      </c>
      <c r="N8" s="6">
        <f t="shared" si="0"/>
        <v>2918958</v>
      </c>
    </row>
    <row r="9" spans="1:14" s="41" customFormat="1" ht="13.5" customHeight="1">
      <c r="A9" s="5"/>
      <c r="B9" s="5">
        <v>16</v>
      </c>
      <c r="C9" s="45" t="s">
        <v>471</v>
      </c>
      <c r="D9" s="6">
        <f>'6.a'!G601</f>
        <v>23514</v>
      </c>
      <c r="E9" s="6">
        <f>'6.a'!H601</f>
        <v>5813</v>
      </c>
      <c r="F9" s="6">
        <f>'6.a'!I601</f>
        <v>899606</v>
      </c>
      <c r="G9" s="6">
        <f>'6.a'!J601</f>
        <v>0</v>
      </c>
      <c r="H9" s="6">
        <f>'6.a'!K601</f>
        <v>0</v>
      </c>
      <c r="I9" s="6">
        <f>'6.a'!L601</f>
        <v>3312200</v>
      </c>
      <c r="J9" s="6">
        <f>'6.a'!M601</f>
        <v>175799</v>
      </c>
      <c r="K9" s="6">
        <f>'6.a'!N601</f>
        <v>118714</v>
      </c>
      <c r="L9" s="6">
        <f>'6.a'!O601</f>
        <v>0</v>
      </c>
      <c r="M9" s="6">
        <f>'6.a'!P601</f>
        <v>0</v>
      </c>
      <c r="N9" s="6">
        <f t="shared" si="0"/>
        <v>4535646</v>
      </c>
    </row>
    <row r="10" spans="1:14" s="41" customFormat="1" ht="13.5" customHeight="1">
      <c r="A10" s="5"/>
      <c r="B10" s="5">
        <v>17</v>
      </c>
      <c r="C10" s="45" t="s">
        <v>690</v>
      </c>
      <c r="D10" s="6">
        <f>'6.a'!G632</f>
        <v>0</v>
      </c>
      <c r="E10" s="6">
        <f>'6.a'!H632</f>
        <v>0</v>
      </c>
      <c r="F10" s="6">
        <f>'6.a'!I632</f>
        <v>40847</v>
      </c>
      <c r="G10" s="6">
        <f>'6.a'!J632</f>
        <v>149</v>
      </c>
      <c r="H10" s="6">
        <f>'6.a'!K632</f>
        <v>0</v>
      </c>
      <c r="I10" s="6">
        <f>'6.a'!L632</f>
        <v>205821</v>
      </c>
      <c r="J10" s="6">
        <f>'6.a'!M632</f>
        <v>373</v>
      </c>
      <c r="K10" s="6">
        <f>'6.a'!N632</f>
        <v>24300</v>
      </c>
      <c r="L10" s="6">
        <f>'6.a'!O632</f>
        <v>0</v>
      </c>
      <c r="M10" s="6">
        <f>'6.a'!P632</f>
        <v>0</v>
      </c>
      <c r="N10" s="6">
        <f t="shared" si="0"/>
        <v>271490</v>
      </c>
    </row>
    <row r="11" spans="1:14" s="41" customFormat="1" ht="13.5" customHeight="1">
      <c r="A11" s="5"/>
      <c r="B11" s="5">
        <v>18</v>
      </c>
      <c r="C11" s="240" t="s">
        <v>559</v>
      </c>
      <c r="D11" s="6">
        <f>'6.a'!G651</f>
        <v>30</v>
      </c>
      <c r="E11" s="6">
        <f>'6.a'!H651</f>
        <v>8</v>
      </c>
      <c r="F11" s="6">
        <f>'6.a'!I651</f>
        <v>43068</v>
      </c>
      <c r="G11" s="6">
        <f>'6.a'!J651</f>
        <v>0</v>
      </c>
      <c r="H11" s="6">
        <f>'6.a'!K651</f>
        <v>2450</v>
      </c>
      <c r="I11" s="6">
        <f>'6.a'!L651</f>
        <v>1000</v>
      </c>
      <c r="J11" s="6">
        <f>'6.a'!M651</f>
        <v>0</v>
      </c>
      <c r="K11" s="6">
        <f>'6.a'!N651</f>
        <v>1415</v>
      </c>
      <c r="L11" s="6">
        <f>'6.a'!O651</f>
        <v>0</v>
      </c>
      <c r="M11" s="6">
        <f>'6.a'!P651</f>
        <v>0</v>
      </c>
      <c r="N11" s="6">
        <f t="shared" si="0"/>
        <v>47971</v>
      </c>
    </row>
    <row r="12" spans="1:14" s="41" customFormat="1" ht="13.5" customHeight="1">
      <c r="A12" s="5"/>
      <c r="B12" s="5">
        <v>19</v>
      </c>
      <c r="C12" s="44" t="s">
        <v>691</v>
      </c>
      <c r="D12" s="6">
        <f>'6.a'!G690</f>
        <v>0</v>
      </c>
      <c r="E12" s="6">
        <f>'6.a'!H690</f>
        <v>0</v>
      </c>
      <c r="F12" s="6">
        <f>'6.a'!I690</f>
        <v>313101</v>
      </c>
      <c r="G12" s="6">
        <f>'6.a'!J690</f>
        <v>0</v>
      </c>
      <c r="H12" s="6">
        <f>'6.a'!K690</f>
        <v>732177</v>
      </c>
      <c r="I12" s="6">
        <f>'6.a'!L690</f>
        <v>0</v>
      </c>
      <c r="J12" s="6">
        <f>'6.a'!M690</f>
        <v>0</v>
      </c>
      <c r="K12" s="6">
        <f>'6.a'!N690</f>
        <v>10017</v>
      </c>
      <c r="L12" s="6">
        <f>'6.a'!O690</f>
        <v>0</v>
      </c>
      <c r="M12" s="6">
        <f>'6.a'!P690</f>
        <v>63709</v>
      </c>
      <c r="N12" s="6">
        <f t="shared" si="0"/>
        <v>1119004</v>
      </c>
    </row>
    <row r="13" spans="1:14" s="41" customFormat="1" ht="12.75" customHeight="1">
      <c r="A13" s="5"/>
      <c r="B13" s="5">
        <v>20</v>
      </c>
      <c r="C13" s="44" t="s">
        <v>611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41" customFormat="1" ht="27" customHeight="1">
      <c r="A14" s="5"/>
      <c r="B14" s="5">
        <v>21</v>
      </c>
      <c r="C14" s="241" t="s">
        <v>1297</v>
      </c>
      <c r="D14" s="6">
        <f>'6.a'!G728</f>
        <v>118791</v>
      </c>
      <c r="E14" s="6">
        <f>'6.a'!H728</f>
        <v>37460</v>
      </c>
      <c r="F14" s="6">
        <f>'6.a'!I728</f>
        <v>109561</v>
      </c>
      <c r="G14" s="6">
        <f>'6.a'!J728</f>
        <v>0</v>
      </c>
      <c r="H14" s="6">
        <f>'6.a'!K728</f>
        <v>135578</v>
      </c>
      <c r="I14" s="6">
        <f>'6.a'!L728</f>
        <v>1000</v>
      </c>
      <c r="J14" s="6">
        <f>'6.a'!M728</f>
        <v>500</v>
      </c>
      <c r="K14" s="6">
        <f>'6.a'!N728</f>
        <v>22040</v>
      </c>
      <c r="L14" s="6">
        <f>'6.a'!O728</f>
        <v>0</v>
      </c>
      <c r="M14" s="6">
        <f>'6.a'!P728</f>
        <v>0</v>
      </c>
      <c r="N14" s="6">
        <f t="shared" si="0"/>
        <v>424930</v>
      </c>
    </row>
    <row r="15" spans="1:14" s="41" customFormat="1" ht="18" customHeight="1">
      <c r="A15" s="5"/>
      <c r="B15" s="5">
        <v>30</v>
      </c>
      <c r="C15" s="7" t="s">
        <v>533</v>
      </c>
      <c r="D15" s="6">
        <f>'6.a'!G754</f>
        <v>0</v>
      </c>
      <c r="E15" s="6">
        <f>'6.a'!H754</f>
        <v>0</v>
      </c>
      <c r="F15" s="6">
        <f>'6.a'!I754</f>
        <v>0</v>
      </c>
      <c r="G15" s="6">
        <f>'6.a'!J754</f>
        <v>0</v>
      </c>
      <c r="H15" s="6">
        <f>'6.a'!K754</f>
        <v>138740</v>
      </c>
      <c r="I15" s="6">
        <f>'6.a'!L754</f>
        <v>2151</v>
      </c>
      <c r="J15" s="6">
        <f>'6.a'!M754</f>
        <v>4906</v>
      </c>
      <c r="K15" s="6">
        <f>'6.a'!N754</f>
        <v>0</v>
      </c>
      <c r="L15" s="6">
        <f>'6.a'!O754</f>
        <v>0</v>
      </c>
      <c r="M15" s="6">
        <f>'6.a'!P754</f>
        <v>0</v>
      </c>
      <c r="N15" s="6">
        <f t="shared" si="0"/>
        <v>145797</v>
      </c>
    </row>
    <row r="16" spans="1:14" s="42" customFormat="1" ht="34.5" customHeight="1">
      <c r="A16" s="46"/>
      <c r="B16" s="46"/>
      <c r="C16" s="234" t="s">
        <v>417</v>
      </c>
      <c r="D16" s="10">
        <f>SUM(D3:D15)</f>
        <v>149006</v>
      </c>
      <c r="E16" s="10">
        <f>SUM(E3:E15)</f>
        <v>47725</v>
      </c>
      <c r="F16" s="10">
        <f aca="true" t="shared" si="1" ref="F16:N16">SUM(F5:F15)</f>
        <v>2969352</v>
      </c>
      <c r="G16" s="10">
        <f t="shared" si="1"/>
        <v>208813</v>
      </c>
      <c r="H16" s="10">
        <f t="shared" si="1"/>
        <v>1596513</v>
      </c>
      <c r="I16" s="10">
        <f t="shared" si="1"/>
        <v>5151476</v>
      </c>
      <c r="J16" s="10">
        <f t="shared" si="1"/>
        <v>1160026</v>
      </c>
      <c r="K16" s="10">
        <f t="shared" si="1"/>
        <v>995145</v>
      </c>
      <c r="L16" s="10">
        <f t="shared" si="1"/>
        <v>0</v>
      </c>
      <c r="M16" s="10">
        <f t="shared" si="1"/>
        <v>63709</v>
      </c>
      <c r="N16" s="10">
        <f t="shared" si="1"/>
        <v>12341765</v>
      </c>
    </row>
    <row r="17" spans="1:14" s="42" customFormat="1" ht="15.75" customHeight="1">
      <c r="A17" s="11">
        <v>2</v>
      </c>
      <c r="B17" s="11"/>
      <c r="C17" s="242" t="s">
        <v>485</v>
      </c>
      <c r="D17" s="9">
        <f>'6.a'!G756</f>
        <v>3088673</v>
      </c>
      <c r="E17" s="9">
        <f>'6.a'!H756</f>
        <v>869818</v>
      </c>
      <c r="F17" s="9">
        <f>'6.a'!I756</f>
        <v>2490339</v>
      </c>
      <c r="G17" s="9">
        <f>'6.a'!J756</f>
        <v>0</v>
      </c>
      <c r="H17" s="9">
        <f>'6.a'!K756</f>
        <v>36403</v>
      </c>
      <c r="I17" s="9">
        <f>'6.a'!L756</f>
        <v>129946</v>
      </c>
      <c r="J17" s="9">
        <f>'6.a'!M756</f>
        <v>37421</v>
      </c>
      <c r="K17" s="9">
        <f>'6.a'!N756</f>
        <v>0</v>
      </c>
      <c r="L17" s="9"/>
      <c r="M17" s="9">
        <f>'6.a'!P756</f>
        <v>0</v>
      </c>
      <c r="N17" s="243">
        <f>SUM(D17:M17)</f>
        <v>6652600</v>
      </c>
    </row>
    <row r="18" spans="1:14" s="42" customFormat="1" ht="29.25" customHeight="1">
      <c r="A18" s="46"/>
      <c r="B18" s="46"/>
      <c r="C18" s="77" t="s">
        <v>468</v>
      </c>
      <c r="D18" s="10">
        <f aca="true" t="shared" si="2" ref="D18:N18">SUM(D16:D17)</f>
        <v>3237679</v>
      </c>
      <c r="E18" s="10">
        <f t="shared" si="2"/>
        <v>917543</v>
      </c>
      <c r="F18" s="10">
        <f t="shared" si="2"/>
        <v>5459691</v>
      </c>
      <c r="G18" s="10">
        <f t="shared" si="2"/>
        <v>208813</v>
      </c>
      <c r="H18" s="10">
        <f t="shared" si="2"/>
        <v>1632916</v>
      </c>
      <c r="I18" s="10">
        <f t="shared" si="2"/>
        <v>5281422</v>
      </c>
      <c r="J18" s="10">
        <f t="shared" si="2"/>
        <v>1197447</v>
      </c>
      <c r="K18" s="10">
        <f t="shared" si="2"/>
        <v>995145</v>
      </c>
      <c r="L18" s="10">
        <f t="shared" si="2"/>
        <v>0</v>
      </c>
      <c r="M18" s="10">
        <f t="shared" si="2"/>
        <v>63709</v>
      </c>
      <c r="N18" s="10">
        <f t="shared" si="2"/>
        <v>18994365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dőlt"6. melléklet
Adatok: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O763"/>
  <sheetViews>
    <sheetView zoomScaleSheetLayoutView="120" zoomScalePageLayoutView="0" workbookViewId="0" topLeftCell="A1">
      <pane ySplit="2" topLeftCell="A734" activePane="bottomLeft" state="frozen"/>
      <selection pane="topLeft" activeCell="A1" sqref="A1"/>
      <selection pane="bottomLeft" activeCell="D376" sqref="D376"/>
    </sheetView>
  </sheetViews>
  <sheetFormatPr defaultColWidth="9.00390625" defaultRowHeight="12.75"/>
  <cols>
    <col min="1" max="2" width="3.875" style="1" customWidth="1"/>
    <col min="3" max="3" width="7.00390625" style="1" customWidth="1"/>
    <col min="4" max="4" width="47.625" style="1" customWidth="1"/>
    <col min="5" max="5" width="4.50390625" style="1" customWidth="1"/>
    <col min="6" max="6" width="8.50390625" style="673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6384" width="9.375" style="1" customWidth="1"/>
  </cols>
  <sheetData>
    <row r="1" spans="1:17" ht="36.75" customHeight="1" thickBot="1">
      <c r="A1" s="829" t="s">
        <v>693</v>
      </c>
      <c r="B1" s="829" t="s">
        <v>694</v>
      </c>
      <c r="C1" s="829" t="s">
        <v>1191</v>
      </c>
      <c r="D1" s="831" t="s">
        <v>686</v>
      </c>
      <c r="E1" s="829" t="s">
        <v>482</v>
      </c>
      <c r="F1" s="834" t="s">
        <v>286</v>
      </c>
      <c r="G1" s="833" t="s">
        <v>720</v>
      </c>
      <c r="H1" s="833"/>
      <c r="I1" s="833"/>
      <c r="J1" s="833"/>
      <c r="K1" s="833"/>
      <c r="L1" s="833"/>
      <c r="M1" s="833"/>
      <c r="N1" s="833"/>
      <c r="O1" s="827" t="s">
        <v>724</v>
      </c>
      <c r="P1" s="828"/>
      <c r="Q1" s="324" t="s">
        <v>687</v>
      </c>
    </row>
    <row r="2" spans="1:17" ht="57.75" customHeight="1" thickBot="1">
      <c r="A2" s="830"/>
      <c r="B2" s="830"/>
      <c r="C2" s="830"/>
      <c r="D2" s="832"/>
      <c r="E2" s="830"/>
      <c r="F2" s="835"/>
      <c r="G2" s="325" t="s">
        <v>338</v>
      </c>
      <c r="H2" s="113" t="s">
        <v>1289</v>
      </c>
      <c r="I2" s="113" t="s">
        <v>472</v>
      </c>
      <c r="J2" s="113" t="s">
        <v>722</v>
      </c>
      <c r="K2" s="113" t="s">
        <v>341</v>
      </c>
      <c r="L2" s="113" t="s">
        <v>345</v>
      </c>
      <c r="M2" s="113" t="s">
        <v>346</v>
      </c>
      <c r="N2" s="113" t="s">
        <v>1290</v>
      </c>
      <c r="O2" s="326" t="s">
        <v>1295</v>
      </c>
      <c r="P2" s="327" t="s">
        <v>298</v>
      </c>
      <c r="Q2" s="328"/>
    </row>
    <row r="3" spans="1:17" ht="16.5" customHeight="1">
      <c r="A3" s="152">
        <v>1</v>
      </c>
      <c r="B3" s="2"/>
      <c r="C3" s="329"/>
      <c r="D3" s="3" t="s">
        <v>487</v>
      </c>
      <c r="E3" s="153"/>
      <c r="F3" s="648"/>
      <c r="G3" s="4"/>
      <c r="H3" s="4"/>
      <c r="I3" s="4"/>
      <c r="J3" s="4"/>
      <c r="K3" s="4"/>
      <c r="L3" s="4"/>
      <c r="M3" s="4"/>
      <c r="N3" s="4"/>
      <c r="O3" s="4"/>
      <c r="P3" s="4"/>
      <c r="Q3" s="330"/>
    </row>
    <row r="4" spans="1:17" ht="12.75" customHeight="1">
      <c r="A4" s="2">
        <v>1</v>
      </c>
      <c r="B4" s="2">
        <v>1</v>
      </c>
      <c r="C4" s="2"/>
      <c r="D4" s="3" t="s">
        <v>354</v>
      </c>
      <c r="E4" s="25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330"/>
    </row>
    <row r="5" spans="1:17" ht="12">
      <c r="A5" s="8">
        <v>1</v>
      </c>
      <c r="B5" s="8">
        <v>12</v>
      </c>
      <c r="C5" s="8"/>
      <c r="D5" s="331" t="s">
        <v>352</v>
      </c>
      <c r="E5" s="332"/>
      <c r="F5" s="11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9"/>
    </row>
    <row r="6" spans="1:17" ht="14.25" customHeight="1">
      <c r="A6" s="8"/>
      <c r="B6" s="8"/>
      <c r="C6" s="333"/>
      <c r="D6" s="198" t="s">
        <v>365</v>
      </c>
      <c r="E6" s="334"/>
      <c r="F6" s="23"/>
      <c r="G6" s="187"/>
      <c r="H6" s="187"/>
      <c r="I6" s="187"/>
      <c r="J6" s="187"/>
      <c r="K6" s="187"/>
      <c r="L6" s="335"/>
      <c r="M6" s="335"/>
      <c r="N6" s="335"/>
      <c r="O6" s="335"/>
      <c r="P6" s="335"/>
      <c r="Q6" s="9"/>
    </row>
    <row r="7" spans="1:17" ht="14.25" customHeight="1">
      <c r="A7" s="8"/>
      <c r="B7" s="8"/>
      <c r="C7" s="333"/>
      <c r="D7" s="198" t="s">
        <v>366</v>
      </c>
      <c r="E7" s="334">
        <v>1</v>
      </c>
      <c r="F7" s="23">
        <v>121101</v>
      </c>
      <c r="G7" s="187">
        <f>0+'táj.2.'!G7</f>
        <v>0</v>
      </c>
      <c r="H7" s="187">
        <f>0+'táj.2.'!H7</f>
        <v>0</v>
      </c>
      <c r="I7" s="187">
        <f>0+'táj.2.'!I7</f>
        <v>0</v>
      </c>
      <c r="J7" s="187">
        <f>14065+'táj.2.'!J7</f>
        <v>14065</v>
      </c>
      <c r="K7" s="187">
        <f>0+'táj.2.'!K7</f>
        <v>0</v>
      </c>
      <c r="L7" s="187">
        <f>0+'táj.2.'!L7</f>
        <v>0</v>
      </c>
      <c r="M7" s="187">
        <f>0+'táj.2.'!M7</f>
        <v>0</v>
      </c>
      <c r="N7" s="187">
        <f>0+'táj.2.'!N7</f>
        <v>0</v>
      </c>
      <c r="O7" s="187">
        <f>0+'táj.2.'!O7</f>
        <v>0</v>
      </c>
      <c r="P7" s="187">
        <f>0+'táj.2.'!P7</f>
        <v>0</v>
      </c>
      <c r="Q7" s="9">
        <f>SUM(G7:P7)</f>
        <v>14065</v>
      </c>
    </row>
    <row r="8" spans="1:17" ht="14.25" customHeight="1">
      <c r="A8" s="8"/>
      <c r="B8" s="8"/>
      <c r="C8" s="333"/>
      <c r="D8" s="12" t="s">
        <v>367</v>
      </c>
      <c r="E8" s="337">
        <v>1</v>
      </c>
      <c r="F8" s="23">
        <v>121102</v>
      </c>
      <c r="G8" s="187">
        <f>0+'táj.2.'!G8</f>
        <v>0</v>
      </c>
      <c r="H8" s="187">
        <f>0+'táj.2.'!H8</f>
        <v>0</v>
      </c>
      <c r="I8" s="187">
        <f>0+'táj.2.'!I8</f>
        <v>0</v>
      </c>
      <c r="J8" s="187">
        <f>34781+'táj.2.'!J8</f>
        <v>34700</v>
      </c>
      <c r="K8" s="187">
        <f>0+'táj.2.'!K8</f>
        <v>0</v>
      </c>
      <c r="L8" s="187">
        <f>0+'táj.2.'!L8</f>
        <v>0</v>
      </c>
      <c r="M8" s="187">
        <f>0+'táj.2.'!M8</f>
        <v>0</v>
      </c>
      <c r="N8" s="187">
        <f>0+'táj.2.'!N8</f>
        <v>0</v>
      </c>
      <c r="O8" s="187">
        <f>0+'táj.2.'!O8</f>
        <v>0</v>
      </c>
      <c r="P8" s="187">
        <f>0+'táj.2.'!P8</f>
        <v>0</v>
      </c>
      <c r="Q8" s="9">
        <f>SUM(G8:P8)</f>
        <v>34700</v>
      </c>
    </row>
    <row r="9" spans="1:17" ht="14.25" customHeight="1">
      <c r="A9" s="8"/>
      <c r="B9" s="8"/>
      <c r="C9" s="333"/>
      <c r="D9" s="12" t="s">
        <v>1388</v>
      </c>
      <c r="E9" s="337">
        <v>2</v>
      </c>
      <c r="F9" s="23">
        <v>121103</v>
      </c>
      <c r="G9" s="187">
        <f>0+'táj.2.'!G9</f>
        <v>0</v>
      </c>
      <c r="H9" s="187">
        <f>0+'táj.2.'!H9</f>
        <v>0</v>
      </c>
      <c r="I9" s="187">
        <f>0+'táj.2.'!I9</f>
        <v>0</v>
      </c>
      <c r="J9" s="187">
        <f>5000+'táj.2.'!J9</f>
        <v>2500</v>
      </c>
      <c r="K9" s="187">
        <f>0+'táj.2.'!K9</f>
        <v>0</v>
      </c>
      <c r="L9" s="187">
        <f>0+'táj.2.'!L9</f>
        <v>0</v>
      </c>
      <c r="M9" s="187">
        <f>0+'táj.2.'!M9</f>
        <v>0</v>
      </c>
      <c r="N9" s="187">
        <f>0+'táj.2.'!N9</f>
        <v>0</v>
      </c>
      <c r="O9" s="187">
        <f>0+'táj.2.'!O9</f>
        <v>0</v>
      </c>
      <c r="P9" s="187">
        <f>0+'táj.2.'!P9</f>
        <v>0</v>
      </c>
      <c r="Q9" s="9">
        <f>SUM(G9:P9)</f>
        <v>2500</v>
      </c>
    </row>
    <row r="10" spans="1:17" ht="14.25" customHeight="1">
      <c r="A10" s="8"/>
      <c r="B10" s="8"/>
      <c r="C10" s="333"/>
      <c r="D10" s="12" t="s">
        <v>1202</v>
      </c>
      <c r="E10" s="337"/>
      <c r="F10" s="23"/>
      <c r="G10" s="187"/>
      <c r="H10" s="187"/>
      <c r="I10" s="187"/>
      <c r="J10" s="187"/>
      <c r="K10" s="187"/>
      <c r="L10" s="335"/>
      <c r="M10" s="335"/>
      <c r="N10" s="335"/>
      <c r="O10" s="335"/>
      <c r="P10" s="335"/>
      <c r="Q10" s="9"/>
    </row>
    <row r="11" spans="1:17" ht="14.25" customHeight="1">
      <c r="A11" s="8"/>
      <c r="B11" s="8"/>
      <c r="C11" s="333"/>
      <c r="D11" s="12" t="s">
        <v>1203</v>
      </c>
      <c r="E11" s="337">
        <v>1</v>
      </c>
      <c r="F11" s="23">
        <v>121104</v>
      </c>
      <c r="G11" s="187">
        <f>0+'táj.2.'!G11</f>
        <v>0</v>
      </c>
      <c r="H11" s="187">
        <f>0+'táj.2.'!H11</f>
        <v>0</v>
      </c>
      <c r="I11" s="187">
        <f>0+'táj.2.'!I11</f>
        <v>0</v>
      </c>
      <c r="J11" s="187">
        <f>23000+'táj.2.'!J11</f>
        <v>25500</v>
      </c>
      <c r="K11" s="187">
        <f>0+'táj.2.'!K11</f>
        <v>0</v>
      </c>
      <c r="L11" s="187">
        <f>0+'táj.2.'!L11</f>
        <v>0</v>
      </c>
      <c r="M11" s="187">
        <f>0+'táj.2.'!M11</f>
        <v>0</v>
      </c>
      <c r="N11" s="187">
        <f>0+'táj.2.'!N11</f>
        <v>0</v>
      </c>
      <c r="O11" s="187">
        <f>0+'táj.2.'!O11</f>
        <v>0</v>
      </c>
      <c r="P11" s="187">
        <f>0+'táj.2.'!P11</f>
        <v>0</v>
      </c>
      <c r="Q11" s="9">
        <f>SUM(G11:P11)</f>
        <v>25500</v>
      </c>
    </row>
    <row r="12" spans="1:17" ht="14.25" customHeight="1">
      <c r="A12" s="8"/>
      <c r="B12" s="8"/>
      <c r="C12" s="333"/>
      <c r="D12" s="12" t="s">
        <v>1389</v>
      </c>
      <c r="E12" s="337">
        <v>2</v>
      </c>
      <c r="F12" s="23">
        <v>121114</v>
      </c>
      <c r="G12" s="187">
        <f>0+'táj.2.'!G12</f>
        <v>0</v>
      </c>
      <c r="H12" s="187">
        <f>0+'táj.2.'!H12</f>
        <v>0</v>
      </c>
      <c r="I12" s="187">
        <f>0+'táj.2.'!I12</f>
        <v>0</v>
      </c>
      <c r="J12" s="187">
        <f>14000+'táj.2.'!J12</f>
        <v>14000</v>
      </c>
      <c r="K12" s="187">
        <f>0+'táj.2.'!K12</f>
        <v>0</v>
      </c>
      <c r="L12" s="187">
        <f>0+'táj.2.'!L12</f>
        <v>0</v>
      </c>
      <c r="M12" s="187">
        <f>0+'táj.2.'!M12</f>
        <v>0</v>
      </c>
      <c r="N12" s="187">
        <f>0+'táj.2.'!N12</f>
        <v>0</v>
      </c>
      <c r="O12" s="187">
        <f>0+'táj.2.'!O12</f>
        <v>0</v>
      </c>
      <c r="P12" s="187">
        <f>0+'táj.2.'!P12</f>
        <v>0</v>
      </c>
      <c r="Q12" s="9">
        <f>SUM(G12:P12)</f>
        <v>14000</v>
      </c>
    </row>
    <row r="13" spans="1:17" ht="14.25" customHeight="1">
      <c r="A13" s="8"/>
      <c r="B13" s="8"/>
      <c r="C13" s="333"/>
      <c r="D13" s="12" t="s">
        <v>704</v>
      </c>
      <c r="E13" s="337"/>
      <c r="F13" s="23"/>
      <c r="G13" s="187"/>
      <c r="H13" s="187"/>
      <c r="I13" s="187"/>
      <c r="J13" s="187"/>
      <c r="K13" s="187"/>
      <c r="L13" s="335"/>
      <c r="M13" s="335"/>
      <c r="N13" s="335"/>
      <c r="O13" s="335"/>
      <c r="P13" s="335"/>
      <c r="Q13" s="9"/>
    </row>
    <row r="14" spans="1:17" ht="14.25" customHeight="1">
      <c r="A14" s="8"/>
      <c r="B14" s="8"/>
      <c r="C14" s="333"/>
      <c r="D14" s="12" t="s">
        <v>412</v>
      </c>
      <c r="E14" s="337">
        <v>2</v>
      </c>
      <c r="F14" s="23">
        <v>121109</v>
      </c>
      <c r="G14" s="187">
        <f>0+'táj.2.'!G14</f>
        <v>0</v>
      </c>
      <c r="H14" s="187">
        <f>0+'táj.2.'!H14</f>
        <v>0</v>
      </c>
      <c r="I14" s="187">
        <f>0+'táj.2.'!I14</f>
        <v>0</v>
      </c>
      <c r="J14" s="187">
        <f>8600+'táj.2.'!J14</f>
        <v>8600</v>
      </c>
      <c r="K14" s="187">
        <f>0+'táj.2.'!K14</f>
        <v>0</v>
      </c>
      <c r="L14" s="187">
        <f>0+'táj.2.'!L14</f>
        <v>0</v>
      </c>
      <c r="M14" s="187">
        <f>0+'táj.2.'!M14</f>
        <v>0</v>
      </c>
      <c r="N14" s="187">
        <f>0+'táj.2.'!N14</f>
        <v>0</v>
      </c>
      <c r="O14" s="187">
        <f>0+'táj.2.'!O14</f>
        <v>0</v>
      </c>
      <c r="P14" s="187">
        <f>0+'táj.2.'!P14</f>
        <v>0</v>
      </c>
      <c r="Q14" s="9">
        <f>SUM(G14:P14)</f>
        <v>8600</v>
      </c>
    </row>
    <row r="15" spans="1:17" ht="14.25" customHeight="1">
      <c r="A15" s="8"/>
      <c r="B15" s="8"/>
      <c r="C15" s="333"/>
      <c r="D15" s="12" t="s">
        <v>1390</v>
      </c>
      <c r="E15" s="337">
        <v>2</v>
      </c>
      <c r="F15" s="23">
        <v>121110</v>
      </c>
      <c r="G15" s="187">
        <f>0+'táj.2.'!G15</f>
        <v>0</v>
      </c>
      <c r="H15" s="187">
        <f>0+'táj.2.'!H15</f>
        <v>0</v>
      </c>
      <c r="I15" s="187">
        <f>0+'táj.2.'!I15</f>
        <v>0</v>
      </c>
      <c r="J15" s="187">
        <f>9500+'táj.2.'!J15</f>
        <v>9500</v>
      </c>
      <c r="K15" s="187">
        <f>0+'táj.2.'!K15</f>
        <v>0</v>
      </c>
      <c r="L15" s="187">
        <f>0+'táj.2.'!L15</f>
        <v>0</v>
      </c>
      <c r="M15" s="187">
        <f>0+'táj.2.'!M15</f>
        <v>0</v>
      </c>
      <c r="N15" s="187">
        <f>0+'táj.2.'!N15</f>
        <v>0</v>
      </c>
      <c r="O15" s="187">
        <f>0+'táj.2.'!O15</f>
        <v>0</v>
      </c>
      <c r="P15" s="187">
        <f>0+'táj.2.'!P15</f>
        <v>0</v>
      </c>
      <c r="Q15" s="9">
        <f>SUM(G15:P15)</f>
        <v>9500</v>
      </c>
    </row>
    <row r="16" spans="1:17" ht="14.25" customHeight="1">
      <c r="A16" s="8"/>
      <c r="B16" s="8"/>
      <c r="C16" s="333"/>
      <c r="D16" s="12" t="s">
        <v>1391</v>
      </c>
      <c r="E16" s="337">
        <v>2</v>
      </c>
      <c r="F16" s="23">
        <v>121111</v>
      </c>
      <c r="G16" s="187">
        <f>0+'táj.2.'!G16</f>
        <v>0</v>
      </c>
      <c r="H16" s="187">
        <f>0+'táj.2.'!H16</f>
        <v>0</v>
      </c>
      <c r="I16" s="187">
        <f>0+'táj.2.'!I16</f>
        <v>0</v>
      </c>
      <c r="J16" s="187">
        <f>6000+'táj.2.'!J16</f>
        <v>6000</v>
      </c>
      <c r="K16" s="187">
        <f>0+'táj.2.'!K16</f>
        <v>0</v>
      </c>
      <c r="L16" s="187">
        <f>0+'táj.2.'!L16</f>
        <v>0</v>
      </c>
      <c r="M16" s="187">
        <f>0+'táj.2.'!M16</f>
        <v>0</v>
      </c>
      <c r="N16" s="187">
        <f>0+'táj.2.'!N16</f>
        <v>0</v>
      </c>
      <c r="O16" s="187">
        <f>0+'táj.2.'!O16</f>
        <v>0</v>
      </c>
      <c r="P16" s="187">
        <f>0+'táj.2.'!P16</f>
        <v>0</v>
      </c>
      <c r="Q16" s="9">
        <f>SUM(G16:P16)</f>
        <v>6000</v>
      </c>
    </row>
    <row r="17" spans="1:17" ht="14.25" customHeight="1">
      <c r="A17" s="8"/>
      <c r="B17" s="8"/>
      <c r="C17" s="333"/>
      <c r="D17" s="12" t="s">
        <v>592</v>
      </c>
      <c r="E17" s="337">
        <v>2</v>
      </c>
      <c r="F17" s="23">
        <v>121113</v>
      </c>
      <c r="G17" s="187">
        <f>0+'táj.2.'!G17</f>
        <v>0</v>
      </c>
      <c r="H17" s="187">
        <f>0+'táj.2.'!H17</f>
        <v>0</v>
      </c>
      <c r="I17" s="187">
        <f>0+'táj.2.'!I17</f>
        <v>0</v>
      </c>
      <c r="J17" s="187">
        <f>8800+'táj.2.'!J17</f>
        <v>8800</v>
      </c>
      <c r="K17" s="187">
        <f>0+'táj.2.'!K17</f>
        <v>0</v>
      </c>
      <c r="L17" s="187">
        <f>0+'táj.2.'!L17</f>
        <v>0</v>
      </c>
      <c r="M17" s="187">
        <f>0+'táj.2.'!M17</f>
        <v>0</v>
      </c>
      <c r="N17" s="187">
        <f>0+'táj.2.'!N17</f>
        <v>0</v>
      </c>
      <c r="O17" s="187">
        <f>0+'táj.2.'!O17</f>
        <v>0</v>
      </c>
      <c r="P17" s="187">
        <f>0+'táj.2.'!P17</f>
        <v>0</v>
      </c>
      <c r="Q17" s="9">
        <f>SUM(G17:P17)</f>
        <v>8800</v>
      </c>
    </row>
    <row r="18" spans="1:17" ht="14.25" customHeight="1">
      <c r="A18" s="8"/>
      <c r="B18" s="8"/>
      <c r="C18" s="333"/>
      <c r="D18" s="747" t="s">
        <v>1333</v>
      </c>
      <c r="E18" s="337">
        <v>1</v>
      </c>
      <c r="F18" s="13">
        <v>121124</v>
      </c>
      <c r="G18" s="187">
        <f>0+'táj.2.'!G18</f>
        <v>0</v>
      </c>
      <c r="H18" s="187">
        <f>0+'táj.2.'!H18</f>
        <v>0</v>
      </c>
      <c r="I18" s="187">
        <f>0+'táj.2.'!I18</f>
        <v>0</v>
      </c>
      <c r="J18" s="187">
        <f>0+'táj.2.'!J18</f>
        <v>5446</v>
      </c>
      <c r="K18" s="187">
        <f>0+'táj.2.'!K18</f>
        <v>0</v>
      </c>
      <c r="L18" s="187">
        <f>0+'táj.2.'!L18</f>
        <v>0</v>
      </c>
      <c r="M18" s="187">
        <f>0+'táj.2.'!M18</f>
        <v>0</v>
      </c>
      <c r="N18" s="187">
        <f>0+'táj.2.'!N18</f>
        <v>0</v>
      </c>
      <c r="O18" s="187">
        <f>0+'táj.2.'!O18</f>
        <v>0</v>
      </c>
      <c r="P18" s="187">
        <f>0+'táj.2.'!P18</f>
        <v>0</v>
      </c>
      <c r="Q18" s="9">
        <f>SUM(G18:P18)</f>
        <v>5446</v>
      </c>
    </row>
    <row r="19" spans="1:17" ht="14.25" customHeight="1">
      <c r="A19" s="8"/>
      <c r="B19" s="8"/>
      <c r="C19" s="333"/>
      <c r="D19" s="12" t="s">
        <v>1204</v>
      </c>
      <c r="E19" s="337"/>
      <c r="F19" s="23"/>
      <c r="G19" s="187"/>
      <c r="H19" s="187"/>
      <c r="I19" s="187"/>
      <c r="J19" s="187"/>
      <c r="K19" s="187"/>
      <c r="L19" s="335"/>
      <c r="M19" s="335"/>
      <c r="N19" s="335"/>
      <c r="O19" s="335"/>
      <c r="P19" s="335"/>
      <c r="Q19" s="9"/>
    </row>
    <row r="20" spans="1:17" ht="14.25" customHeight="1">
      <c r="A20" s="8"/>
      <c r="B20" s="8"/>
      <c r="C20" s="333"/>
      <c r="D20" s="12" t="s">
        <v>1392</v>
      </c>
      <c r="E20" s="337">
        <v>2</v>
      </c>
      <c r="F20" s="23">
        <v>121106</v>
      </c>
      <c r="G20" s="187">
        <f>0+'táj.2.'!G20</f>
        <v>0</v>
      </c>
      <c r="H20" s="187">
        <f>0+'táj.2.'!H20</f>
        <v>0</v>
      </c>
      <c r="I20" s="187">
        <f>0+'táj.2.'!I20</f>
        <v>0</v>
      </c>
      <c r="J20" s="187">
        <f>7809+'táj.2.'!J20</f>
        <v>7809</v>
      </c>
      <c r="K20" s="187">
        <f>0+'táj.2.'!K20</f>
        <v>0</v>
      </c>
      <c r="L20" s="187">
        <f>0+'táj.2.'!L20</f>
        <v>0</v>
      </c>
      <c r="M20" s="187">
        <f>0+'táj.2.'!M20</f>
        <v>0</v>
      </c>
      <c r="N20" s="187">
        <f>0+'táj.2.'!N20</f>
        <v>0</v>
      </c>
      <c r="O20" s="187">
        <f>0+'táj.2.'!O20</f>
        <v>0</v>
      </c>
      <c r="P20" s="187">
        <f>0+'táj.2.'!P20</f>
        <v>0</v>
      </c>
      <c r="Q20" s="9">
        <f>SUM(G20:P20)</f>
        <v>7809</v>
      </c>
    </row>
    <row r="21" spans="1:17" ht="14.25" customHeight="1">
      <c r="A21" s="8"/>
      <c r="B21" s="8"/>
      <c r="C21" s="333"/>
      <c r="D21" s="12" t="s">
        <v>1202</v>
      </c>
      <c r="E21" s="337"/>
      <c r="F21" s="23"/>
      <c r="G21" s="187"/>
      <c r="H21" s="187"/>
      <c r="I21" s="187"/>
      <c r="J21" s="187"/>
      <c r="K21" s="187"/>
      <c r="L21" s="335"/>
      <c r="M21" s="335"/>
      <c r="N21" s="335"/>
      <c r="O21" s="335"/>
      <c r="P21" s="335"/>
      <c r="Q21" s="9"/>
    </row>
    <row r="22" spans="1:17" ht="14.25" customHeight="1">
      <c r="A22" s="8"/>
      <c r="B22" s="8"/>
      <c r="C22" s="333"/>
      <c r="D22" s="12" t="s">
        <v>1205</v>
      </c>
      <c r="E22" s="337">
        <v>1</v>
      </c>
      <c r="F22" s="23">
        <v>121107</v>
      </c>
      <c r="G22" s="187">
        <f>0+'táj.2.'!G22</f>
        <v>0</v>
      </c>
      <c r="H22" s="187">
        <f>0+'táj.2.'!H22</f>
        <v>0</v>
      </c>
      <c r="I22" s="187">
        <f>0+'táj.2.'!I22</f>
        <v>0</v>
      </c>
      <c r="J22" s="187">
        <f>0+'táj.2.'!J22</f>
        <v>0</v>
      </c>
      <c r="K22" s="187">
        <f>0+'táj.2.'!K22</f>
        <v>0</v>
      </c>
      <c r="L22" s="187">
        <f>0+'táj.2.'!L22</f>
        <v>0</v>
      </c>
      <c r="M22" s="187">
        <f>0+'táj.2.'!M22</f>
        <v>0</v>
      </c>
      <c r="N22" s="187">
        <f>0+'táj.2.'!N22</f>
        <v>0</v>
      </c>
      <c r="O22" s="187">
        <f>0+'táj.2.'!O22</f>
        <v>0</v>
      </c>
      <c r="P22" s="187">
        <f>0+'táj.2.'!P22</f>
        <v>0</v>
      </c>
      <c r="Q22" s="9">
        <f>SUM(G22:P22)</f>
        <v>0</v>
      </c>
    </row>
    <row r="23" spans="1:17" ht="14.25" customHeight="1">
      <c r="A23" s="8"/>
      <c r="B23" s="8"/>
      <c r="C23" s="333"/>
      <c r="D23" s="12" t="s">
        <v>1393</v>
      </c>
      <c r="E23" s="337">
        <v>2</v>
      </c>
      <c r="F23" s="23">
        <v>121108</v>
      </c>
      <c r="G23" s="187">
        <f>0+'táj.2.'!G23</f>
        <v>0</v>
      </c>
      <c r="H23" s="187">
        <f>0+'táj.2.'!H23</f>
        <v>0</v>
      </c>
      <c r="I23" s="187">
        <f>0+'táj.2.'!I23</f>
        <v>0</v>
      </c>
      <c r="J23" s="187">
        <f>1000+'táj.2.'!J23</f>
        <v>1000</v>
      </c>
      <c r="K23" s="187">
        <f>0+'táj.2.'!K23</f>
        <v>0</v>
      </c>
      <c r="L23" s="187">
        <f>0+'táj.2.'!L23</f>
        <v>0</v>
      </c>
      <c r="M23" s="187">
        <f>0+'táj.2.'!M23</f>
        <v>0</v>
      </c>
      <c r="N23" s="187">
        <f>0+'táj.2.'!N23</f>
        <v>0</v>
      </c>
      <c r="O23" s="187">
        <f>0+'táj.2.'!O23</f>
        <v>0</v>
      </c>
      <c r="P23" s="187">
        <f>0+'táj.2.'!P23</f>
        <v>0</v>
      </c>
      <c r="Q23" s="9">
        <f>SUM(G23:P23)</f>
        <v>1000</v>
      </c>
    </row>
    <row r="24" spans="1:17" ht="14.25" customHeight="1">
      <c r="A24" s="8"/>
      <c r="B24" s="8"/>
      <c r="C24" s="333"/>
      <c r="D24" s="12" t="s">
        <v>593</v>
      </c>
      <c r="E24" s="337">
        <v>2</v>
      </c>
      <c r="F24" s="23">
        <v>121105</v>
      </c>
      <c r="G24" s="187">
        <f>0+'táj.2.'!G24</f>
        <v>0</v>
      </c>
      <c r="H24" s="187">
        <f>0+'táj.2.'!H24</f>
        <v>0</v>
      </c>
      <c r="I24" s="187">
        <f>0+'táj.2.'!I24</f>
        <v>0</v>
      </c>
      <c r="J24" s="187">
        <f>1750+'táj.2.'!J24</f>
        <v>1750</v>
      </c>
      <c r="K24" s="187">
        <f>0+'táj.2.'!K24</f>
        <v>0</v>
      </c>
      <c r="L24" s="187">
        <f>0+'táj.2.'!L24</f>
        <v>0</v>
      </c>
      <c r="M24" s="187">
        <f>0+'táj.2.'!M24</f>
        <v>0</v>
      </c>
      <c r="N24" s="187">
        <f>0+'táj.2.'!N24</f>
        <v>0</v>
      </c>
      <c r="O24" s="187">
        <f>0+'táj.2.'!O24</f>
        <v>0</v>
      </c>
      <c r="P24" s="187">
        <f>0+'táj.2.'!P24</f>
        <v>0</v>
      </c>
      <c r="Q24" s="9">
        <f>SUM(G24:P24)</f>
        <v>1750</v>
      </c>
    </row>
    <row r="25" spans="1:17" ht="14.25" customHeight="1">
      <c r="A25" s="8"/>
      <c r="B25" s="8"/>
      <c r="C25" s="333"/>
      <c r="D25" s="12" t="s">
        <v>594</v>
      </c>
      <c r="E25" s="337">
        <v>2</v>
      </c>
      <c r="F25" s="23">
        <v>121201</v>
      </c>
      <c r="G25" s="187">
        <f>0+'táj.2.'!G25</f>
        <v>0</v>
      </c>
      <c r="H25" s="187">
        <f>0+'táj.2.'!H25</f>
        <v>0</v>
      </c>
      <c r="I25" s="187">
        <f>0+'táj.2.'!I25</f>
        <v>0</v>
      </c>
      <c r="J25" s="187">
        <f>5250+'táj.2.'!J25</f>
        <v>5250</v>
      </c>
      <c r="K25" s="187">
        <f>0+'táj.2.'!K25</f>
        <v>0</v>
      </c>
      <c r="L25" s="187">
        <f>0+'táj.2.'!L25</f>
        <v>0</v>
      </c>
      <c r="M25" s="187">
        <f>0+'táj.2.'!M25</f>
        <v>0</v>
      </c>
      <c r="N25" s="187">
        <f>0+'táj.2.'!N25</f>
        <v>0</v>
      </c>
      <c r="O25" s="187">
        <f>0+'táj.2.'!O25</f>
        <v>0</v>
      </c>
      <c r="P25" s="187">
        <f>0+'táj.2.'!P25</f>
        <v>0</v>
      </c>
      <c r="Q25" s="9">
        <f>SUM(G25:P25)</f>
        <v>5250</v>
      </c>
    </row>
    <row r="26" spans="1:17" ht="14.25" customHeight="1">
      <c r="A26" s="8"/>
      <c r="B26" s="8"/>
      <c r="C26" s="333"/>
      <c r="D26" s="12" t="s">
        <v>704</v>
      </c>
      <c r="E26" s="337"/>
      <c r="F26" s="23"/>
      <c r="G26" s="187"/>
      <c r="H26" s="187"/>
      <c r="I26" s="187"/>
      <c r="J26" s="187"/>
      <c r="K26" s="187"/>
      <c r="L26" s="335"/>
      <c r="M26" s="335"/>
      <c r="N26" s="335"/>
      <c r="O26" s="335"/>
      <c r="P26" s="335"/>
      <c r="Q26" s="9"/>
    </row>
    <row r="27" spans="1:17" ht="14.25" customHeight="1">
      <c r="A27" s="8"/>
      <c r="B27" s="8"/>
      <c r="C27" s="333"/>
      <c r="D27" s="12" t="s">
        <v>1394</v>
      </c>
      <c r="E27" s="337">
        <v>1</v>
      </c>
      <c r="F27" s="23">
        <v>121204</v>
      </c>
      <c r="G27" s="187">
        <f>0+'táj.2.'!G27</f>
        <v>0</v>
      </c>
      <c r="H27" s="187">
        <f>0+'táj.2.'!H27</f>
        <v>0</v>
      </c>
      <c r="I27" s="187">
        <f>0+'táj.2.'!I27</f>
        <v>0</v>
      </c>
      <c r="J27" s="187">
        <f>22098+'táj.2.'!J27</f>
        <v>22098</v>
      </c>
      <c r="K27" s="187">
        <f>0+'táj.2.'!K27</f>
        <v>0</v>
      </c>
      <c r="L27" s="187">
        <f>0+'táj.2.'!L27</f>
        <v>0</v>
      </c>
      <c r="M27" s="187">
        <f>0+'táj.2.'!M27</f>
        <v>0</v>
      </c>
      <c r="N27" s="187">
        <f>0+'táj.2.'!N27</f>
        <v>0</v>
      </c>
      <c r="O27" s="187">
        <f>0+'táj.2.'!O27</f>
        <v>0</v>
      </c>
      <c r="P27" s="187">
        <f>0+'táj.2.'!P27</f>
        <v>0</v>
      </c>
      <c r="Q27" s="9">
        <f>SUM(G27:P27)</f>
        <v>22098</v>
      </c>
    </row>
    <row r="28" spans="1:17" ht="14.25" customHeight="1">
      <c r="A28" s="8"/>
      <c r="B28" s="8"/>
      <c r="C28" s="333"/>
      <c r="D28" s="12" t="s">
        <v>595</v>
      </c>
      <c r="E28" s="337">
        <v>2</v>
      </c>
      <c r="F28" s="23">
        <v>121202</v>
      </c>
      <c r="G28" s="187">
        <f>0+'táj.2.'!G28</f>
        <v>0</v>
      </c>
      <c r="H28" s="187">
        <f>0+'táj.2.'!H28</f>
        <v>0</v>
      </c>
      <c r="I28" s="187">
        <f>0+'táj.2.'!I28</f>
        <v>0</v>
      </c>
      <c r="J28" s="187">
        <f>2702+'táj.2.'!J28</f>
        <v>2702</v>
      </c>
      <c r="K28" s="187"/>
      <c r="L28" s="187"/>
      <c r="M28" s="187"/>
      <c r="N28" s="187"/>
      <c r="O28" s="187"/>
      <c r="P28" s="187"/>
      <c r="Q28" s="9">
        <f>SUM(G28:P28)</f>
        <v>2702</v>
      </c>
    </row>
    <row r="29" spans="1:17" ht="14.25" customHeight="1">
      <c r="A29" s="8"/>
      <c r="B29" s="8"/>
      <c r="C29" s="333"/>
      <c r="D29" s="116" t="s">
        <v>1057</v>
      </c>
      <c r="E29" s="337">
        <v>1</v>
      </c>
      <c r="F29" s="23">
        <v>121203</v>
      </c>
      <c r="G29" s="187">
        <f>0+'táj.2.'!G29</f>
        <v>0</v>
      </c>
      <c r="H29" s="187">
        <f>0+'táj.2.'!H29</f>
        <v>0</v>
      </c>
      <c r="I29" s="187">
        <f>0+'táj.2.'!I29</f>
        <v>0</v>
      </c>
      <c r="J29" s="187">
        <f>7200+'táj.2.'!J29</f>
        <v>7200</v>
      </c>
      <c r="K29" s="187">
        <f>0+'táj.2.'!K29</f>
        <v>0</v>
      </c>
      <c r="L29" s="187">
        <f>0+'táj.2.'!L29</f>
        <v>0</v>
      </c>
      <c r="M29" s="187">
        <f>0+'táj.2.'!M29</f>
        <v>0</v>
      </c>
      <c r="N29" s="187">
        <f>0+'táj.2.'!N29</f>
        <v>0</v>
      </c>
      <c r="O29" s="187">
        <f>0+'táj.2.'!O29</f>
        <v>0</v>
      </c>
      <c r="P29" s="187">
        <f>0+'táj.2.'!P29</f>
        <v>0</v>
      </c>
      <c r="Q29" s="9">
        <f>SUM(G29:P29)</f>
        <v>7200</v>
      </c>
    </row>
    <row r="30" spans="1:17" ht="14.25" customHeight="1">
      <c r="A30" s="8"/>
      <c r="B30" s="8"/>
      <c r="C30" s="333"/>
      <c r="D30" s="116" t="s">
        <v>596</v>
      </c>
      <c r="E30" s="337">
        <v>2</v>
      </c>
      <c r="F30" s="23">
        <v>121304</v>
      </c>
      <c r="G30" s="187">
        <f>0+'táj.2.'!G31</f>
        <v>0</v>
      </c>
      <c r="H30" s="187">
        <f>0+'táj.2.'!H31</f>
        <v>0</v>
      </c>
      <c r="I30" s="187">
        <f>760+'táj.2.'!I30</f>
        <v>370</v>
      </c>
      <c r="J30" s="187">
        <f>0+'táj.2.'!J31</f>
        <v>0</v>
      </c>
      <c r="K30" s="187"/>
      <c r="L30" s="187"/>
      <c r="M30" s="187"/>
      <c r="N30" s="187"/>
      <c r="O30" s="187"/>
      <c r="P30" s="187"/>
      <c r="Q30" s="9">
        <f>SUM(G30:P30)</f>
        <v>370</v>
      </c>
    </row>
    <row r="31" spans="1:17" ht="14.25" customHeight="1">
      <c r="A31" s="8"/>
      <c r="B31" s="8"/>
      <c r="C31" s="333"/>
      <c r="D31" s="16" t="s">
        <v>1060</v>
      </c>
      <c r="E31" s="337"/>
      <c r="F31" s="23"/>
      <c r="G31" s="187"/>
      <c r="H31" s="15"/>
      <c r="I31" s="9"/>
      <c r="J31" s="9"/>
      <c r="K31" s="187"/>
      <c r="L31" s="338"/>
      <c r="M31" s="338"/>
      <c r="N31" s="338"/>
      <c r="O31" s="338"/>
      <c r="P31" s="339"/>
      <c r="Q31" s="9"/>
    </row>
    <row r="32" spans="1:17" ht="14.25" customHeight="1">
      <c r="A32" s="8"/>
      <c r="B32" s="8"/>
      <c r="C32" s="333"/>
      <c r="D32" s="12" t="s">
        <v>1395</v>
      </c>
      <c r="E32" s="337">
        <v>2</v>
      </c>
      <c r="F32" s="23">
        <v>121504</v>
      </c>
      <c r="G32" s="187">
        <f>0+'táj.2.'!G32</f>
        <v>0</v>
      </c>
      <c r="H32" s="187">
        <f>0+'táj.2.'!H32</f>
        <v>0</v>
      </c>
      <c r="I32" s="187">
        <f>0+'táj.2.'!I32</f>
        <v>0</v>
      </c>
      <c r="J32" s="187">
        <f>5500+'táj.2.'!J32</f>
        <v>5500</v>
      </c>
      <c r="K32" s="187">
        <f>0+'táj.2.'!K32</f>
        <v>0</v>
      </c>
      <c r="L32" s="187">
        <f>0+'táj.2.'!L32</f>
        <v>0</v>
      </c>
      <c r="M32" s="187">
        <f>0+'táj.2.'!M32</f>
        <v>0</v>
      </c>
      <c r="N32" s="187">
        <f>0+'táj.2.'!N32</f>
        <v>0</v>
      </c>
      <c r="O32" s="187">
        <f>0+'táj.2.'!O32</f>
        <v>0</v>
      </c>
      <c r="P32" s="187">
        <f>0+'táj.2.'!P32</f>
        <v>0</v>
      </c>
      <c r="Q32" s="9">
        <f>SUM(G32:P32)</f>
        <v>5500</v>
      </c>
    </row>
    <row r="33" spans="1:17" ht="14.25" customHeight="1">
      <c r="A33" s="8"/>
      <c r="B33" s="8"/>
      <c r="C33" s="333"/>
      <c r="D33" s="12" t="s">
        <v>1361</v>
      </c>
      <c r="E33" s="337"/>
      <c r="F33" s="23"/>
      <c r="G33" s="187"/>
      <c r="H33" s="9"/>
      <c r="I33" s="9"/>
      <c r="J33" s="338"/>
      <c r="K33" s="187"/>
      <c r="L33" s="338"/>
      <c r="M33" s="338"/>
      <c r="N33" s="338"/>
      <c r="O33" s="338"/>
      <c r="P33" s="339"/>
      <c r="Q33" s="9"/>
    </row>
    <row r="34" spans="1:17" ht="12" customHeight="1">
      <c r="A34" s="13"/>
      <c r="B34" s="340"/>
      <c r="C34" s="341"/>
      <c r="D34" s="15" t="s">
        <v>1396</v>
      </c>
      <c r="E34" s="337">
        <v>1</v>
      </c>
      <c r="F34" s="23">
        <v>121403</v>
      </c>
      <c r="G34" s="187">
        <f>0+'táj.2.'!G34</f>
        <v>0</v>
      </c>
      <c r="H34" s="187">
        <f>0+'táj.2.'!H34</f>
        <v>0</v>
      </c>
      <c r="I34" s="187">
        <f>90+'táj.2.'!I34</f>
        <v>90</v>
      </c>
      <c r="J34" s="187">
        <f>0+'táj.2.'!J34</f>
        <v>0</v>
      </c>
      <c r="K34" s="187">
        <f>0+'táj.2.'!K34</f>
        <v>0</v>
      </c>
      <c r="L34" s="187">
        <f>0+'táj.2.'!L34</f>
        <v>0</v>
      </c>
      <c r="M34" s="187">
        <f>0+'táj.2.'!M34</f>
        <v>0</v>
      </c>
      <c r="N34" s="187">
        <f>0+'táj.2.'!N34</f>
        <v>0</v>
      </c>
      <c r="O34" s="187">
        <f>0+'táj.2.'!O34</f>
        <v>0</v>
      </c>
      <c r="P34" s="187">
        <f>0+'táj.2.'!P34</f>
        <v>0</v>
      </c>
      <c r="Q34" s="9">
        <f>SUM(G34:P34)</f>
        <v>90</v>
      </c>
    </row>
    <row r="35" spans="1:17" ht="12" customHeight="1">
      <c r="A35" s="13"/>
      <c r="B35" s="340"/>
      <c r="C35" s="341"/>
      <c r="D35" s="15" t="s">
        <v>1397</v>
      </c>
      <c r="E35" s="15"/>
      <c r="F35" s="23"/>
      <c r="G35" s="187"/>
      <c r="H35" s="15"/>
      <c r="I35" s="15"/>
      <c r="J35" s="342"/>
      <c r="K35" s="15"/>
      <c r="L35" s="342"/>
      <c r="M35" s="342"/>
      <c r="N35" s="342"/>
      <c r="O35" s="342"/>
      <c r="P35" s="342"/>
      <c r="Q35" s="9"/>
    </row>
    <row r="36" spans="1:17" ht="12" customHeight="1">
      <c r="A36" s="13"/>
      <c r="B36" s="13"/>
      <c r="C36" s="205"/>
      <c r="D36" s="16" t="s">
        <v>1398</v>
      </c>
      <c r="E36" s="15">
        <v>1</v>
      </c>
      <c r="F36" s="23">
        <v>121301</v>
      </c>
      <c r="G36" s="187">
        <f>0+'táj.2.'!G36</f>
        <v>0</v>
      </c>
      <c r="H36" s="187">
        <f>0+'táj.2.'!H36</f>
        <v>0</v>
      </c>
      <c r="I36" s="187">
        <f>0+'táj.2.'!I36</f>
        <v>0</v>
      </c>
      <c r="J36" s="187">
        <f>0+'táj.2.'!J36</f>
        <v>0</v>
      </c>
      <c r="K36" s="187">
        <f>0+'táj.2.'!K36</f>
        <v>0</v>
      </c>
      <c r="L36" s="187">
        <f>0+'táj.2.'!L36</f>
        <v>0</v>
      </c>
      <c r="M36" s="187">
        <f>0+'táj.2.'!M36</f>
        <v>0</v>
      </c>
      <c r="N36" s="187">
        <f>0+'táj.2.'!N36</f>
        <v>0</v>
      </c>
      <c r="O36" s="187">
        <f>0+'táj.2.'!O36</f>
        <v>0</v>
      </c>
      <c r="P36" s="187">
        <f>0+'táj.2.'!P36</f>
        <v>0</v>
      </c>
      <c r="Q36" s="9">
        <f>SUM(G36:P36)</f>
        <v>0</v>
      </c>
    </row>
    <row r="37" spans="1:17" ht="12" customHeight="1">
      <c r="A37" s="13"/>
      <c r="B37" s="13"/>
      <c r="C37" s="205"/>
      <c r="D37" s="343" t="s">
        <v>414</v>
      </c>
      <c r="E37" s="337"/>
      <c r="F37" s="23"/>
      <c r="G37" s="187"/>
      <c r="H37" s="15"/>
      <c r="I37" s="15"/>
      <c r="J37" s="342"/>
      <c r="K37" s="15"/>
      <c r="L37" s="342"/>
      <c r="M37" s="342"/>
      <c r="N37" s="342"/>
      <c r="O37" s="342"/>
      <c r="P37" s="15"/>
      <c r="Q37" s="9"/>
    </row>
    <row r="38" spans="1:17" ht="12" customHeight="1">
      <c r="A38" s="13"/>
      <c r="B38" s="13"/>
      <c r="C38" s="205"/>
      <c r="D38" s="119" t="s">
        <v>1058</v>
      </c>
      <c r="E38" s="337">
        <v>2</v>
      </c>
      <c r="F38" s="23">
        <v>221902</v>
      </c>
      <c r="G38" s="187">
        <f>0+'táj.2.'!G38</f>
        <v>0</v>
      </c>
      <c r="H38" s="187">
        <f>0+'táj.2.'!H38</f>
        <v>0</v>
      </c>
      <c r="I38" s="187">
        <f>20037+'táj.2.'!I38</f>
        <v>19467</v>
      </c>
      <c r="J38" s="187">
        <f>0+'táj.2.'!J38</f>
        <v>0</v>
      </c>
      <c r="K38" s="187">
        <f>0+'táj.2.'!K38</f>
        <v>0</v>
      </c>
      <c r="L38" s="187">
        <f>0+'táj.2.'!L38</f>
        <v>0</v>
      </c>
      <c r="M38" s="187">
        <f>0+'táj.2.'!M38</f>
        <v>0</v>
      </c>
      <c r="N38" s="187">
        <f>0+'táj.2.'!N38</f>
        <v>0</v>
      </c>
      <c r="O38" s="187">
        <f>0+'táj.2.'!O38</f>
        <v>0</v>
      </c>
      <c r="P38" s="187">
        <f>0+'táj.2.'!P38</f>
        <v>0</v>
      </c>
      <c r="Q38" s="9">
        <f aca="true" t="shared" si="0" ref="Q38:Q45">SUM(G38:P38)</f>
        <v>19467</v>
      </c>
    </row>
    <row r="39" spans="1:17" ht="12" customHeight="1">
      <c r="A39" s="13"/>
      <c r="B39" s="13"/>
      <c r="C39" s="205"/>
      <c r="D39" s="344" t="s">
        <v>364</v>
      </c>
      <c r="E39" s="337">
        <v>2</v>
      </c>
      <c r="F39" s="23" t="s">
        <v>1194</v>
      </c>
      <c r="G39" s="187">
        <f>0+'táj.2.'!G39</f>
        <v>0</v>
      </c>
      <c r="H39" s="187">
        <f>2700+'táj.2.'!H39</f>
        <v>2700</v>
      </c>
      <c r="I39" s="187">
        <f>300+'táj.2.'!I39</f>
        <v>300</v>
      </c>
      <c r="J39" s="187">
        <f>6500+'táj.2.'!J39</f>
        <v>6500</v>
      </c>
      <c r="K39" s="187">
        <f>0+'táj.2.'!K39</f>
        <v>0</v>
      </c>
      <c r="L39" s="187">
        <f>0+'táj.2.'!L39</f>
        <v>0</v>
      </c>
      <c r="M39" s="187">
        <f>0+'táj.2.'!M39</f>
        <v>0</v>
      </c>
      <c r="N39" s="187">
        <f>0+'táj.2.'!N39</f>
        <v>0</v>
      </c>
      <c r="O39" s="187">
        <f>0+'táj.2.'!O39</f>
        <v>0</v>
      </c>
      <c r="P39" s="187">
        <f>0+'táj.2.'!P39</f>
        <v>0</v>
      </c>
      <c r="Q39" s="9">
        <f t="shared" si="0"/>
        <v>9500</v>
      </c>
    </row>
    <row r="40" spans="1:17" ht="13.5" customHeight="1">
      <c r="A40" s="13"/>
      <c r="B40" s="13"/>
      <c r="C40" s="205"/>
      <c r="D40" s="345" t="s">
        <v>1399</v>
      </c>
      <c r="E40" s="337"/>
      <c r="F40" s="23"/>
      <c r="G40" s="187"/>
      <c r="H40" s="25"/>
      <c r="I40" s="25"/>
      <c r="J40" s="25"/>
      <c r="K40" s="25"/>
      <c r="L40" s="25"/>
      <c r="M40" s="25"/>
      <c r="N40" s="25"/>
      <c r="O40" s="25"/>
      <c r="P40" s="25"/>
      <c r="Q40" s="9">
        <f t="shared" si="0"/>
        <v>0</v>
      </c>
    </row>
    <row r="41" spans="1:17" ht="13.5" customHeight="1">
      <c r="A41" s="13"/>
      <c r="B41" s="13"/>
      <c r="C41" s="205"/>
      <c r="D41" s="24" t="s">
        <v>1400</v>
      </c>
      <c r="E41" s="337">
        <v>1</v>
      </c>
      <c r="F41" s="23">
        <v>121601</v>
      </c>
      <c r="G41" s="187">
        <f>0+'táj.2.'!G41</f>
        <v>0</v>
      </c>
      <c r="H41" s="187">
        <f>0+'táj.2.'!H41</f>
        <v>0</v>
      </c>
      <c r="I41" s="187">
        <f>400+'táj.2.'!I41</f>
        <v>400</v>
      </c>
      <c r="J41" s="187">
        <f>0+'táj.2.'!J41</f>
        <v>0</v>
      </c>
      <c r="K41" s="187">
        <f>500+'táj.2.'!K41</f>
        <v>500</v>
      </c>
      <c r="L41" s="187">
        <f>0+'táj.2.'!L41</f>
        <v>0</v>
      </c>
      <c r="M41" s="187">
        <f>0+'táj.2.'!M41</f>
        <v>0</v>
      </c>
      <c r="N41" s="187">
        <f>0+'táj.2.'!N41</f>
        <v>0</v>
      </c>
      <c r="O41" s="187">
        <f>0+'táj.2.'!O41</f>
        <v>0</v>
      </c>
      <c r="P41" s="187">
        <f>0+'táj.2.'!P41</f>
        <v>0</v>
      </c>
      <c r="Q41" s="25">
        <f t="shared" si="0"/>
        <v>900</v>
      </c>
    </row>
    <row r="42" spans="1:17" ht="23.25" customHeight="1">
      <c r="A42" s="13"/>
      <c r="B42" s="13"/>
      <c r="C42" s="205"/>
      <c r="D42" s="748" t="s">
        <v>164</v>
      </c>
      <c r="E42" s="78"/>
      <c r="F42" s="23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25"/>
    </row>
    <row r="43" spans="1:17" ht="13.5" customHeight="1">
      <c r="A43" s="13"/>
      <c r="B43" s="13"/>
      <c r="C43" s="205"/>
      <c r="D43" s="16" t="s">
        <v>165</v>
      </c>
      <c r="E43" s="337">
        <v>1</v>
      </c>
      <c r="F43" s="23">
        <v>121112</v>
      </c>
      <c r="G43" s="187">
        <f>0+'táj.2.'!G43</f>
        <v>0</v>
      </c>
      <c r="H43" s="187">
        <f>0+'táj.2.'!H43</f>
        <v>0</v>
      </c>
      <c r="I43" s="187">
        <f>0+'táj.2.'!I43</f>
        <v>0</v>
      </c>
      <c r="J43" s="187">
        <f>0+'táj.2.'!J43</f>
        <v>20</v>
      </c>
      <c r="K43" s="187">
        <f>0+'táj.2.'!K43</f>
        <v>0</v>
      </c>
      <c r="L43" s="187">
        <f>0+'táj.2.'!L43</f>
        <v>0</v>
      </c>
      <c r="M43" s="187">
        <f>0+'táj.2.'!M43</f>
        <v>0</v>
      </c>
      <c r="N43" s="187">
        <f>0+'táj.2.'!N43</f>
        <v>0</v>
      </c>
      <c r="O43" s="187">
        <f>0+'táj.2.'!O43</f>
        <v>0</v>
      </c>
      <c r="P43" s="187">
        <f>0+'táj.2.'!P43</f>
        <v>0</v>
      </c>
      <c r="Q43" s="25">
        <f t="shared" si="0"/>
        <v>20</v>
      </c>
    </row>
    <row r="44" spans="1:17" ht="13.5" customHeight="1">
      <c r="A44" s="13"/>
      <c r="B44" s="13"/>
      <c r="C44" s="205"/>
      <c r="D44" s="16" t="s">
        <v>55</v>
      </c>
      <c r="E44" s="337"/>
      <c r="F44" s="23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25"/>
    </row>
    <row r="45" spans="1:17" ht="13.5" customHeight="1">
      <c r="A45" s="13"/>
      <c r="B45" s="13"/>
      <c r="C45" s="205"/>
      <c r="D45" s="16" t="s">
        <v>34</v>
      </c>
      <c r="E45" s="337">
        <v>2</v>
      </c>
      <c r="F45" s="23">
        <v>128901</v>
      </c>
      <c r="G45" s="187">
        <f>0+'táj.2.'!G45</f>
        <v>0</v>
      </c>
      <c r="H45" s="187"/>
      <c r="I45" s="187">
        <f>0+'táj.2.'!I45</f>
        <v>0</v>
      </c>
      <c r="J45" s="187">
        <f>0+'táj.2.'!J45</f>
        <v>0</v>
      </c>
      <c r="K45" s="187">
        <f>4005+'táj.2.'!K45</f>
        <v>4005</v>
      </c>
      <c r="L45" s="187">
        <f>0+'táj.2.'!L45</f>
        <v>0</v>
      </c>
      <c r="M45" s="187">
        <f>0+'táj.2.'!M45</f>
        <v>0</v>
      </c>
      <c r="N45" s="187">
        <f>0+'táj.2.'!N45</f>
        <v>0</v>
      </c>
      <c r="O45" s="187">
        <f>0+'táj.2.'!O45</f>
        <v>0</v>
      </c>
      <c r="P45" s="187">
        <f>0+'táj.2.'!P45</f>
        <v>0</v>
      </c>
      <c r="Q45" s="25">
        <f t="shared" si="0"/>
        <v>4005</v>
      </c>
    </row>
    <row r="46" spans="1:17" ht="13.5">
      <c r="A46" s="17"/>
      <c r="B46" s="17"/>
      <c r="C46" s="346"/>
      <c r="D46" s="18" t="s">
        <v>1401</v>
      </c>
      <c r="E46" s="347"/>
      <c r="F46" s="649"/>
      <c r="G46" s="348">
        <f>SUM(G5:G45)</f>
        <v>0</v>
      </c>
      <c r="H46" s="348">
        <f aca="true" t="shared" si="1" ref="H46:Q46">SUM(H5:H45)</f>
        <v>2700</v>
      </c>
      <c r="I46" s="348">
        <f t="shared" si="1"/>
        <v>20627</v>
      </c>
      <c r="J46" s="348">
        <f t="shared" si="1"/>
        <v>188940</v>
      </c>
      <c r="K46" s="348">
        <f t="shared" si="1"/>
        <v>4505</v>
      </c>
      <c r="L46" s="348">
        <f t="shared" si="1"/>
        <v>0</v>
      </c>
      <c r="M46" s="348">
        <f t="shared" si="1"/>
        <v>0</v>
      </c>
      <c r="N46" s="348">
        <f t="shared" si="1"/>
        <v>0</v>
      </c>
      <c r="O46" s="348">
        <f t="shared" si="1"/>
        <v>0</v>
      </c>
      <c r="P46" s="348">
        <f t="shared" si="1"/>
        <v>0</v>
      </c>
      <c r="Q46" s="348">
        <f t="shared" si="1"/>
        <v>216772</v>
      </c>
    </row>
    <row r="47" spans="1:17" ht="12">
      <c r="A47" s="13"/>
      <c r="B47" s="13"/>
      <c r="C47" s="205"/>
      <c r="D47" s="16" t="s">
        <v>1402</v>
      </c>
      <c r="E47" s="14"/>
      <c r="F47" s="650"/>
      <c r="G47" s="15"/>
      <c r="H47" s="15"/>
      <c r="I47" s="15"/>
      <c r="J47" s="15"/>
      <c r="K47" s="15"/>
      <c r="L47" s="15"/>
      <c r="M47" s="15"/>
      <c r="N47" s="20"/>
      <c r="O47" s="20"/>
      <c r="P47" s="20"/>
      <c r="Q47" s="15">
        <f>SUM(G47:P47)</f>
        <v>0</v>
      </c>
    </row>
    <row r="48" spans="1:17" ht="28.5" customHeight="1">
      <c r="A48" s="13"/>
      <c r="B48" s="13"/>
      <c r="C48" s="205" t="s">
        <v>623</v>
      </c>
      <c r="D48" s="349" t="s">
        <v>736</v>
      </c>
      <c r="E48" s="15"/>
      <c r="F48" s="13">
        <v>121401</v>
      </c>
      <c r="G48" s="15">
        <f>0+'táj.2.'!G48</f>
        <v>0</v>
      </c>
      <c r="H48" s="15">
        <f>0+'táj.2.'!H48</f>
        <v>0</v>
      </c>
      <c r="I48" s="15">
        <f>0+'táj.2.'!I48</f>
        <v>0</v>
      </c>
      <c r="J48" s="15">
        <f>0+'táj.2.'!J48</f>
        <v>0</v>
      </c>
      <c r="K48" s="15">
        <f>0+'táj.2.'!K48</f>
        <v>0</v>
      </c>
      <c r="L48" s="15">
        <f>0+'táj.2.'!L48</f>
        <v>0</v>
      </c>
      <c r="M48" s="15">
        <f>0+'táj.2.'!M48</f>
        <v>0</v>
      </c>
      <c r="N48" s="15">
        <f>20000+'táj.2.'!N48</f>
        <v>20000</v>
      </c>
      <c r="O48" s="15">
        <f>0+'táj.2.'!O48</f>
        <v>0</v>
      </c>
      <c r="P48" s="15">
        <f>0+'táj.2.'!P48</f>
        <v>0</v>
      </c>
      <c r="Q48" s="15">
        <f>SUM(G48:P48)</f>
        <v>20000</v>
      </c>
    </row>
    <row r="49" spans="1:17" ht="12">
      <c r="A49" s="13"/>
      <c r="B49" s="13"/>
      <c r="C49" s="205"/>
      <c r="D49" s="16" t="s">
        <v>1403</v>
      </c>
      <c r="E49" s="15"/>
      <c r="F49" s="13"/>
      <c r="G49" s="15"/>
      <c r="H49" s="15"/>
      <c r="I49" s="15"/>
      <c r="J49" s="15"/>
      <c r="K49" s="15"/>
      <c r="L49" s="15"/>
      <c r="M49" s="15"/>
      <c r="N49" s="15"/>
      <c r="O49" s="20"/>
      <c r="P49" s="20"/>
      <c r="Q49" s="15"/>
    </row>
    <row r="50" spans="1:17" ht="24">
      <c r="A50" s="13"/>
      <c r="B50" s="13"/>
      <c r="C50" s="205" t="s">
        <v>496</v>
      </c>
      <c r="D50" s="126" t="s">
        <v>743</v>
      </c>
      <c r="E50" s="15"/>
      <c r="F50" s="13">
        <v>121402</v>
      </c>
      <c r="G50" s="15">
        <f>0+'táj.2.'!G50</f>
        <v>0</v>
      </c>
      <c r="H50" s="15">
        <f>0+'táj.2.'!H50</f>
        <v>0</v>
      </c>
      <c r="I50" s="15">
        <f>0+'táj.2.'!I50</f>
        <v>0</v>
      </c>
      <c r="J50" s="15">
        <f>0+'táj.2.'!J50</f>
        <v>0</v>
      </c>
      <c r="K50" s="15">
        <f>0+'táj.2.'!K50</f>
        <v>0</v>
      </c>
      <c r="L50" s="15">
        <f>0+'táj.2.'!L50</f>
        <v>0</v>
      </c>
      <c r="M50" s="15">
        <f>0+'táj.2.'!M50</f>
        <v>0</v>
      </c>
      <c r="N50" s="15">
        <f>22519+'táj.2.'!N50</f>
        <v>22519</v>
      </c>
      <c r="O50" s="15">
        <f>0+'táj.2.'!O50</f>
        <v>0</v>
      </c>
      <c r="P50" s="15">
        <f>0+'táj.2.'!P50</f>
        <v>0</v>
      </c>
      <c r="Q50" s="15">
        <f>SUM(G50:P50)</f>
        <v>22519</v>
      </c>
    </row>
    <row r="51" spans="1:17" ht="24">
      <c r="A51" s="13"/>
      <c r="B51" s="13"/>
      <c r="C51" s="205" t="s">
        <v>534</v>
      </c>
      <c r="D51" s="566" t="s">
        <v>495</v>
      </c>
      <c r="E51" s="15"/>
      <c r="F51" s="13">
        <v>121404</v>
      </c>
      <c r="G51" s="15">
        <f>0+'táj.2.'!G51</f>
        <v>0</v>
      </c>
      <c r="H51" s="15">
        <f>0+'táj.2.'!H51</f>
        <v>0</v>
      </c>
      <c r="I51" s="15">
        <f>0+'táj.2.'!I51</f>
        <v>0</v>
      </c>
      <c r="J51" s="15">
        <f>0+'táj.2.'!J51</f>
        <v>0</v>
      </c>
      <c r="K51" s="15">
        <f>0+'táj.2.'!K51</f>
        <v>0</v>
      </c>
      <c r="L51" s="15">
        <f>30000+'táj.2.'!L51</f>
        <v>30000</v>
      </c>
      <c r="M51" s="15">
        <f>0+'táj.2.'!M51</f>
        <v>0</v>
      </c>
      <c r="N51" s="15">
        <f>0+'táj.2.'!N51</f>
        <v>0</v>
      </c>
      <c r="O51" s="15">
        <f>0+'táj.2.'!O51</f>
        <v>0</v>
      </c>
      <c r="P51" s="15">
        <f>0+'táj.2.'!P51</f>
        <v>0</v>
      </c>
      <c r="Q51" s="15">
        <f>SUM(G51:P51)</f>
        <v>30000</v>
      </c>
    </row>
    <row r="52" spans="1:17" ht="13.5">
      <c r="A52" s="17"/>
      <c r="B52" s="17"/>
      <c r="C52" s="346"/>
      <c r="D52" s="18" t="s">
        <v>421</v>
      </c>
      <c r="E52" s="347"/>
      <c r="F52" s="649"/>
      <c r="G52" s="265">
        <f aca="true" t="shared" si="2" ref="G52:N52">SUM(G46:G51)</f>
        <v>0</v>
      </c>
      <c r="H52" s="265">
        <f t="shared" si="2"/>
        <v>2700</v>
      </c>
      <c r="I52" s="265">
        <f t="shared" si="2"/>
        <v>20627</v>
      </c>
      <c r="J52" s="265">
        <f t="shared" si="2"/>
        <v>188940</v>
      </c>
      <c r="K52" s="265">
        <f t="shared" si="2"/>
        <v>4505</v>
      </c>
      <c r="L52" s="265">
        <f t="shared" si="2"/>
        <v>30000</v>
      </c>
      <c r="M52" s="265">
        <f t="shared" si="2"/>
        <v>0</v>
      </c>
      <c r="N52" s="265">
        <f t="shared" si="2"/>
        <v>42519</v>
      </c>
      <c r="O52" s="265"/>
      <c r="P52" s="265">
        <f>SUM(P46:P51)</f>
        <v>0</v>
      </c>
      <c r="Q52" s="265">
        <f>SUM(Q46:Q51)</f>
        <v>289291</v>
      </c>
    </row>
    <row r="53" spans="1:17" ht="12">
      <c r="A53" s="13">
        <v>1</v>
      </c>
      <c r="B53" s="13">
        <v>13</v>
      </c>
      <c r="C53" s="13"/>
      <c r="D53" s="331" t="s">
        <v>353</v>
      </c>
      <c r="E53" s="20" t="s">
        <v>1404</v>
      </c>
      <c r="F53" s="183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2">
      <c r="A54" s="13"/>
      <c r="B54" s="13"/>
      <c r="C54" s="205"/>
      <c r="D54" s="350" t="s">
        <v>480</v>
      </c>
      <c r="E54" s="20"/>
      <c r="F54" s="183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2">
      <c r="A55" s="13"/>
      <c r="B55" s="13"/>
      <c r="C55" s="205"/>
      <c r="D55" s="116" t="s">
        <v>415</v>
      </c>
      <c r="E55" s="337"/>
      <c r="F55" s="23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" customHeight="1">
      <c r="A56" s="13"/>
      <c r="B56" s="13"/>
      <c r="C56" s="205"/>
      <c r="D56" s="16" t="s">
        <v>1405</v>
      </c>
      <c r="E56" s="15">
        <v>2</v>
      </c>
      <c r="F56" s="13">
        <v>131112</v>
      </c>
      <c r="G56" s="15">
        <f>0+'táj.2.'!G56</f>
        <v>0</v>
      </c>
      <c r="H56" s="15">
        <f>0+'táj.2.'!H56</f>
        <v>0</v>
      </c>
      <c r="I56" s="15">
        <f>0+'táj.2.'!I56</f>
        <v>0</v>
      </c>
      <c r="J56" s="15">
        <f>4074+'táj.2.'!J56</f>
        <v>4074</v>
      </c>
      <c r="K56" s="15">
        <f>0+'táj.2.'!K56</f>
        <v>0</v>
      </c>
      <c r="L56" s="15">
        <f>0+'táj.2.'!L56</f>
        <v>0</v>
      </c>
      <c r="M56" s="15">
        <f>0+'táj.2.'!M56</f>
        <v>0</v>
      </c>
      <c r="N56" s="15">
        <f>0+'táj.2.'!N56</f>
        <v>0</v>
      </c>
      <c r="O56" s="15">
        <f>0+'táj.2.'!O56</f>
        <v>0</v>
      </c>
      <c r="P56" s="15">
        <f>0+'táj.2.'!P56</f>
        <v>0</v>
      </c>
      <c r="Q56" s="15">
        <f>SUM(G56:P56)</f>
        <v>4074</v>
      </c>
    </row>
    <row r="57" spans="1:17" ht="24.75" customHeight="1">
      <c r="A57" s="13"/>
      <c r="B57" s="13"/>
      <c r="C57" s="205"/>
      <c r="D57" s="204" t="s">
        <v>1059</v>
      </c>
      <c r="E57" s="15">
        <v>2</v>
      </c>
      <c r="F57" s="13">
        <v>131123</v>
      </c>
      <c r="G57" s="15">
        <f>0+'táj.2.'!G57</f>
        <v>0</v>
      </c>
      <c r="H57" s="15">
        <f>0+'táj.2.'!H57</f>
        <v>0</v>
      </c>
      <c r="I57" s="15">
        <f>0+'táj.2.'!I57</f>
        <v>0</v>
      </c>
      <c r="J57" s="15">
        <f>0+'táj.2.'!J57</f>
        <v>0</v>
      </c>
      <c r="K57" s="15">
        <f>3900+'táj.2.'!K57</f>
        <v>3700</v>
      </c>
      <c r="L57" s="15">
        <f>0+'táj.2.'!L57</f>
        <v>0</v>
      </c>
      <c r="M57" s="15">
        <f>0+'táj.2.'!M57</f>
        <v>0</v>
      </c>
      <c r="N57" s="15">
        <f>0+'táj.2.'!N57</f>
        <v>0</v>
      </c>
      <c r="O57" s="15">
        <f>0+'táj.2.'!O57</f>
        <v>0</v>
      </c>
      <c r="P57" s="15">
        <f>0+'táj.2.'!P57</f>
        <v>0</v>
      </c>
      <c r="Q57" s="15">
        <f>SUM(G57:P57)</f>
        <v>3700</v>
      </c>
    </row>
    <row r="58" spans="1:17" ht="15" customHeight="1">
      <c r="A58" s="13"/>
      <c r="B58" s="13"/>
      <c r="C58" s="205"/>
      <c r="D58" s="204" t="s">
        <v>1406</v>
      </c>
      <c r="E58" s="15">
        <v>2</v>
      </c>
      <c r="F58" s="13">
        <v>131122</v>
      </c>
      <c r="G58" s="15">
        <f>750+'táj.2.'!G58</f>
        <v>780</v>
      </c>
      <c r="H58" s="15">
        <f>203+'táj.2.'!H58</f>
        <v>211</v>
      </c>
      <c r="I58" s="15">
        <f>297+'táj.2.'!I58</f>
        <v>206</v>
      </c>
      <c r="J58" s="15">
        <f>0+'táj.2.'!J58</f>
        <v>0</v>
      </c>
      <c r="K58" s="15">
        <f>250+'táj.2.'!K58</f>
        <v>303</v>
      </c>
      <c r="L58" s="15">
        <f>0+'táj.2.'!L58</f>
        <v>0</v>
      </c>
      <c r="M58" s="15">
        <f>0+'táj.2.'!M58</f>
        <v>0</v>
      </c>
      <c r="N58" s="15">
        <f>0+'táj.2.'!N58</f>
        <v>0</v>
      </c>
      <c r="O58" s="15">
        <f>0+'táj.2.'!O58</f>
        <v>0</v>
      </c>
      <c r="P58" s="15">
        <f>0+'táj.2.'!P58</f>
        <v>0</v>
      </c>
      <c r="Q58" s="15">
        <f>SUM(G58:P58)</f>
        <v>1500</v>
      </c>
    </row>
    <row r="59" spans="1:17" ht="22.5" customHeight="1">
      <c r="A59" s="13"/>
      <c r="B59" s="13"/>
      <c r="C59" s="205"/>
      <c r="D59" s="204" t="s">
        <v>1407</v>
      </c>
      <c r="E59" s="15"/>
      <c r="F59" s="13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24.75" customHeight="1">
      <c r="A60" s="13"/>
      <c r="B60" s="13"/>
      <c r="C60" s="205"/>
      <c r="D60" s="204" t="s">
        <v>0</v>
      </c>
      <c r="E60" s="15">
        <v>2</v>
      </c>
      <c r="F60" s="13">
        <v>131110</v>
      </c>
      <c r="G60" s="15">
        <f>0+'táj.2.'!G60</f>
        <v>0</v>
      </c>
      <c r="H60" s="15">
        <f>0+'táj.2.'!H60</f>
        <v>0</v>
      </c>
      <c r="I60" s="15">
        <f>0+'táj.2.'!I60</f>
        <v>0</v>
      </c>
      <c r="J60" s="15">
        <f>0+'táj.2.'!J60</f>
        <v>0</v>
      </c>
      <c r="K60" s="15">
        <f>0+'táj.2.'!K60</f>
        <v>0</v>
      </c>
      <c r="L60" s="15">
        <f>0+'táj.2.'!L60</f>
        <v>0</v>
      </c>
      <c r="M60" s="15">
        <f>0+'táj.2.'!M60</f>
        <v>0</v>
      </c>
      <c r="N60" s="15">
        <f>0+'táj.2.'!N60</f>
        <v>0</v>
      </c>
      <c r="O60" s="15">
        <f>0+'táj.2.'!O60</f>
        <v>0</v>
      </c>
      <c r="P60" s="15">
        <f>0+'táj.2.'!P60</f>
        <v>0</v>
      </c>
      <c r="Q60" s="15">
        <f>SUM(G60:P60)</f>
        <v>0</v>
      </c>
    </row>
    <row r="61" spans="1:17" ht="12" customHeight="1">
      <c r="A61" s="13"/>
      <c r="B61" s="13"/>
      <c r="C61" s="205"/>
      <c r="D61" s="204" t="s">
        <v>415</v>
      </c>
      <c r="E61" s="15"/>
      <c r="F61" s="1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 customHeight="1">
      <c r="A62" s="13"/>
      <c r="B62" s="13"/>
      <c r="C62" s="205"/>
      <c r="D62" s="24" t="s">
        <v>1</v>
      </c>
      <c r="E62" s="15">
        <v>2</v>
      </c>
      <c r="F62" s="13">
        <v>131107</v>
      </c>
      <c r="G62" s="15">
        <f>0+'táj.2.'!G62</f>
        <v>0</v>
      </c>
      <c r="H62" s="15">
        <f>0+'táj.2.'!H62</f>
        <v>0</v>
      </c>
      <c r="I62" s="15">
        <f>0+'táj.2.'!I62</f>
        <v>0</v>
      </c>
      <c r="J62" s="15">
        <f>0+'táj.2.'!J62</f>
        <v>0</v>
      </c>
      <c r="K62" s="15">
        <f>68800+'táj.2.'!K62</f>
        <v>68800</v>
      </c>
      <c r="L62" s="15">
        <f>0+'táj.2.'!L62</f>
        <v>0</v>
      </c>
      <c r="M62" s="15">
        <f>0+'táj.2.'!M62</f>
        <v>0</v>
      </c>
      <c r="N62" s="15">
        <f>0+'táj.2.'!N62</f>
        <v>0</v>
      </c>
      <c r="O62" s="15">
        <f>0+'táj.2.'!O62</f>
        <v>0</v>
      </c>
      <c r="P62" s="15">
        <f>0+'táj.2.'!P62</f>
        <v>0</v>
      </c>
      <c r="Q62" s="25">
        <f>SUM(G62:P62)</f>
        <v>68800</v>
      </c>
    </row>
    <row r="63" spans="1:17" ht="14.25" customHeight="1">
      <c r="A63" s="13"/>
      <c r="B63" s="13"/>
      <c r="C63" s="205"/>
      <c r="D63" s="24" t="s">
        <v>1060</v>
      </c>
      <c r="E63" s="15"/>
      <c r="F63" s="13"/>
      <c r="G63" s="1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24.75" customHeight="1">
      <c r="A64" s="13"/>
      <c r="B64" s="13"/>
      <c r="C64" s="205"/>
      <c r="D64" s="202" t="s">
        <v>2</v>
      </c>
      <c r="E64" s="15">
        <v>2</v>
      </c>
      <c r="F64" s="13">
        <v>131115</v>
      </c>
      <c r="G64" s="15">
        <f>0+'táj.2.'!G64</f>
        <v>0</v>
      </c>
      <c r="H64" s="15">
        <f>0+'táj.2.'!H64</f>
        <v>0</v>
      </c>
      <c r="I64" s="15">
        <f>0+'táj.2.'!I64</f>
        <v>0</v>
      </c>
      <c r="J64" s="15">
        <f>0+'táj.2.'!J64</f>
        <v>0</v>
      </c>
      <c r="K64" s="15">
        <f>1687+'táj.2.'!K64</f>
        <v>1687</v>
      </c>
      <c r="L64" s="15">
        <f>0+'táj.2.'!L64</f>
        <v>0</v>
      </c>
      <c r="M64" s="15">
        <f>0+'táj.2.'!M64</f>
        <v>0</v>
      </c>
      <c r="N64" s="15">
        <f>0+'táj.2.'!N64</f>
        <v>0</v>
      </c>
      <c r="O64" s="15">
        <f>0+'táj.2.'!O64</f>
        <v>0</v>
      </c>
      <c r="P64" s="15">
        <f>0+'táj.2.'!P64</f>
        <v>0</v>
      </c>
      <c r="Q64" s="25">
        <f>SUM(G64:P64)</f>
        <v>1687</v>
      </c>
    </row>
    <row r="65" spans="1:17" ht="15" customHeight="1">
      <c r="A65" s="13"/>
      <c r="B65" s="13"/>
      <c r="C65" s="205"/>
      <c r="D65" s="351" t="s">
        <v>481</v>
      </c>
      <c r="E65" s="352"/>
      <c r="F65" s="651"/>
      <c r="G65" s="15"/>
      <c r="H65" s="25"/>
      <c r="I65" s="25"/>
      <c r="J65" s="15"/>
      <c r="K65" s="15"/>
      <c r="L65" s="25"/>
      <c r="M65" s="25"/>
      <c r="N65" s="25"/>
      <c r="O65" s="25"/>
      <c r="P65" s="25"/>
      <c r="Q65" s="25"/>
    </row>
    <row r="66" spans="1:17" ht="24.75" customHeight="1">
      <c r="A66" s="13"/>
      <c r="B66" s="13"/>
      <c r="C66" s="205"/>
      <c r="D66" s="204" t="s">
        <v>3</v>
      </c>
      <c r="E66" s="353"/>
      <c r="F66" s="65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" customHeight="1">
      <c r="A67" s="13"/>
      <c r="B67" s="13"/>
      <c r="C67" s="205"/>
      <c r="D67" s="16" t="s">
        <v>343</v>
      </c>
      <c r="E67" s="15">
        <v>2</v>
      </c>
      <c r="F67" s="13">
        <v>131201</v>
      </c>
      <c r="G67" s="15">
        <f>0+'táj.2.'!G67</f>
        <v>0</v>
      </c>
      <c r="H67" s="15">
        <f>0+'táj.2.'!H67</f>
        <v>0</v>
      </c>
      <c r="I67" s="15">
        <f>2002+'táj.2.'!I67</f>
        <v>1702</v>
      </c>
      <c r="J67" s="15">
        <f>0+'táj.2.'!J67</f>
        <v>0</v>
      </c>
      <c r="K67" s="15">
        <f>120+'táj.2.'!K67</f>
        <v>120</v>
      </c>
      <c r="L67" s="15">
        <f>0+'táj.2.'!L67</f>
        <v>0</v>
      </c>
      <c r="M67" s="15">
        <f>0+'táj.2.'!M67</f>
        <v>0</v>
      </c>
      <c r="N67" s="15">
        <f>0+'táj.2.'!N67</f>
        <v>0</v>
      </c>
      <c r="O67" s="15">
        <f>0+'táj.2.'!O67</f>
        <v>0</v>
      </c>
      <c r="P67" s="15">
        <f>0+'táj.2.'!P67</f>
        <v>0</v>
      </c>
      <c r="Q67" s="15">
        <f aca="true" t="shared" si="3" ref="Q67:Q72">SUM(G67:P67)</f>
        <v>1822</v>
      </c>
    </row>
    <row r="68" spans="1:17" ht="12" customHeight="1">
      <c r="A68" s="13"/>
      <c r="B68" s="13"/>
      <c r="C68" s="205"/>
      <c r="D68" s="16" t="s">
        <v>1206</v>
      </c>
      <c r="E68" s="15">
        <v>2</v>
      </c>
      <c r="F68" s="13">
        <v>131202</v>
      </c>
      <c r="G68" s="15">
        <f>79+'táj.2.'!G68</f>
        <v>132</v>
      </c>
      <c r="H68" s="15">
        <f>0+'táj.2.'!H68</f>
        <v>0</v>
      </c>
      <c r="I68" s="15">
        <f>921+'táj.2.'!I68</f>
        <v>868</v>
      </c>
      <c r="J68" s="15">
        <f>0+'táj.2.'!J68</f>
        <v>0</v>
      </c>
      <c r="K68" s="15">
        <f>0+'táj.2.'!K68</f>
        <v>0</v>
      </c>
      <c r="L68" s="15">
        <f>0+'táj.2.'!L68</f>
        <v>0</v>
      </c>
      <c r="M68" s="15">
        <f>0+'táj.2.'!M68</f>
        <v>0</v>
      </c>
      <c r="N68" s="15">
        <f>0+'táj.2.'!N68</f>
        <v>0</v>
      </c>
      <c r="O68" s="15">
        <f>0+'táj.2.'!O68</f>
        <v>0</v>
      </c>
      <c r="P68" s="15">
        <f>0+'táj.2.'!P68</f>
        <v>0</v>
      </c>
      <c r="Q68" s="15">
        <f t="shared" si="3"/>
        <v>1000</v>
      </c>
    </row>
    <row r="69" spans="1:17" ht="12" customHeight="1">
      <c r="A69" s="13"/>
      <c r="B69" s="13"/>
      <c r="C69" s="205"/>
      <c r="D69" s="16" t="s">
        <v>4</v>
      </c>
      <c r="E69" s="15">
        <v>2</v>
      </c>
      <c r="F69" s="13">
        <v>131205</v>
      </c>
      <c r="G69" s="15">
        <f>0+'táj.2.'!G69</f>
        <v>0</v>
      </c>
      <c r="H69" s="15">
        <f>0+'táj.2.'!H69</f>
        <v>0</v>
      </c>
      <c r="I69" s="15">
        <f>1000+'táj.2.'!I69</f>
        <v>1000</v>
      </c>
      <c r="J69" s="15">
        <f>0+'táj.2.'!J69</f>
        <v>0</v>
      </c>
      <c r="K69" s="15">
        <f>0+'táj.2.'!K69</f>
        <v>0</v>
      </c>
      <c r="L69" s="15">
        <f>0+'táj.2.'!L69</f>
        <v>0</v>
      </c>
      <c r="M69" s="15">
        <f>0+'táj.2.'!M69</f>
        <v>0</v>
      </c>
      <c r="N69" s="15">
        <f>0+'táj.2.'!N69</f>
        <v>0</v>
      </c>
      <c r="O69" s="15">
        <f>0+'táj.2.'!O69</f>
        <v>0</v>
      </c>
      <c r="P69" s="15">
        <f>0+'táj.2.'!P69</f>
        <v>0</v>
      </c>
      <c r="Q69" s="15">
        <f t="shared" si="3"/>
        <v>1000</v>
      </c>
    </row>
    <row r="70" spans="1:17" ht="12" customHeight="1">
      <c r="A70" s="13"/>
      <c r="B70" s="13"/>
      <c r="C70" s="205"/>
      <c r="D70" s="16" t="s">
        <v>5</v>
      </c>
      <c r="E70" s="15">
        <v>2</v>
      </c>
      <c r="F70" s="13">
        <v>131206</v>
      </c>
      <c r="G70" s="15">
        <f>0+'táj.2.'!G70</f>
        <v>0</v>
      </c>
      <c r="H70" s="15">
        <f>0+'táj.2.'!H70</f>
        <v>0</v>
      </c>
      <c r="I70" s="15">
        <f>0+'táj.2.'!I70</f>
        <v>0</v>
      </c>
      <c r="J70" s="15">
        <f>0+'táj.2.'!J70</f>
        <v>0</v>
      </c>
      <c r="K70" s="15">
        <f>900+'táj.2.'!K70</f>
        <v>900</v>
      </c>
      <c r="L70" s="15">
        <f>0+'táj.2.'!L70</f>
        <v>0</v>
      </c>
      <c r="M70" s="15">
        <f>0+'táj.2.'!M70</f>
        <v>0</v>
      </c>
      <c r="N70" s="15">
        <f>0+'táj.2.'!N70</f>
        <v>0</v>
      </c>
      <c r="O70" s="15">
        <f>0+'táj.2.'!O70</f>
        <v>0</v>
      </c>
      <c r="P70" s="15">
        <f>0+'táj.2.'!P70</f>
        <v>0</v>
      </c>
      <c r="Q70" s="15">
        <f t="shared" si="3"/>
        <v>900</v>
      </c>
    </row>
    <row r="71" spans="1:17" ht="12" customHeight="1">
      <c r="A71" s="13"/>
      <c r="B71" s="13"/>
      <c r="C71" s="205"/>
      <c r="D71" s="116" t="s">
        <v>1207</v>
      </c>
      <c r="E71" s="15">
        <v>2</v>
      </c>
      <c r="F71" s="13">
        <v>131209</v>
      </c>
      <c r="G71" s="15">
        <f>66+'táj.2.'!G71</f>
        <v>66</v>
      </c>
      <c r="H71" s="15">
        <f>25+'táj.2.'!H71</f>
        <v>25</v>
      </c>
      <c r="I71" s="15">
        <f>938+'táj.2.'!I71</f>
        <v>1238</v>
      </c>
      <c r="J71" s="15">
        <f>0+'táj.2.'!J71</f>
        <v>0</v>
      </c>
      <c r="K71" s="15">
        <f>300+'táj.2.'!K71</f>
        <v>300</v>
      </c>
      <c r="L71" s="15">
        <f>0+'táj.2.'!L71</f>
        <v>0</v>
      </c>
      <c r="M71" s="15">
        <f>0+'táj.2.'!M71</f>
        <v>0</v>
      </c>
      <c r="N71" s="15">
        <f>0+'táj.2.'!N71</f>
        <v>0</v>
      </c>
      <c r="O71" s="15">
        <f>0+'táj.2.'!O71</f>
        <v>0</v>
      </c>
      <c r="P71" s="15">
        <f>0+'táj.2.'!P71</f>
        <v>0</v>
      </c>
      <c r="Q71" s="15">
        <f t="shared" si="3"/>
        <v>1629</v>
      </c>
    </row>
    <row r="72" spans="1:17" ht="26.25" customHeight="1">
      <c r="A72" s="13"/>
      <c r="B72" s="13"/>
      <c r="C72" s="205"/>
      <c r="D72" s="204" t="s">
        <v>305</v>
      </c>
      <c r="E72" s="15">
        <v>2</v>
      </c>
      <c r="F72" s="13">
        <v>131210</v>
      </c>
      <c r="G72" s="15"/>
      <c r="H72" s="15"/>
      <c r="I72" s="15"/>
      <c r="J72" s="15"/>
      <c r="K72" s="15">
        <f>500+'táj.2.'!K72</f>
        <v>500</v>
      </c>
      <c r="L72" s="15"/>
      <c r="M72" s="15"/>
      <c r="N72" s="15"/>
      <c r="O72" s="15"/>
      <c r="P72" s="15"/>
      <c r="Q72" s="15">
        <f t="shared" si="3"/>
        <v>500</v>
      </c>
    </row>
    <row r="73" spans="1:17" ht="12" customHeight="1">
      <c r="A73" s="13"/>
      <c r="B73" s="13"/>
      <c r="C73" s="205"/>
      <c r="D73" s="16" t="s">
        <v>1060</v>
      </c>
      <c r="E73" s="15"/>
      <c r="F73" s="13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" customHeight="1">
      <c r="A74" s="13"/>
      <c r="B74" s="13"/>
      <c r="C74" s="205"/>
      <c r="D74" s="116" t="s">
        <v>1070</v>
      </c>
      <c r="E74" s="15">
        <v>2</v>
      </c>
      <c r="F74" s="13">
        <v>131101</v>
      </c>
      <c r="G74" s="15">
        <f>0+'táj.2.'!G74</f>
        <v>0</v>
      </c>
      <c r="H74" s="15">
        <f>0+'táj.2.'!H74</f>
        <v>0</v>
      </c>
      <c r="I74" s="15">
        <f>0+'táj.2.'!I74</f>
        <v>0</v>
      </c>
      <c r="J74" s="15">
        <f>15000+'táj.2.'!J74</f>
        <v>15000</v>
      </c>
      <c r="K74" s="15">
        <f>0+'táj.2.'!K74</f>
        <v>0</v>
      </c>
      <c r="L74" s="15">
        <f>0+'táj.2.'!L74</f>
        <v>0</v>
      </c>
      <c r="M74" s="15">
        <f>0+'táj.2.'!M74</f>
        <v>0</v>
      </c>
      <c r="N74" s="15">
        <f>0+'táj.2.'!N74</f>
        <v>0</v>
      </c>
      <c r="O74" s="15">
        <f>0+'táj.2.'!O74</f>
        <v>0</v>
      </c>
      <c r="P74" s="15">
        <f>0+'táj.2.'!P74</f>
        <v>0</v>
      </c>
      <c r="Q74" s="15">
        <f>SUM(G74:P74)</f>
        <v>15000</v>
      </c>
    </row>
    <row r="75" spans="1:17" ht="12" customHeight="1">
      <c r="A75" s="13"/>
      <c r="B75" s="13"/>
      <c r="C75" s="205"/>
      <c r="D75" s="116" t="s">
        <v>6</v>
      </c>
      <c r="E75" s="15"/>
      <c r="F75" s="13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" customHeight="1">
      <c r="A76" s="13"/>
      <c r="B76" s="13"/>
      <c r="C76" s="205"/>
      <c r="D76" s="16" t="s">
        <v>7</v>
      </c>
      <c r="E76" s="15">
        <v>2</v>
      </c>
      <c r="F76" s="13">
        <v>131120</v>
      </c>
      <c r="G76" s="15">
        <f>102+'táj.2.'!G76</f>
        <v>102</v>
      </c>
      <c r="H76" s="15">
        <f>52+'táj.2.'!H76</f>
        <v>52</v>
      </c>
      <c r="I76" s="15">
        <f>587+'táj.2.'!I76</f>
        <v>587</v>
      </c>
      <c r="J76" s="15">
        <f>0+'táj.2.'!J76</f>
        <v>0</v>
      </c>
      <c r="K76" s="15">
        <f>0+'táj.2.'!K76</f>
        <v>0</v>
      </c>
      <c r="L76" s="15">
        <f>0+'táj.2.'!L76</f>
        <v>0</v>
      </c>
      <c r="M76" s="15">
        <f>0+'táj.2.'!M76</f>
        <v>0</v>
      </c>
      <c r="N76" s="15">
        <f>0+'táj.2.'!N76</f>
        <v>0</v>
      </c>
      <c r="O76" s="15">
        <f>0+'táj.2.'!O76</f>
        <v>0</v>
      </c>
      <c r="P76" s="15">
        <f>0+'táj.2.'!P76</f>
        <v>0</v>
      </c>
      <c r="Q76" s="15">
        <f>SUM(G76:P76)</f>
        <v>741</v>
      </c>
    </row>
    <row r="77" spans="1:17" ht="12" customHeight="1">
      <c r="A77" s="13"/>
      <c r="B77" s="13"/>
      <c r="C77" s="205"/>
      <c r="D77" s="16" t="s">
        <v>416</v>
      </c>
      <c r="E77" s="337"/>
      <c r="F77" s="2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" customHeight="1">
      <c r="A78" s="13"/>
      <c r="B78" s="13"/>
      <c r="C78" s="205"/>
      <c r="D78" s="16" t="s">
        <v>1208</v>
      </c>
      <c r="E78" s="15">
        <v>1</v>
      </c>
      <c r="F78" s="13">
        <v>131303</v>
      </c>
      <c r="G78" s="15">
        <f>0+'táj.2.'!G78</f>
        <v>0</v>
      </c>
      <c r="H78" s="15">
        <f>0+'táj.2.'!H78</f>
        <v>0</v>
      </c>
      <c r="I78" s="15">
        <f>1600+'táj.2.'!I78</f>
        <v>1600</v>
      </c>
      <c r="J78" s="15">
        <f>0+'táj.2.'!J78</f>
        <v>0</v>
      </c>
      <c r="K78" s="15">
        <f>1900+'táj.2.'!K78</f>
        <v>1500</v>
      </c>
      <c r="L78" s="15">
        <f>0+'táj.2.'!L78</f>
        <v>0</v>
      </c>
      <c r="M78" s="15">
        <f>0+'táj.2.'!M78</f>
        <v>0</v>
      </c>
      <c r="N78" s="15">
        <f>0+'táj.2.'!N78</f>
        <v>0</v>
      </c>
      <c r="O78" s="15">
        <f>0+'táj.2.'!O78</f>
        <v>0</v>
      </c>
      <c r="P78" s="15">
        <f>0+'táj.2.'!P78</f>
        <v>0</v>
      </c>
      <c r="Q78" s="15">
        <f aca="true" t="shared" si="4" ref="Q78:Q96">SUM(G78:P78)</f>
        <v>3100</v>
      </c>
    </row>
    <row r="79" spans="1:17" ht="12" customHeight="1">
      <c r="A79" s="13"/>
      <c r="B79" s="13"/>
      <c r="C79" s="205"/>
      <c r="D79" s="16" t="s">
        <v>8</v>
      </c>
      <c r="E79" s="15">
        <v>2</v>
      </c>
      <c r="F79" s="13">
        <v>131302</v>
      </c>
      <c r="G79" s="15">
        <f>0+'táj.2.'!G79</f>
        <v>0</v>
      </c>
      <c r="H79" s="15">
        <f>0+'táj.2.'!H79</f>
        <v>0</v>
      </c>
      <c r="I79" s="15">
        <f>0+'táj.2.'!I79</f>
        <v>0</v>
      </c>
      <c r="J79" s="15">
        <f>0+'táj.2.'!J79</f>
        <v>0</v>
      </c>
      <c r="K79" s="15">
        <f>360+'táj.2.'!K79</f>
        <v>360</v>
      </c>
      <c r="L79" s="15">
        <f>0+'táj.2.'!L79</f>
        <v>0</v>
      </c>
      <c r="M79" s="15">
        <f>0+'táj.2.'!M79</f>
        <v>0</v>
      </c>
      <c r="N79" s="15">
        <f>0+'táj.2.'!N79</f>
        <v>0</v>
      </c>
      <c r="O79" s="15">
        <f>0+'táj.2.'!O79</f>
        <v>0</v>
      </c>
      <c r="P79" s="15">
        <f>0+'táj.2.'!P79</f>
        <v>0</v>
      </c>
      <c r="Q79" s="15">
        <f t="shared" si="4"/>
        <v>360</v>
      </c>
    </row>
    <row r="80" spans="1:17" ht="12" customHeight="1">
      <c r="A80" s="13"/>
      <c r="B80" s="13"/>
      <c r="C80" s="205"/>
      <c r="D80" s="16" t="s">
        <v>39</v>
      </c>
      <c r="E80" s="15">
        <v>2</v>
      </c>
      <c r="F80" s="13">
        <v>131305</v>
      </c>
      <c r="G80" s="15">
        <f>0+'táj.2.'!G80</f>
        <v>0</v>
      </c>
      <c r="H80" s="15">
        <f>0+'táj.2.'!H80</f>
        <v>0</v>
      </c>
      <c r="I80" s="15">
        <f>0+'táj.2.'!I80</f>
        <v>0</v>
      </c>
      <c r="J80" s="15">
        <f>0+'táj.2.'!J80</f>
        <v>0</v>
      </c>
      <c r="K80" s="15">
        <f>900+'táj.2.'!K80</f>
        <v>900</v>
      </c>
      <c r="L80" s="15">
        <f>0+'táj.2.'!L80</f>
        <v>0</v>
      </c>
      <c r="M80" s="15">
        <f>0+'táj.2.'!M80</f>
        <v>0</v>
      </c>
      <c r="N80" s="15">
        <f>0+'táj.2.'!N80</f>
        <v>0</v>
      </c>
      <c r="O80" s="15">
        <f>0+'táj.2.'!O80</f>
        <v>0</v>
      </c>
      <c r="P80" s="15">
        <f>0+'táj.2.'!P80</f>
        <v>0</v>
      </c>
      <c r="Q80" s="15">
        <f t="shared" si="4"/>
        <v>900</v>
      </c>
    </row>
    <row r="81" spans="1:17" ht="13.5" customHeight="1">
      <c r="A81" s="13"/>
      <c r="B81" s="13"/>
      <c r="C81" s="205"/>
      <c r="D81" s="178" t="s">
        <v>40</v>
      </c>
      <c r="E81" s="15">
        <v>2</v>
      </c>
      <c r="F81" s="13">
        <v>131325</v>
      </c>
      <c r="G81" s="15">
        <f>0+'táj.2.'!G81</f>
        <v>0</v>
      </c>
      <c r="H81" s="15">
        <f>0+'táj.2.'!H81</f>
        <v>0</v>
      </c>
      <c r="I81" s="15">
        <f>616+'táj.2.'!I81</f>
        <v>616</v>
      </c>
      <c r="J81" s="15">
        <f>0+'táj.2.'!J81</f>
        <v>0</v>
      </c>
      <c r="K81" s="15">
        <f>0+'táj.2.'!K81</f>
        <v>0</v>
      </c>
      <c r="L81" s="15">
        <f>0+'táj.2.'!L81</f>
        <v>0</v>
      </c>
      <c r="M81" s="15">
        <f>0+'táj.2.'!M81</f>
        <v>0</v>
      </c>
      <c r="N81" s="15">
        <f>0+'táj.2.'!N81</f>
        <v>0</v>
      </c>
      <c r="O81" s="15">
        <f>0+'táj.2.'!O81</f>
        <v>0</v>
      </c>
      <c r="P81" s="15">
        <f>0+'táj.2.'!P81</f>
        <v>0</v>
      </c>
      <c r="Q81" s="15">
        <f t="shared" si="4"/>
        <v>616</v>
      </c>
    </row>
    <row r="82" spans="1:17" ht="24" customHeight="1">
      <c r="A82" s="13"/>
      <c r="B82" s="13"/>
      <c r="C82" s="205"/>
      <c r="D82" s="178" t="s">
        <v>41</v>
      </c>
      <c r="E82" s="15">
        <v>2</v>
      </c>
      <c r="F82" s="13">
        <v>131308</v>
      </c>
      <c r="G82" s="15">
        <f>0+'táj.2.'!G82</f>
        <v>0</v>
      </c>
      <c r="H82" s="15">
        <f>0+'táj.2.'!H82</f>
        <v>0</v>
      </c>
      <c r="I82" s="15">
        <f>0+'táj.2.'!I82</f>
        <v>0</v>
      </c>
      <c r="J82" s="15">
        <f>0+'táj.2.'!J82</f>
        <v>0</v>
      </c>
      <c r="K82" s="15">
        <f>6000+'táj.2.'!K82</f>
        <v>6000</v>
      </c>
      <c r="L82" s="15">
        <f>0+'táj.2.'!L82</f>
        <v>0</v>
      </c>
      <c r="M82" s="15">
        <f>0+'táj.2.'!M82</f>
        <v>0</v>
      </c>
      <c r="N82" s="15">
        <f>0+'táj.2.'!N82</f>
        <v>0</v>
      </c>
      <c r="O82" s="15">
        <f>0+'táj.2.'!O82</f>
        <v>0</v>
      </c>
      <c r="P82" s="15">
        <f>0+'táj.2.'!P82</f>
        <v>0</v>
      </c>
      <c r="Q82" s="15">
        <f t="shared" si="4"/>
        <v>6000</v>
      </c>
    </row>
    <row r="83" spans="1:17" ht="13.5" customHeight="1">
      <c r="A83" s="13"/>
      <c r="B83" s="13"/>
      <c r="C83" s="205"/>
      <c r="D83" s="178" t="s">
        <v>42</v>
      </c>
      <c r="E83" s="15">
        <v>2</v>
      </c>
      <c r="F83" s="13">
        <v>131505</v>
      </c>
      <c r="G83" s="15">
        <f>0+'táj.2.'!G83</f>
        <v>0</v>
      </c>
      <c r="H83" s="15">
        <f>0+'táj.2.'!H83</f>
        <v>0</v>
      </c>
      <c r="I83" s="15">
        <f>600+'táj.2.'!I83</f>
        <v>600</v>
      </c>
      <c r="J83" s="15">
        <f>0+'táj.2.'!J83</f>
        <v>0</v>
      </c>
      <c r="K83" s="15">
        <f>0+'táj.2.'!K83</f>
        <v>0</v>
      </c>
      <c r="L83" s="15">
        <f>0+'táj.2.'!L83</f>
        <v>0</v>
      </c>
      <c r="M83" s="15">
        <f>0+'táj.2.'!M83</f>
        <v>0</v>
      </c>
      <c r="N83" s="15">
        <f>0+'táj.2.'!N83</f>
        <v>0</v>
      </c>
      <c r="O83" s="15">
        <f>0+'táj.2.'!O83</f>
        <v>0</v>
      </c>
      <c r="P83" s="15">
        <f>0+'táj.2.'!P83</f>
        <v>0</v>
      </c>
      <c r="Q83" s="15">
        <f t="shared" si="4"/>
        <v>600</v>
      </c>
    </row>
    <row r="84" spans="1:17" ht="12" customHeight="1">
      <c r="A84" s="13"/>
      <c r="B84" s="13"/>
      <c r="C84" s="205"/>
      <c r="D84" s="16" t="s">
        <v>43</v>
      </c>
      <c r="E84" s="15">
        <v>2</v>
      </c>
      <c r="F84" s="13">
        <v>131306</v>
      </c>
      <c r="G84" s="15">
        <f>0+'táj.2.'!G84</f>
        <v>0</v>
      </c>
      <c r="H84" s="15">
        <f>0+'táj.2.'!H84</f>
        <v>0</v>
      </c>
      <c r="I84" s="15">
        <f>0+'táj.2.'!I84</f>
        <v>0</v>
      </c>
      <c r="J84" s="15">
        <f>0+'táj.2.'!J84</f>
        <v>0</v>
      </c>
      <c r="K84" s="15">
        <f>540+'táj.2.'!K84</f>
        <v>540</v>
      </c>
      <c r="L84" s="15">
        <f>0+'táj.2.'!L84</f>
        <v>0</v>
      </c>
      <c r="M84" s="15">
        <f>0+'táj.2.'!M84</f>
        <v>0</v>
      </c>
      <c r="N84" s="15">
        <f>0+'táj.2.'!N84</f>
        <v>0</v>
      </c>
      <c r="O84" s="15">
        <f>0+'táj.2.'!O84</f>
        <v>0</v>
      </c>
      <c r="P84" s="15">
        <f>0+'táj.2.'!P84</f>
        <v>0</v>
      </c>
      <c r="Q84" s="15">
        <f t="shared" si="4"/>
        <v>540</v>
      </c>
    </row>
    <row r="85" spans="1:17" ht="12" customHeight="1">
      <c r="A85" s="13"/>
      <c r="B85" s="13"/>
      <c r="C85" s="205"/>
      <c r="D85" s="178" t="s">
        <v>44</v>
      </c>
      <c r="E85" s="15">
        <v>2</v>
      </c>
      <c r="F85" s="13">
        <v>131321</v>
      </c>
      <c r="G85" s="15">
        <f>0+'táj.2.'!G85</f>
        <v>0</v>
      </c>
      <c r="H85" s="15">
        <f>0+'táj.2.'!H85</f>
        <v>0</v>
      </c>
      <c r="I85" s="15">
        <f>0+'táj.2.'!I85</f>
        <v>0</v>
      </c>
      <c r="J85" s="15">
        <f>0+'táj.2.'!J85</f>
        <v>0</v>
      </c>
      <c r="K85" s="15">
        <f>52500+'táj.2.'!K85</f>
        <v>52500</v>
      </c>
      <c r="L85" s="15">
        <f>0+'táj.2.'!L85</f>
        <v>0</v>
      </c>
      <c r="M85" s="15">
        <f>0+'táj.2.'!M85</f>
        <v>0</v>
      </c>
      <c r="N85" s="15">
        <f>0+'táj.2.'!N85</f>
        <v>0</v>
      </c>
      <c r="O85" s="15">
        <f>0+'táj.2.'!O85</f>
        <v>0</v>
      </c>
      <c r="P85" s="15">
        <f>0+'táj.2.'!P85</f>
        <v>0</v>
      </c>
      <c r="Q85" s="15">
        <f t="shared" si="4"/>
        <v>52500</v>
      </c>
    </row>
    <row r="86" spans="1:17" ht="12" customHeight="1">
      <c r="A86" s="13"/>
      <c r="B86" s="13"/>
      <c r="C86" s="205"/>
      <c r="D86" s="204" t="s">
        <v>45</v>
      </c>
      <c r="E86" s="15">
        <v>2</v>
      </c>
      <c r="F86" s="13">
        <v>131501</v>
      </c>
      <c r="G86" s="15">
        <f>0+'táj.2.'!G86</f>
        <v>0</v>
      </c>
      <c r="H86" s="15">
        <f>0+'táj.2.'!H86</f>
        <v>0</v>
      </c>
      <c r="I86" s="15">
        <f>0+'táj.2.'!I86</f>
        <v>0</v>
      </c>
      <c r="J86" s="15">
        <f>0+'táj.2.'!J86</f>
        <v>0</v>
      </c>
      <c r="K86" s="15">
        <f>300+'táj.2.'!K86</f>
        <v>300</v>
      </c>
      <c r="L86" s="15">
        <f>0+'táj.2.'!L86</f>
        <v>0</v>
      </c>
      <c r="M86" s="15">
        <f>0+'táj.2.'!M86</f>
        <v>0</v>
      </c>
      <c r="N86" s="15">
        <f>0+'táj.2.'!N86</f>
        <v>0</v>
      </c>
      <c r="O86" s="15">
        <f>0+'táj.2.'!O86</f>
        <v>0</v>
      </c>
      <c r="P86" s="15">
        <f>0+'táj.2.'!P86</f>
        <v>0</v>
      </c>
      <c r="Q86" s="15">
        <f t="shared" si="4"/>
        <v>300</v>
      </c>
    </row>
    <row r="87" spans="1:17" ht="12" customHeight="1">
      <c r="A87" s="13"/>
      <c r="B87" s="13"/>
      <c r="C87" s="205"/>
      <c r="D87" s="204" t="s">
        <v>46</v>
      </c>
      <c r="E87" s="15">
        <v>2</v>
      </c>
      <c r="F87" s="13">
        <v>131307</v>
      </c>
      <c r="G87" s="15">
        <f>0+'táj.2.'!G87</f>
        <v>0</v>
      </c>
      <c r="H87" s="15">
        <f>0+'táj.2.'!H87</f>
        <v>0</v>
      </c>
      <c r="I87" s="15">
        <f>0+'táj.2.'!I87</f>
        <v>0</v>
      </c>
      <c r="J87" s="15">
        <f>0+'táj.2.'!J87</f>
        <v>0</v>
      </c>
      <c r="K87" s="15">
        <f>720+'táj.2.'!K87</f>
        <v>720</v>
      </c>
      <c r="L87" s="15">
        <f>0+'táj.2.'!L87</f>
        <v>0</v>
      </c>
      <c r="M87" s="15">
        <f>0+'táj.2.'!M87</f>
        <v>0</v>
      </c>
      <c r="N87" s="15">
        <f>0+'táj.2.'!N87</f>
        <v>0</v>
      </c>
      <c r="O87" s="15">
        <f>0+'táj.2.'!O87</f>
        <v>0</v>
      </c>
      <c r="P87" s="15">
        <f>0+'táj.2.'!P87</f>
        <v>0</v>
      </c>
      <c r="Q87" s="15">
        <f t="shared" si="4"/>
        <v>720</v>
      </c>
    </row>
    <row r="88" spans="1:17" ht="12" customHeight="1">
      <c r="A88" s="13"/>
      <c r="B88" s="13"/>
      <c r="C88" s="205"/>
      <c r="D88" s="178" t="s">
        <v>363</v>
      </c>
      <c r="E88" s="15">
        <v>1</v>
      </c>
      <c r="F88" s="13">
        <v>131322</v>
      </c>
      <c r="G88" s="15">
        <f>0+'táj.2.'!G88</f>
        <v>0</v>
      </c>
      <c r="H88" s="15">
        <f>0+'táj.2.'!H88</f>
        <v>0</v>
      </c>
      <c r="I88" s="15">
        <f>67+'táj.2.'!I88</f>
        <v>67</v>
      </c>
      <c r="J88" s="15">
        <f>0+'táj.2.'!J88</f>
        <v>0</v>
      </c>
      <c r="K88" s="15">
        <f>0+'táj.2.'!K88</f>
        <v>0</v>
      </c>
      <c r="L88" s="15">
        <f>0+'táj.2.'!L88</f>
        <v>0</v>
      </c>
      <c r="M88" s="15">
        <f>0+'táj.2.'!M88</f>
        <v>0</v>
      </c>
      <c r="N88" s="15">
        <f>0+'táj.2.'!N88</f>
        <v>0</v>
      </c>
      <c r="O88" s="15">
        <f>0+'táj.2.'!O88</f>
        <v>0</v>
      </c>
      <c r="P88" s="15">
        <f>0+'táj.2.'!P88</f>
        <v>0</v>
      </c>
      <c r="Q88" s="15">
        <f t="shared" si="4"/>
        <v>67</v>
      </c>
    </row>
    <row r="89" spans="1:17" ht="12" customHeight="1">
      <c r="A89" s="13"/>
      <c r="B89" s="13"/>
      <c r="C89" s="205"/>
      <c r="D89" s="178" t="s">
        <v>47</v>
      </c>
      <c r="E89" s="15">
        <v>2</v>
      </c>
      <c r="F89" s="13">
        <v>131323</v>
      </c>
      <c r="G89" s="15">
        <f>0+'táj.2.'!G89</f>
        <v>0</v>
      </c>
      <c r="H89" s="15">
        <f>0+'táj.2.'!H89</f>
        <v>0</v>
      </c>
      <c r="I89" s="15">
        <f>0+'táj.2.'!I89</f>
        <v>0</v>
      </c>
      <c r="J89" s="15">
        <f>0+'táj.2.'!J89</f>
        <v>0</v>
      </c>
      <c r="K89" s="15">
        <f>950+'táj.2.'!K89</f>
        <v>950</v>
      </c>
      <c r="L89" s="15">
        <f>0+'táj.2.'!L89</f>
        <v>0</v>
      </c>
      <c r="M89" s="15">
        <f>0+'táj.2.'!M89</f>
        <v>0</v>
      </c>
      <c r="N89" s="15">
        <f>0+'táj.2.'!N89</f>
        <v>0</v>
      </c>
      <c r="O89" s="15">
        <f>0+'táj.2.'!O89</f>
        <v>0</v>
      </c>
      <c r="P89" s="15">
        <f>0+'táj.2.'!P89</f>
        <v>0</v>
      </c>
      <c r="Q89" s="15">
        <f t="shared" si="4"/>
        <v>950</v>
      </c>
    </row>
    <row r="90" spans="1:17" ht="12" customHeight="1">
      <c r="A90" s="13"/>
      <c r="B90" s="13"/>
      <c r="C90" s="205"/>
      <c r="D90" s="204" t="s">
        <v>48</v>
      </c>
      <c r="E90" s="15">
        <v>2</v>
      </c>
      <c r="F90" s="13">
        <v>131326</v>
      </c>
      <c r="G90" s="15">
        <f>0+'táj.2.'!G90</f>
        <v>0</v>
      </c>
      <c r="H90" s="15">
        <f>0+'táj.2.'!H90</f>
        <v>0</v>
      </c>
      <c r="I90" s="15">
        <f>0+'táj.2.'!I90</f>
        <v>0</v>
      </c>
      <c r="J90" s="15">
        <f>0+'táj.2.'!J90</f>
        <v>0</v>
      </c>
      <c r="K90" s="15">
        <f>1200+'táj.2.'!K90</f>
        <v>1200</v>
      </c>
      <c r="L90" s="15">
        <f>0+'táj.2.'!L90</f>
        <v>0</v>
      </c>
      <c r="M90" s="15">
        <f>0+'táj.2.'!M90</f>
        <v>0</v>
      </c>
      <c r="N90" s="15">
        <f>0+'táj.2.'!N90</f>
        <v>0</v>
      </c>
      <c r="O90" s="15">
        <f>0+'táj.2.'!O90</f>
        <v>0</v>
      </c>
      <c r="P90" s="15">
        <f>0+'táj.2.'!P90</f>
        <v>0</v>
      </c>
      <c r="Q90" s="15">
        <f t="shared" si="4"/>
        <v>1200</v>
      </c>
    </row>
    <row r="91" spans="1:17" ht="12" customHeight="1">
      <c r="A91" s="13"/>
      <c r="B91" s="13"/>
      <c r="C91" s="205"/>
      <c r="D91" s="204" t="s">
        <v>49</v>
      </c>
      <c r="E91" s="15">
        <v>2</v>
      </c>
      <c r="F91" s="13">
        <v>131314</v>
      </c>
      <c r="G91" s="15">
        <f>0+'táj.2.'!G91</f>
        <v>0</v>
      </c>
      <c r="H91" s="15">
        <f>0+'táj.2.'!H91</f>
        <v>0</v>
      </c>
      <c r="I91" s="15">
        <f>0+'táj.2.'!I91</f>
        <v>0</v>
      </c>
      <c r="J91" s="15">
        <f>0+'táj.2.'!J91</f>
        <v>0</v>
      </c>
      <c r="K91" s="15">
        <f>1800+'táj.2.'!K91</f>
        <v>1800</v>
      </c>
      <c r="L91" s="15">
        <f>0+'táj.2.'!L91</f>
        <v>0</v>
      </c>
      <c r="M91" s="15">
        <f>0+'táj.2.'!M91</f>
        <v>0</v>
      </c>
      <c r="N91" s="15">
        <f>0+'táj.2.'!N91</f>
        <v>0</v>
      </c>
      <c r="O91" s="15">
        <f>0+'táj.2.'!O91</f>
        <v>0</v>
      </c>
      <c r="P91" s="15">
        <f>0+'táj.2.'!P91</f>
        <v>0</v>
      </c>
      <c r="Q91" s="15">
        <f t="shared" si="4"/>
        <v>1800</v>
      </c>
    </row>
    <row r="92" spans="1:17" ht="12" customHeight="1">
      <c r="A92" s="13"/>
      <c r="B92" s="13"/>
      <c r="C92" s="205"/>
      <c r="D92" s="204" t="s">
        <v>50</v>
      </c>
      <c r="E92" s="15">
        <v>2</v>
      </c>
      <c r="F92" s="13">
        <v>131335</v>
      </c>
      <c r="G92" s="15">
        <f>0+'táj.2.'!G92</f>
        <v>0</v>
      </c>
      <c r="H92" s="15">
        <f>0+'táj.2.'!H92</f>
        <v>0</v>
      </c>
      <c r="I92" s="15">
        <f>0+'táj.2.'!I92</f>
        <v>0</v>
      </c>
      <c r="J92" s="15">
        <f>0+'táj.2.'!J92</f>
        <v>0</v>
      </c>
      <c r="K92" s="15">
        <f>0+'táj.2.'!K92</f>
        <v>0</v>
      </c>
      <c r="L92" s="15">
        <f>0+'táj.2.'!L92</f>
        <v>0</v>
      </c>
      <c r="M92" s="15">
        <f>0+'táj.2.'!M92</f>
        <v>0</v>
      </c>
      <c r="N92" s="15">
        <f>0+'táj.2.'!N92</f>
        <v>0</v>
      </c>
      <c r="O92" s="15">
        <f>0+'táj.2.'!O92</f>
        <v>0</v>
      </c>
      <c r="P92" s="15">
        <f>0+'táj.2.'!P92</f>
        <v>0</v>
      </c>
      <c r="Q92" s="15">
        <f t="shared" si="4"/>
        <v>0</v>
      </c>
    </row>
    <row r="93" spans="1:17" ht="12" customHeight="1">
      <c r="A93" s="13"/>
      <c r="B93" s="13"/>
      <c r="C93" s="205"/>
      <c r="D93" s="204" t="s">
        <v>51</v>
      </c>
      <c r="E93" s="15">
        <v>2</v>
      </c>
      <c r="F93" s="13">
        <v>131336</v>
      </c>
      <c r="G93" s="15">
        <f>0+'táj.2.'!G93</f>
        <v>0</v>
      </c>
      <c r="H93" s="15">
        <f>0+'táj.2.'!H93</f>
        <v>0</v>
      </c>
      <c r="I93" s="15">
        <f>0+'táj.2.'!I93</f>
        <v>0</v>
      </c>
      <c r="J93" s="15">
        <f>0+'táj.2.'!J93</f>
        <v>0</v>
      </c>
      <c r="K93" s="15">
        <f>721+'táj.2.'!K93</f>
        <v>721</v>
      </c>
      <c r="L93" s="15">
        <f>0+'táj.2.'!L93</f>
        <v>0</v>
      </c>
      <c r="M93" s="15">
        <f>0+'táj.2.'!M93</f>
        <v>0</v>
      </c>
      <c r="N93" s="15">
        <f>0+'táj.2.'!N93</f>
        <v>0</v>
      </c>
      <c r="O93" s="15">
        <f>0+'táj.2.'!O93</f>
        <v>0</v>
      </c>
      <c r="P93" s="15">
        <f>0+'táj.2.'!P93</f>
        <v>0</v>
      </c>
      <c r="Q93" s="15">
        <f t="shared" si="4"/>
        <v>721</v>
      </c>
    </row>
    <row r="94" spans="1:17" ht="12" customHeight="1">
      <c r="A94" s="13"/>
      <c r="B94" s="13"/>
      <c r="C94" s="205"/>
      <c r="D94" s="204" t="s">
        <v>52</v>
      </c>
      <c r="E94" s="15">
        <v>2</v>
      </c>
      <c r="F94" s="13">
        <v>131337</v>
      </c>
      <c r="G94" s="15">
        <f>0+'táj.2.'!G94</f>
        <v>0</v>
      </c>
      <c r="H94" s="15">
        <f>0+'táj.2.'!H94</f>
        <v>0</v>
      </c>
      <c r="I94" s="15">
        <f>0+'táj.2.'!I94</f>
        <v>0</v>
      </c>
      <c r="J94" s="15">
        <f>0+'táj.2.'!J94</f>
        <v>0</v>
      </c>
      <c r="K94" s="15">
        <f>500+'táj.2.'!K94</f>
        <v>500</v>
      </c>
      <c r="L94" s="15">
        <f>0+'táj.2.'!L94</f>
        <v>0</v>
      </c>
      <c r="M94" s="15">
        <f>0+'táj.2.'!M94</f>
        <v>0</v>
      </c>
      <c r="N94" s="15">
        <f>0+'táj.2.'!N94</f>
        <v>0</v>
      </c>
      <c r="O94" s="15">
        <f>0+'táj.2.'!O94</f>
        <v>0</v>
      </c>
      <c r="P94" s="15">
        <f>0+'táj.2.'!P94</f>
        <v>0</v>
      </c>
      <c r="Q94" s="15">
        <f t="shared" si="4"/>
        <v>500</v>
      </c>
    </row>
    <row r="95" spans="1:17" ht="12" customHeight="1">
      <c r="A95" s="13"/>
      <c r="B95" s="13"/>
      <c r="C95" s="205"/>
      <c r="D95" s="204" t="s">
        <v>53</v>
      </c>
      <c r="E95" s="15">
        <v>2</v>
      </c>
      <c r="F95" s="13">
        <v>131338</v>
      </c>
      <c r="G95" s="15">
        <f>0+'táj.2.'!G95</f>
        <v>0</v>
      </c>
      <c r="H95" s="15">
        <f>0+'táj.2.'!H95</f>
        <v>0</v>
      </c>
      <c r="I95" s="15">
        <f>0+'táj.2.'!I95</f>
        <v>0</v>
      </c>
      <c r="J95" s="15">
        <f>0+'táj.2.'!J95</f>
        <v>0</v>
      </c>
      <c r="K95" s="15">
        <f>2500+'táj.2.'!K95</f>
        <v>2500</v>
      </c>
      <c r="L95" s="15">
        <f>0+'táj.2.'!L95</f>
        <v>0</v>
      </c>
      <c r="M95" s="15">
        <f>0+'táj.2.'!M95</f>
        <v>0</v>
      </c>
      <c r="N95" s="15">
        <f>0+'táj.2.'!N95</f>
        <v>0</v>
      </c>
      <c r="O95" s="15">
        <f>0+'táj.2.'!O95</f>
        <v>0</v>
      </c>
      <c r="P95" s="15">
        <f>0+'táj.2.'!P95</f>
        <v>0</v>
      </c>
      <c r="Q95" s="15">
        <f t="shared" si="4"/>
        <v>2500</v>
      </c>
    </row>
    <row r="96" spans="1:17" ht="12" customHeight="1">
      <c r="A96" s="13"/>
      <c r="B96" s="13"/>
      <c r="C96" s="205"/>
      <c r="D96" s="204" t="s">
        <v>54</v>
      </c>
      <c r="E96" s="15">
        <v>2</v>
      </c>
      <c r="F96" s="13">
        <v>131339</v>
      </c>
      <c r="G96" s="15">
        <f>0+'táj.2.'!G96</f>
        <v>0</v>
      </c>
      <c r="H96" s="15">
        <f>0+'táj.2.'!H96</f>
        <v>0</v>
      </c>
      <c r="I96" s="15">
        <f>0+'táj.2.'!I96</f>
        <v>0</v>
      </c>
      <c r="J96" s="15">
        <f>0+'táj.2.'!J96</f>
        <v>0</v>
      </c>
      <c r="K96" s="15">
        <f>500+'táj.2.'!K96</f>
        <v>1300</v>
      </c>
      <c r="L96" s="15">
        <f>0+'táj.2.'!L96</f>
        <v>0</v>
      </c>
      <c r="M96" s="15">
        <f>0+'táj.2.'!M96</f>
        <v>0</v>
      </c>
      <c r="N96" s="15">
        <f>0+'táj.2.'!N96</f>
        <v>0</v>
      </c>
      <c r="O96" s="15">
        <f>0+'táj.2.'!O96</f>
        <v>0</v>
      </c>
      <c r="P96" s="15">
        <f>0+'táj.2.'!P96</f>
        <v>0</v>
      </c>
      <c r="Q96" s="15">
        <f t="shared" si="4"/>
        <v>1300</v>
      </c>
    </row>
    <row r="97" spans="1:17" ht="12" customHeight="1">
      <c r="A97" s="13"/>
      <c r="B97" s="13"/>
      <c r="C97" s="205"/>
      <c r="D97" s="16" t="s">
        <v>55</v>
      </c>
      <c r="E97" s="337"/>
      <c r="F97" s="23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24.75" customHeight="1">
      <c r="A98" s="13"/>
      <c r="B98" s="13"/>
      <c r="C98" s="205"/>
      <c r="D98" s="178" t="s">
        <v>56</v>
      </c>
      <c r="E98" s="337">
        <v>2</v>
      </c>
      <c r="F98" s="23">
        <v>131401</v>
      </c>
      <c r="G98" s="15">
        <f>0+'táj.2.'!G98</f>
        <v>0</v>
      </c>
      <c r="H98" s="15">
        <f>0+'táj.2.'!H98</f>
        <v>0</v>
      </c>
      <c r="I98" s="15">
        <f>0+'táj.2.'!I98</f>
        <v>0</v>
      </c>
      <c r="J98" s="15">
        <f>0+'táj.2.'!J98</f>
        <v>0</v>
      </c>
      <c r="K98" s="15">
        <f>2250+'táj.2.'!K98</f>
        <v>2250</v>
      </c>
      <c r="L98" s="15">
        <f>0+'táj.2.'!L98</f>
        <v>0</v>
      </c>
      <c r="M98" s="15">
        <f>0+'táj.2.'!M98</f>
        <v>0</v>
      </c>
      <c r="N98" s="15">
        <f>0+'táj.2.'!N98</f>
        <v>0</v>
      </c>
      <c r="O98" s="15">
        <f>0+'táj.2.'!O98</f>
        <v>0</v>
      </c>
      <c r="P98" s="15">
        <f>0+'táj.2.'!P98</f>
        <v>0</v>
      </c>
      <c r="Q98" s="15">
        <f aca="true" t="shared" si="5" ref="Q98:Q104">SUM(G98:P98)</f>
        <v>2250</v>
      </c>
    </row>
    <row r="99" spans="1:17" ht="12" customHeight="1">
      <c r="A99" s="13"/>
      <c r="B99" s="13"/>
      <c r="C99" s="355"/>
      <c r="D99" s="356" t="s">
        <v>57</v>
      </c>
      <c r="E99" s="337">
        <v>2</v>
      </c>
      <c r="F99" s="23">
        <v>131402</v>
      </c>
      <c r="G99" s="15">
        <f>0+'táj.2.'!G99</f>
        <v>0</v>
      </c>
      <c r="H99" s="15">
        <f>0+'táj.2.'!H99</f>
        <v>0</v>
      </c>
      <c r="I99" s="15">
        <f>0+'táj.2.'!I99</f>
        <v>0</v>
      </c>
      <c r="J99" s="15">
        <f>0+'táj.2.'!J99</f>
        <v>0</v>
      </c>
      <c r="K99" s="15">
        <f>5000+'táj.2.'!K99</f>
        <v>5000</v>
      </c>
      <c r="L99" s="15">
        <f>0+'táj.2.'!L99</f>
        <v>0</v>
      </c>
      <c r="M99" s="15">
        <f>0+'táj.2.'!M99</f>
        <v>0</v>
      </c>
      <c r="N99" s="15">
        <f>0+'táj.2.'!N99</f>
        <v>0</v>
      </c>
      <c r="O99" s="15">
        <f>0+'táj.2.'!O99</f>
        <v>0</v>
      </c>
      <c r="P99" s="15">
        <f>0+'táj.2.'!P99</f>
        <v>0</v>
      </c>
      <c r="Q99" s="15">
        <f t="shared" si="5"/>
        <v>5000</v>
      </c>
    </row>
    <row r="100" spans="1:17" ht="12" customHeight="1">
      <c r="A100" s="13"/>
      <c r="B100" s="13"/>
      <c r="C100" s="205"/>
      <c r="D100" s="16" t="s">
        <v>58</v>
      </c>
      <c r="E100" s="337">
        <v>2</v>
      </c>
      <c r="F100" s="23">
        <v>131403</v>
      </c>
      <c r="G100" s="15">
        <f>0+'táj.2.'!G100</f>
        <v>0</v>
      </c>
      <c r="H100" s="15">
        <f>0+'táj.2.'!H100</f>
        <v>0</v>
      </c>
      <c r="I100" s="15">
        <f>0+'táj.2.'!I100</f>
        <v>0</v>
      </c>
      <c r="J100" s="15">
        <f>0+'táj.2.'!J100</f>
        <v>0</v>
      </c>
      <c r="K100" s="15">
        <f>10000+'táj.2.'!K100</f>
        <v>10000</v>
      </c>
      <c r="L100" s="15">
        <f>0+'táj.2.'!L100</f>
        <v>0</v>
      </c>
      <c r="M100" s="15">
        <f>0+'táj.2.'!M100</f>
        <v>0</v>
      </c>
      <c r="N100" s="15">
        <f>0+'táj.2.'!N100</f>
        <v>0</v>
      </c>
      <c r="O100" s="15">
        <f>0+'táj.2.'!O100</f>
        <v>0</v>
      </c>
      <c r="P100" s="15">
        <f>0+'táj.2.'!P100</f>
        <v>0</v>
      </c>
      <c r="Q100" s="15">
        <f t="shared" si="5"/>
        <v>10000</v>
      </c>
    </row>
    <row r="101" spans="1:17" ht="12" customHeight="1">
      <c r="A101" s="13"/>
      <c r="B101" s="13"/>
      <c r="C101" s="205"/>
      <c r="D101" s="16" t="s">
        <v>59</v>
      </c>
      <c r="E101" s="337">
        <v>2</v>
      </c>
      <c r="F101" s="23">
        <v>131404</v>
      </c>
      <c r="G101" s="15">
        <f>0+'táj.2.'!G101</f>
        <v>0</v>
      </c>
      <c r="H101" s="15">
        <f>0+'táj.2.'!H101</f>
        <v>0</v>
      </c>
      <c r="I101" s="15">
        <f>0+'táj.2.'!I101</f>
        <v>0</v>
      </c>
      <c r="J101" s="15">
        <f>0+'táj.2.'!J101</f>
        <v>0</v>
      </c>
      <c r="K101" s="15">
        <f>5800+'táj.2.'!K101</f>
        <v>5800</v>
      </c>
      <c r="L101" s="15">
        <f>0+'táj.2.'!L101</f>
        <v>0</v>
      </c>
      <c r="M101" s="15">
        <f>0+'táj.2.'!M101</f>
        <v>0</v>
      </c>
      <c r="N101" s="15">
        <f>0+'táj.2.'!N101</f>
        <v>0</v>
      </c>
      <c r="O101" s="15">
        <f>0+'táj.2.'!O101</f>
        <v>0</v>
      </c>
      <c r="P101" s="15">
        <f>0+'táj.2.'!P101</f>
        <v>0</v>
      </c>
      <c r="Q101" s="15">
        <f t="shared" si="5"/>
        <v>5800</v>
      </c>
    </row>
    <row r="102" spans="1:17" ht="12" customHeight="1">
      <c r="A102" s="13"/>
      <c r="B102" s="13"/>
      <c r="C102" s="205"/>
      <c r="D102" s="16" t="s">
        <v>60</v>
      </c>
      <c r="E102" s="337">
        <v>2</v>
      </c>
      <c r="F102" s="23">
        <v>131330</v>
      </c>
      <c r="G102" s="15">
        <f>0+'táj.2.'!G102</f>
        <v>0</v>
      </c>
      <c r="H102" s="15">
        <f>0+'táj.2.'!H102</f>
        <v>0</v>
      </c>
      <c r="I102" s="15">
        <f>0+'táj.2.'!I102</f>
        <v>0</v>
      </c>
      <c r="J102" s="15">
        <f>0+'táj.2.'!J102</f>
        <v>0</v>
      </c>
      <c r="K102" s="15">
        <f>2700+'táj.2.'!K102</f>
        <v>2700</v>
      </c>
      <c r="L102" s="15">
        <f>0+'táj.2.'!L102</f>
        <v>0</v>
      </c>
      <c r="M102" s="15">
        <f>0+'táj.2.'!M102</f>
        <v>0</v>
      </c>
      <c r="N102" s="15">
        <f>0+'táj.2.'!N102</f>
        <v>0</v>
      </c>
      <c r="O102" s="15">
        <f>0+'táj.2.'!O102</f>
        <v>0</v>
      </c>
      <c r="P102" s="15">
        <f>0+'táj.2.'!P102</f>
        <v>0</v>
      </c>
      <c r="Q102" s="15">
        <f t="shared" si="5"/>
        <v>2700</v>
      </c>
    </row>
    <row r="103" spans="1:17" ht="12" customHeight="1">
      <c r="A103" s="13"/>
      <c r="B103" s="13"/>
      <c r="C103" s="205"/>
      <c r="D103" s="16" t="s">
        <v>61</v>
      </c>
      <c r="E103" s="337">
        <v>2</v>
      </c>
      <c r="F103" s="23">
        <v>131507</v>
      </c>
      <c r="G103" s="15">
        <f>0+'táj.2.'!G103</f>
        <v>0</v>
      </c>
      <c r="H103" s="15">
        <f>0+'táj.2.'!H103</f>
        <v>0</v>
      </c>
      <c r="I103" s="15">
        <f>0+'táj.2.'!I103</f>
        <v>0</v>
      </c>
      <c r="J103" s="15">
        <f>0+'táj.2.'!J103</f>
        <v>0</v>
      </c>
      <c r="K103" s="15">
        <f>2500+'táj.2.'!K103</f>
        <v>2500</v>
      </c>
      <c r="L103" s="15">
        <f>0+'táj.2.'!L103</f>
        <v>0</v>
      </c>
      <c r="M103" s="15">
        <f>0+'táj.2.'!M103</f>
        <v>0</v>
      </c>
      <c r="N103" s="15">
        <f>0+'táj.2.'!N103</f>
        <v>0</v>
      </c>
      <c r="O103" s="15">
        <f>0+'táj.2.'!O103</f>
        <v>0</v>
      </c>
      <c r="P103" s="15">
        <f>0+'táj.2.'!P103</f>
        <v>0</v>
      </c>
      <c r="Q103" s="15">
        <f t="shared" si="5"/>
        <v>2500</v>
      </c>
    </row>
    <row r="104" spans="1:17" ht="12" customHeight="1">
      <c r="A104" s="13"/>
      <c r="B104" s="13"/>
      <c r="C104" s="205"/>
      <c r="D104" s="16" t="s">
        <v>967</v>
      </c>
      <c r="E104" s="337">
        <v>2</v>
      </c>
      <c r="F104" s="23">
        <v>171943</v>
      </c>
      <c r="G104" s="15"/>
      <c r="H104" s="15"/>
      <c r="I104" s="15"/>
      <c r="J104" s="15"/>
      <c r="K104" s="15">
        <f>400+'táj.2.'!K104</f>
        <v>400</v>
      </c>
      <c r="L104" s="15"/>
      <c r="M104" s="15"/>
      <c r="N104" s="15"/>
      <c r="O104" s="15"/>
      <c r="P104" s="15"/>
      <c r="Q104" s="15">
        <f t="shared" si="5"/>
        <v>400</v>
      </c>
    </row>
    <row r="105" spans="1:17" ht="15" customHeight="1">
      <c r="A105" s="13"/>
      <c r="B105" s="13"/>
      <c r="C105" s="205"/>
      <c r="D105" s="204" t="s">
        <v>62</v>
      </c>
      <c r="E105" s="353"/>
      <c r="F105" s="65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2.75" customHeight="1">
      <c r="A106" s="13"/>
      <c r="B106" s="13"/>
      <c r="C106" s="205"/>
      <c r="D106" s="204" t="s">
        <v>63</v>
      </c>
      <c r="E106" s="315">
        <v>2</v>
      </c>
      <c r="F106" s="653">
        <v>131502</v>
      </c>
      <c r="G106" s="15">
        <f>0+'táj.2.'!G106</f>
        <v>0</v>
      </c>
      <c r="H106" s="15">
        <f>0+'táj.2.'!H106</f>
        <v>0</v>
      </c>
      <c r="I106" s="15">
        <f>0+'táj.2.'!I106</f>
        <v>0</v>
      </c>
      <c r="J106" s="15">
        <f>600+'táj.2.'!J106</f>
        <v>600</v>
      </c>
      <c r="K106" s="15">
        <f>0+'táj.2.'!K106</f>
        <v>0</v>
      </c>
      <c r="L106" s="15">
        <f>0+'táj.2.'!L106</f>
        <v>0</v>
      </c>
      <c r="M106" s="15">
        <f>0+'táj.2.'!M106</f>
        <v>0</v>
      </c>
      <c r="N106" s="15">
        <f>0+'táj.2.'!N106</f>
        <v>0</v>
      </c>
      <c r="O106" s="15">
        <f>0+'táj.2.'!O106</f>
        <v>0</v>
      </c>
      <c r="P106" s="15">
        <f>0+'táj.2.'!P106</f>
        <v>0</v>
      </c>
      <c r="Q106" s="15">
        <f>SUM(G106:P106)</f>
        <v>600</v>
      </c>
    </row>
    <row r="107" spans="1:17" ht="12.75" customHeight="1">
      <c r="A107" s="13"/>
      <c r="B107" s="13"/>
      <c r="C107" s="205"/>
      <c r="D107" s="204" t="s">
        <v>35</v>
      </c>
      <c r="E107" s="315">
        <v>2</v>
      </c>
      <c r="F107" s="653">
        <v>131301</v>
      </c>
      <c r="G107" s="15">
        <f>0+'táj.2.'!G107</f>
        <v>0</v>
      </c>
      <c r="H107" s="15">
        <f>0+'táj.2.'!H107</f>
        <v>0</v>
      </c>
      <c r="I107" s="15">
        <f>50+'táj.2.'!I107</f>
        <v>50</v>
      </c>
      <c r="J107" s="15">
        <f>0+'táj.2.'!J107</f>
        <v>0</v>
      </c>
      <c r="K107" s="15">
        <f>4400+'táj.2.'!K107</f>
        <v>4400</v>
      </c>
      <c r="L107" s="15">
        <f>0+'táj.2.'!L107</f>
        <v>0</v>
      </c>
      <c r="M107" s="15">
        <f>0+'táj.2.'!M107</f>
        <v>0</v>
      </c>
      <c r="N107" s="15">
        <f>0+'táj.2.'!N107</f>
        <v>0</v>
      </c>
      <c r="O107" s="15">
        <f>0+'táj.2.'!O107</f>
        <v>0</v>
      </c>
      <c r="P107" s="15">
        <f>0+'táj.2.'!P107</f>
        <v>0</v>
      </c>
      <c r="Q107" s="15">
        <f>SUM(G107:P107)</f>
        <v>4450</v>
      </c>
    </row>
    <row r="108" spans="1:17" ht="12.75" customHeight="1">
      <c r="A108" s="13"/>
      <c r="B108" s="13"/>
      <c r="C108" s="205"/>
      <c r="D108" s="204" t="s">
        <v>192</v>
      </c>
      <c r="E108" s="315"/>
      <c r="F108" s="6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2.75" customHeight="1">
      <c r="A109" s="13"/>
      <c r="B109" s="13"/>
      <c r="C109" s="205"/>
      <c r="D109" s="204" t="s">
        <v>193</v>
      </c>
      <c r="E109" s="315">
        <v>2</v>
      </c>
      <c r="F109" s="653">
        <v>131320</v>
      </c>
      <c r="G109" s="15">
        <f>0+'táj.2.'!G109</f>
        <v>0</v>
      </c>
      <c r="H109" s="15">
        <f>0+'táj.2.'!H109</f>
        <v>0</v>
      </c>
      <c r="I109" s="15">
        <f>0+'táj.2.'!I109</f>
        <v>0</v>
      </c>
      <c r="J109" s="15">
        <f>0+'táj.2.'!J109</f>
        <v>0</v>
      </c>
      <c r="K109" s="15">
        <f>0+'táj.2.'!K109</f>
        <v>500</v>
      </c>
      <c r="L109" s="15">
        <f>0+'táj.2.'!L109</f>
        <v>0</v>
      </c>
      <c r="M109" s="15">
        <f>0+'táj.2.'!M109</f>
        <v>0</v>
      </c>
      <c r="N109" s="15">
        <f>0+'táj.2.'!N109</f>
        <v>0</v>
      </c>
      <c r="O109" s="15">
        <f>0+'táj.2.'!O109</f>
        <v>0</v>
      </c>
      <c r="P109" s="15">
        <f>0+'táj.2.'!P109</f>
        <v>0</v>
      </c>
      <c r="Q109" s="15">
        <f>SUM(G109:P109)</f>
        <v>500</v>
      </c>
    </row>
    <row r="110" spans="1:17" ht="15" customHeight="1">
      <c r="A110" s="13"/>
      <c r="B110" s="13"/>
      <c r="C110" s="205"/>
      <c r="D110" s="357" t="s">
        <v>479</v>
      </c>
      <c r="E110" s="358"/>
      <c r="F110" s="65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" customHeight="1">
      <c r="A111" s="13"/>
      <c r="B111" s="13"/>
      <c r="C111" s="205"/>
      <c r="D111" s="16" t="s">
        <v>1209</v>
      </c>
      <c r="E111" s="337"/>
      <c r="F111" s="23"/>
      <c r="G111" s="15"/>
      <c r="H111" s="15"/>
      <c r="I111" s="15"/>
      <c r="J111" s="342"/>
      <c r="K111" s="15"/>
      <c r="L111" s="342"/>
      <c r="M111" s="342"/>
      <c r="N111" s="342"/>
      <c r="O111" s="342"/>
      <c r="P111" s="342"/>
      <c r="Q111" s="9"/>
    </row>
    <row r="112" spans="1:17" ht="15" customHeight="1">
      <c r="A112" s="13"/>
      <c r="B112" s="13"/>
      <c r="C112" s="205"/>
      <c r="D112" s="16" t="s">
        <v>1210</v>
      </c>
      <c r="E112" s="15">
        <v>2</v>
      </c>
      <c r="F112" s="13">
        <v>131701</v>
      </c>
      <c r="G112" s="15">
        <f>0+'táj.2.'!G112</f>
        <v>0</v>
      </c>
      <c r="H112" s="15">
        <f>0+'táj.2.'!H112</f>
        <v>0</v>
      </c>
      <c r="I112" s="15">
        <f>950+'táj.2.'!I112</f>
        <v>900</v>
      </c>
      <c r="J112" s="15">
        <f>0+'táj.2.'!J112</f>
        <v>0</v>
      </c>
      <c r="K112" s="15">
        <f>100+'táj.2.'!K112</f>
        <v>100</v>
      </c>
      <c r="L112" s="15">
        <f>0+'táj.2.'!L112</f>
        <v>0</v>
      </c>
      <c r="M112" s="15">
        <f>0+'táj.2.'!M112</f>
        <v>0</v>
      </c>
      <c r="N112" s="15">
        <f>0+'táj.2.'!N112</f>
        <v>0</v>
      </c>
      <c r="O112" s="15">
        <f>0+'táj.2.'!O112</f>
        <v>0</v>
      </c>
      <c r="P112" s="15">
        <f>0+'táj.2.'!P112</f>
        <v>0</v>
      </c>
      <c r="Q112" s="9">
        <f>SUM(G112:P112)</f>
        <v>1000</v>
      </c>
    </row>
    <row r="113" spans="1:17" ht="15" customHeight="1">
      <c r="A113" s="13"/>
      <c r="B113" s="13"/>
      <c r="C113" s="205"/>
      <c r="D113" s="16" t="s">
        <v>55</v>
      </c>
      <c r="E113" s="274"/>
      <c r="F113" s="655"/>
      <c r="G113" s="15"/>
      <c r="H113" s="15"/>
      <c r="I113" s="15"/>
      <c r="J113" s="342"/>
      <c r="K113" s="15"/>
      <c r="L113" s="342"/>
      <c r="M113" s="342"/>
      <c r="N113" s="342"/>
      <c r="O113" s="342"/>
      <c r="P113" s="342"/>
      <c r="Q113" s="9"/>
    </row>
    <row r="114" spans="1:17" ht="15" customHeight="1">
      <c r="A114" s="13"/>
      <c r="B114" s="13"/>
      <c r="C114" s="205"/>
      <c r="D114" s="178" t="s">
        <v>64</v>
      </c>
      <c r="E114" s="359">
        <v>2</v>
      </c>
      <c r="F114" s="653">
        <v>131708</v>
      </c>
      <c r="G114" s="15">
        <f>0+'táj.2.'!G114</f>
        <v>0</v>
      </c>
      <c r="H114" s="15">
        <f>0+'táj.2.'!H114</f>
        <v>0</v>
      </c>
      <c r="I114" s="15">
        <f>0+'táj.2.'!I114</f>
        <v>0</v>
      </c>
      <c r="J114" s="15">
        <f>0+'táj.2.'!J114</f>
        <v>0</v>
      </c>
      <c r="K114" s="15">
        <f>1000+'táj.2.'!K114</f>
        <v>1000</v>
      </c>
      <c r="L114" s="15">
        <f>0+'táj.2.'!L114</f>
        <v>0</v>
      </c>
      <c r="M114" s="15">
        <f>0+'táj.2.'!M114</f>
        <v>0</v>
      </c>
      <c r="N114" s="15">
        <f>0+'táj.2.'!N114</f>
        <v>0</v>
      </c>
      <c r="O114" s="15">
        <f>0+'táj.2.'!O114</f>
        <v>0</v>
      </c>
      <c r="P114" s="15">
        <f>0+'táj.2.'!P114</f>
        <v>0</v>
      </c>
      <c r="Q114" s="9">
        <f>SUM(G114:P114)</f>
        <v>1000</v>
      </c>
    </row>
    <row r="115" spans="1:17" ht="15" customHeight="1">
      <c r="A115" s="13"/>
      <c r="B115" s="13"/>
      <c r="C115" s="205"/>
      <c r="D115" s="12" t="s">
        <v>65</v>
      </c>
      <c r="E115" s="337"/>
      <c r="F115" s="23"/>
      <c r="G115" s="15"/>
      <c r="H115" s="15"/>
      <c r="I115" s="15"/>
      <c r="J115" s="342"/>
      <c r="K115" s="15"/>
      <c r="L115" s="342"/>
      <c r="M115" s="342"/>
      <c r="N115" s="342"/>
      <c r="O115" s="342"/>
      <c r="P115" s="342"/>
      <c r="Q115" s="9"/>
    </row>
    <row r="116" spans="1:17" ht="15" customHeight="1">
      <c r="A116" s="13"/>
      <c r="B116" s="13"/>
      <c r="C116" s="205"/>
      <c r="D116" s="12" t="s">
        <v>66</v>
      </c>
      <c r="E116" s="337">
        <v>1</v>
      </c>
      <c r="F116" s="23">
        <v>131703</v>
      </c>
      <c r="G116" s="15">
        <f>0+'táj.2.'!G116</f>
        <v>0</v>
      </c>
      <c r="H116" s="15">
        <f>0+'táj.2.'!H116</f>
        <v>0</v>
      </c>
      <c r="I116" s="15">
        <f>21528+'táj.2.'!I116</f>
        <v>21528</v>
      </c>
      <c r="J116" s="15">
        <f>0+'táj.2.'!J116</f>
        <v>0</v>
      </c>
      <c r="K116" s="15">
        <f>0+'táj.2.'!K116</f>
        <v>0</v>
      </c>
      <c r="L116" s="15">
        <f>0+'táj.2.'!L116</f>
        <v>0</v>
      </c>
      <c r="M116" s="15">
        <f>0+'táj.2.'!M116</f>
        <v>0</v>
      </c>
      <c r="N116" s="15">
        <f>0+'táj.2.'!N116</f>
        <v>0</v>
      </c>
      <c r="O116" s="15">
        <f>0+'táj.2.'!O116</f>
        <v>0</v>
      </c>
      <c r="P116" s="15">
        <f>0+'táj.2.'!P116</f>
        <v>0</v>
      </c>
      <c r="Q116" s="9">
        <f>SUM(G116:P116)</f>
        <v>21528</v>
      </c>
    </row>
    <row r="117" spans="1:17" ht="15" customHeight="1">
      <c r="A117" s="13"/>
      <c r="B117" s="13"/>
      <c r="C117" s="205"/>
      <c r="D117" s="116" t="s">
        <v>67</v>
      </c>
      <c r="E117" s="337">
        <v>1</v>
      </c>
      <c r="F117" s="23">
        <v>121319</v>
      </c>
      <c r="G117" s="15">
        <f>0+'táj.2.'!G117</f>
        <v>0</v>
      </c>
      <c r="H117" s="15">
        <f>0+'táj.2.'!H117</f>
        <v>0</v>
      </c>
      <c r="I117" s="15">
        <f>2465+'táj.2.'!I117</f>
        <v>2465</v>
      </c>
      <c r="J117" s="15">
        <f>0+'táj.2.'!J117</f>
        <v>0</v>
      </c>
      <c r="K117" s="15">
        <f>0+'táj.2.'!K117</f>
        <v>0</v>
      </c>
      <c r="L117" s="15">
        <f>0+'táj.2.'!L117</f>
        <v>0</v>
      </c>
      <c r="M117" s="15">
        <f>0+'táj.2.'!M117</f>
        <v>0</v>
      </c>
      <c r="N117" s="15">
        <f>0+'táj.2.'!N117</f>
        <v>0</v>
      </c>
      <c r="O117" s="15">
        <f>0+'táj.2.'!O117</f>
        <v>0</v>
      </c>
      <c r="P117" s="15">
        <f>0+'táj.2.'!P117</f>
        <v>0</v>
      </c>
      <c r="Q117" s="9">
        <f>SUM(G117:P117)</f>
        <v>2465</v>
      </c>
    </row>
    <row r="118" spans="1:17" ht="27" customHeight="1">
      <c r="A118" s="13"/>
      <c r="B118" s="13"/>
      <c r="C118" s="205"/>
      <c r="D118" s="273" t="s">
        <v>1211</v>
      </c>
      <c r="E118" s="15"/>
      <c r="F118" s="13"/>
      <c r="G118" s="15"/>
      <c r="H118" s="15"/>
      <c r="I118" s="9"/>
      <c r="J118" s="9"/>
      <c r="K118" s="187"/>
      <c r="L118" s="338"/>
      <c r="M118" s="338"/>
      <c r="N118" s="338"/>
      <c r="O118" s="338"/>
      <c r="P118" s="339"/>
      <c r="Q118" s="9"/>
    </row>
    <row r="119" spans="1:17" ht="24.75" customHeight="1">
      <c r="A119" s="13"/>
      <c r="B119" s="13"/>
      <c r="C119" s="205"/>
      <c r="D119" s="273" t="s">
        <v>68</v>
      </c>
      <c r="E119" s="15">
        <v>2</v>
      </c>
      <c r="F119" s="13">
        <v>131506</v>
      </c>
      <c r="G119" s="15">
        <f>0+'táj.2.'!G119</f>
        <v>211</v>
      </c>
      <c r="H119" s="15">
        <f>0+'táj.2.'!H119</f>
        <v>0</v>
      </c>
      <c r="I119" s="15">
        <f>1700+'táj.2.'!I119</f>
        <v>1089</v>
      </c>
      <c r="J119" s="15">
        <f>0+'táj.2.'!J119</f>
        <v>0</v>
      </c>
      <c r="K119" s="15">
        <f>0+'táj.2.'!K119</f>
        <v>0</v>
      </c>
      <c r="L119" s="15">
        <f>0+'táj.2.'!L119</f>
        <v>0</v>
      </c>
      <c r="M119" s="15">
        <f>0+'táj.2.'!M119</f>
        <v>0</v>
      </c>
      <c r="N119" s="15">
        <f>0+'táj.2.'!N119</f>
        <v>0</v>
      </c>
      <c r="O119" s="15">
        <f>0+'táj.2.'!O119</f>
        <v>0</v>
      </c>
      <c r="P119" s="15">
        <f>0+'táj.2.'!P119</f>
        <v>0</v>
      </c>
      <c r="Q119" s="9">
        <f>SUM(G119:P119)</f>
        <v>1300</v>
      </c>
    </row>
    <row r="120" spans="1:17" ht="15" customHeight="1">
      <c r="A120" s="13"/>
      <c r="B120" s="13"/>
      <c r="C120" s="205"/>
      <c r="D120" s="16" t="s">
        <v>69</v>
      </c>
      <c r="E120" s="15"/>
      <c r="F120" s="13"/>
      <c r="G120" s="15"/>
      <c r="H120" s="15"/>
      <c r="I120" s="9"/>
      <c r="J120" s="9"/>
      <c r="K120" s="187"/>
      <c r="L120" s="338"/>
      <c r="M120" s="338"/>
      <c r="N120" s="338"/>
      <c r="O120" s="338"/>
      <c r="P120" s="339"/>
      <c r="Q120" s="9"/>
    </row>
    <row r="121" spans="1:17" ht="15" customHeight="1">
      <c r="A121" s="13"/>
      <c r="B121" s="13"/>
      <c r="C121" s="205"/>
      <c r="D121" s="16" t="s">
        <v>70</v>
      </c>
      <c r="E121" s="15">
        <v>2</v>
      </c>
      <c r="F121" s="13">
        <v>131707</v>
      </c>
      <c r="G121" s="15">
        <f>0+'táj.2.'!G121</f>
        <v>0</v>
      </c>
      <c r="H121" s="15">
        <f>0+'táj.2.'!H121</f>
        <v>0</v>
      </c>
      <c r="I121" s="15">
        <f>0+'táj.2.'!I121</f>
        <v>0</v>
      </c>
      <c r="J121" s="15">
        <f>0+'táj.2.'!J121</f>
        <v>0</v>
      </c>
      <c r="K121" s="15">
        <f>11500+'táj.2.'!K121</f>
        <v>11500</v>
      </c>
      <c r="L121" s="15">
        <f>0+'táj.2.'!L121</f>
        <v>0</v>
      </c>
      <c r="M121" s="15">
        <f>0+'táj.2.'!M121</f>
        <v>0</v>
      </c>
      <c r="N121" s="15">
        <f>0+'táj.2.'!N121</f>
        <v>0</v>
      </c>
      <c r="O121" s="15">
        <f>0+'táj.2.'!O121</f>
        <v>0</v>
      </c>
      <c r="P121" s="15">
        <f>0+'táj.2.'!P121</f>
        <v>0</v>
      </c>
      <c r="Q121" s="9">
        <f>SUM(G121:P121)</f>
        <v>11500</v>
      </c>
    </row>
    <row r="122" spans="1:17" ht="16.5" customHeight="1">
      <c r="A122" s="13"/>
      <c r="B122" s="13"/>
      <c r="C122" s="205"/>
      <c r="D122" s="178" t="s">
        <v>1212</v>
      </c>
      <c r="E122" s="360"/>
      <c r="F122" s="656"/>
      <c r="G122" s="15"/>
      <c r="H122" s="15"/>
      <c r="I122" s="15"/>
      <c r="J122" s="342"/>
      <c r="K122" s="15"/>
      <c r="L122" s="342"/>
      <c r="M122" s="342"/>
      <c r="N122" s="342"/>
      <c r="O122" s="342"/>
      <c r="P122" s="15"/>
      <c r="Q122" s="9"/>
    </row>
    <row r="123" spans="1:17" ht="15" customHeight="1">
      <c r="A123" s="13"/>
      <c r="B123" s="13"/>
      <c r="C123" s="205"/>
      <c r="D123" s="16" t="s">
        <v>71</v>
      </c>
      <c r="E123" s="361">
        <v>2</v>
      </c>
      <c r="F123" s="23">
        <v>131706</v>
      </c>
      <c r="G123" s="15">
        <f>0+'táj.2.'!G123</f>
        <v>3</v>
      </c>
      <c r="H123" s="15">
        <f>0+'táj.2.'!H123</f>
        <v>0</v>
      </c>
      <c r="I123" s="15">
        <f>800+'táj.2.'!I123</f>
        <v>1147</v>
      </c>
      <c r="J123" s="15">
        <f>0+'táj.2.'!J123</f>
        <v>0</v>
      </c>
      <c r="K123" s="15">
        <f>100+'táj.2.'!K123</f>
        <v>0</v>
      </c>
      <c r="L123" s="15">
        <f>0+'táj.2.'!L123</f>
        <v>0</v>
      </c>
      <c r="M123" s="15">
        <f>0+'táj.2.'!M123</f>
        <v>0</v>
      </c>
      <c r="N123" s="15">
        <f>0+'táj.2.'!N123</f>
        <v>0</v>
      </c>
      <c r="O123" s="15">
        <f>0+'táj.2.'!O123</f>
        <v>0</v>
      </c>
      <c r="P123" s="15">
        <f>0+'táj.2.'!P123</f>
        <v>0</v>
      </c>
      <c r="Q123" s="9">
        <f>SUM(G123:P123)</f>
        <v>1150</v>
      </c>
    </row>
    <row r="124" spans="1:17" ht="15" customHeight="1">
      <c r="A124" s="13"/>
      <c r="B124" s="13"/>
      <c r="C124" s="205"/>
      <c r="D124" s="16" t="s">
        <v>72</v>
      </c>
      <c r="E124" s="361">
        <v>2</v>
      </c>
      <c r="F124" s="23">
        <v>121517</v>
      </c>
      <c r="G124" s="15">
        <f>0+'táj.2.'!G124</f>
        <v>0</v>
      </c>
      <c r="H124" s="15">
        <f>0+'táj.2.'!H124</f>
        <v>0</v>
      </c>
      <c r="I124" s="15">
        <f>0+'táj.2.'!I124</f>
        <v>0</v>
      </c>
      <c r="J124" s="15">
        <f>0+'táj.2.'!J124</f>
        <v>0</v>
      </c>
      <c r="K124" s="15">
        <f>1570+'táj.2.'!K124</f>
        <v>1570</v>
      </c>
      <c r="L124" s="15">
        <f>0+'táj.2.'!L124</f>
        <v>0</v>
      </c>
      <c r="M124" s="15">
        <f>0+'táj.2.'!M124</f>
        <v>0</v>
      </c>
      <c r="N124" s="15">
        <f>0+'táj.2.'!N124</f>
        <v>0</v>
      </c>
      <c r="O124" s="15">
        <f>0+'táj.2.'!O124</f>
        <v>0</v>
      </c>
      <c r="P124" s="15">
        <f>0+'táj.2.'!P124</f>
        <v>0</v>
      </c>
      <c r="Q124" s="9">
        <f>SUM(G124:P124)</f>
        <v>1570</v>
      </c>
    </row>
    <row r="125" spans="1:17" ht="39.75" customHeight="1">
      <c r="A125" s="13"/>
      <c r="B125" s="13"/>
      <c r="C125" s="205"/>
      <c r="D125" s="731" t="s">
        <v>1062</v>
      </c>
      <c r="E125" s="361"/>
      <c r="F125" s="23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9"/>
    </row>
    <row r="126" spans="1:17" ht="15" customHeight="1">
      <c r="A126" s="13"/>
      <c r="B126" s="13"/>
      <c r="C126" s="205"/>
      <c r="D126" s="56" t="s">
        <v>1061</v>
      </c>
      <c r="E126" s="361">
        <v>2</v>
      </c>
      <c r="F126" s="23">
        <v>131709</v>
      </c>
      <c r="G126" s="15">
        <f>2737+'táj.2.'!G126</f>
        <v>2737</v>
      </c>
      <c r="H126" s="15">
        <f>739+'táj.2.'!H126</f>
        <v>739</v>
      </c>
      <c r="I126" s="15">
        <f>25764+'táj.2.'!I126</f>
        <v>25084</v>
      </c>
      <c r="J126" s="15">
        <f>0+'táj.2.'!J126</f>
        <v>0</v>
      </c>
      <c r="K126" s="15">
        <f>0+'táj.2.'!K126</f>
        <v>0</v>
      </c>
      <c r="L126" s="15">
        <f>0+'táj.2.'!L126</f>
        <v>680</v>
      </c>
      <c r="M126" s="15">
        <f>0+'táj.2.'!M126</f>
        <v>0</v>
      </c>
      <c r="N126" s="15">
        <f>0+'táj.2.'!N126</f>
        <v>0</v>
      </c>
      <c r="O126" s="15">
        <f>0+'táj.2.'!O126</f>
        <v>0</v>
      </c>
      <c r="P126" s="15">
        <f>0+'táj.2.'!P126</f>
        <v>0</v>
      </c>
      <c r="Q126" s="9">
        <f>SUM(G126:P126)</f>
        <v>29240</v>
      </c>
    </row>
    <row r="127" spans="1:17" ht="15" customHeight="1">
      <c r="A127" s="13"/>
      <c r="B127" s="13"/>
      <c r="C127" s="205"/>
      <c r="D127" s="202" t="s">
        <v>819</v>
      </c>
      <c r="E127" s="617"/>
      <c r="F127" s="23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9"/>
    </row>
    <row r="128" spans="1:17" ht="15" customHeight="1">
      <c r="A128" s="13"/>
      <c r="B128" s="13"/>
      <c r="C128" s="205"/>
      <c r="D128" s="202" t="s">
        <v>820</v>
      </c>
      <c r="E128" s="737">
        <v>2</v>
      </c>
      <c r="F128" s="23">
        <v>121513</v>
      </c>
      <c r="G128" s="15">
        <f>0+'táj.2.'!G128</f>
        <v>0</v>
      </c>
      <c r="H128" s="15">
        <f>0+'táj.2.'!H128</f>
        <v>0</v>
      </c>
      <c r="I128" s="15">
        <f>5829+'táj.2.'!I128</f>
        <v>5829</v>
      </c>
      <c r="J128" s="15">
        <f>0+'táj.2.'!J128</f>
        <v>0</v>
      </c>
      <c r="K128" s="15">
        <f>0+'táj.2.'!K128</f>
        <v>0</v>
      </c>
      <c r="L128" s="15">
        <f>0+'táj.2.'!L128</f>
        <v>0</v>
      </c>
      <c r="M128" s="15">
        <f>0+'táj.2.'!M128</f>
        <v>0</v>
      </c>
      <c r="N128" s="15">
        <f>0+'táj.2.'!N128</f>
        <v>0</v>
      </c>
      <c r="O128" s="15">
        <f>0+'táj.2.'!O128</f>
        <v>0</v>
      </c>
      <c r="P128" s="15">
        <f>0+'táj.2.'!P128</f>
        <v>0</v>
      </c>
      <c r="Q128" s="9">
        <f>SUM(G128:P128)</f>
        <v>5829</v>
      </c>
    </row>
    <row r="129" spans="1:17" ht="15" customHeight="1">
      <c r="A129" s="13"/>
      <c r="B129" s="13"/>
      <c r="C129" s="205"/>
      <c r="D129" s="357" t="s">
        <v>775</v>
      </c>
      <c r="E129" s="15"/>
      <c r="F129" s="13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" customHeight="1">
      <c r="A130" s="13"/>
      <c r="B130" s="13"/>
      <c r="C130" s="205"/>
      <c r="D130" s="116" t="s">
        <v>1213</v>
      </c>
      <c r="E130" s="337"/>
      <c r="F130" s="23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" customHeight="1">
      <c r="A131" s="13"/>
      <c r="B131" s="13"/>
      <c r="C131" s="205"/>
      <c r="D131" s="16" t="s">
        <v>73</v>
      </c>
      <c r="E131" s="15">
        <v>2</v>
      </c>
      <c r="F131" s="13">
        <v>131803</v>
      </c>
      <c r="G131" s="15">
        <f>0+'táj.2.'!G131</f>
        <v>0</v>
      </c>
      <c r="H131" s="15">
        <f>0+'táj.2.'!H131</f>
        <v>0</v>
      </c>
      <c r="I131" s="15">
        <f>0+'táj.2.'!I131</f>
        <v>0</v>
      </c>
      <c r="J131" s="15">
        <f>0+'táj.2.'!J131</f>
        <v>0</v>
      </c>
      <c r="K131" s="15">
        <f>150485+'táj.2.'!K131</f>
        <v>150485</v>
      </c>
      <c r="L131" s="15">
        <f>0+'táj.2.'!L131</f>
        <v>0</v>
      </c>
      <c r="M131" s="15">
        <f>0+'táj.2.'!M131</f>
        <v>0</v>
      </c>
      <c r="N131" s="15">
        <f>0+'táj.2.'!N131</f>
        <v>0</v>
      </c>
      <c r="O131" s="15">
        <f>0+'táj.2.'!O131</f>
        <v>0</v>
      </c>
      <c r="P131" s="15">
        <f>0+'táj.2.'!P131</f>
        <v>0</v>
      </c>
      <c r="Q131" s="15">
        <f>SUM(G131:P131)</f>
        <v>150485</v>
      </c>
    </row>
    <row r="132" spans="1:17" ht="15" customHeight="1">
      <c r="A132" s="13"/>
      <c r="B132" s="13"/>
      <c r="C132" s="205"/>
      <c r="D132" s="16" t="s">
        <v>74</v>
      </c>
      <c r="E132" s="15">
        <v>2</v>
      </c>
      <c r="F132" s="13">
        <v>131804</v>
      </c>
      <c r="G132" s="15">
        <f>0+'táj.2.'!G132</f>
        <v>0</v>
      </c>
      <c r="H132" s="15">
        <f>0+'táj.2.'!H132</f>
        <v>0</v>
      </c>
      <c r="I132" s="15">
        <f>0+'táj.2.'!I132</f>
        <v>0</v>
      </c>
      <c r="J132" s="15">
        <f>0+'táj.2.'!J132</f>
        <v>0</v>
      </c>
      <c r="K132" s="15">
        <f>73029+'táj.2.'!K132</f>
        <v>73029</v>
      </c>
      <c r="L132" s="15">
        <f>0+'táj.2.'!L132</f>
        <v>0</v>
      </c>
      <c r="M132" s="15">
        <f>0+'táj.2.'!M132</f>
        <v>0</v>
      </c>
      <c r="N132" s="15">
        <f>0+'táj.2.'!N132</f>
        <v>0</v>
      </c>
      <c r="O132" s="15">
        <f>0+'táj.2.'!O132</f>
        <v>0</v>
      </c>
      <c r="P132" s="15">
        <f>0+'táj.2.'!P132</f>
        <v>0</v>
      </c>
      <c r="Q132" s="15">
        <f>SUM(G132:P132)</f>
        <v>73029</v>
      </c>
    </row>
    <row r="133" spans="1:17" ht="15" customHeight="1">
      <c r="A133" s="13"/>
      <c r="B133" s="13"/>
      <c r="C133" s="205"/>
      <c r="D133" s="16" t="s">
        <v>75</v>
      </c>
      <c r="E133" s="15">
        <v>2</v>
      </c>
      <c r="F133" s="13">
        <v>131805</v>
      </c>
      <c r="G133" s="15">
        <f>0+'táj.2.'!G133</f>
        <v>0</v>
      </c>
      <c r="H133" s="15">
        <f>0+'táj.2.'!H133</f>
        <v>0</v>
      </c>
      <c r="I133" s="15">
        <f>0+'táj.2.'!I133</f>
        <v>0</v>
      </c>
      <c r="J133" s="15">
        <f>0+'táj.2.'!J133</f>
        <v>0</v>
      </c>
      <c r="K133" s="15">
        <f>10800+'táj.2.'!K133</f>
        <v>10800</v>
      </c>
      <c r="L133" s="15">
        <f>0+'táj.2.'!L133</f>
        <v>0</v>
      </c>
      <c r="M133" s="15">
        <f>0+'táj.2.'!M133</f>
        <v>0</v>
      </c>
      <c r="N133" s="15">
        <f>0+'táj.2.'!N133</f>
        <v>0</v>
      </c>
      <c r="O133" s="15">
        <f>0+'táj.2.'!O133</f>
        <v>0</v>
      </c>
      <c r="P133" s="15">
        <f>0+'táj.2.'!P133</f>
        <v>0</v>
      </c>
      <c r="Q133" s="15">
        <f>SUM(G133:P133)</f>
        <v>10800</v>
      </c>
    </row>
    <row r="134" spans="1:17" ht="15" customHeight="1">
      <c r="A134" s="13"/>
      <c r="B134" s="13"/>
      <c r="C134" s="205"/>
      <c r="D134" s="116" t="s">
        <v>776</v>
      </c>
      <c r="E134" s="337"/>
      <c r="F134" s="23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5" customHeight="1">
      <c r="A135" s="13"/>
      <c r="B135" s="13"/>
      <c r="C135" s="205"/>
      <c r="D135" s="24" t="s">
        <v>1214</v>
      </c>
      <c r="E135" s="337">
        <v>1</v>
      </c>
      <c r="F135" s="23">
        <v>131808</v>
      </c>
      <c r="G135" s="15">
        <f>350+'táj.2.'!G135</f>
        <v>373</v>
      </c>
      <c r="H135" s="15">
        <f>85+'táj.2.'!H135</f>
        <v>85</v>
      </c>
      <c r="I135" s="15">
        <f>1910+'táj.2.'!I135</f>
        <v>1887</v>
      </c>
      <c r="J135" s="15">
        <f>0+'táj.2.'!J135</f>
        <v>0</v>
      </c>
      <c r="K135" s="15">
        <f>0+'táj.2.'!K135</f>
        <v>0</v>
      </c>
      <c r="L135" s="15">
        <f>0+'táj.2.'!L135</f>
        <v>0</v>
      </c>
      <c r="M135" s="15">
        <f>0+'táj.2.'!M135</f>
        <v>0</v>
      </c>
      <c r="N135" s="15">
        <f>0+'táj.2.'!N135</f>
        <v>0</v>
      </c>
      <c r="O135" s="15">
        <f>0+'táj.2.'!O135</f>
        <v>0</v>
      </c>
      <c r="P135" s="15">
        <f>0+'táj.2.'!P135</f>
        <v>0</v>
      </c>
      <c r="Q135" s="15">
        <f>SUM(G135:P135)</f>
        <v>2345</v>
      </c>
    </row>
    <row r="136" spans="1:17" ht="15" customHeight="1">
      <c r="A136" s="13"/>
      <c r="B136" s="13"/>
      <c r="C136" s="205"/>
      <c r="D136" s="24" t="s">
        <v>777</v>
      </c>
      <c r="E136" s="25">
        <v>1</v>
      </c>
      <c r="F136" s="23">
        <v>131807</v>
      </c>
      <c r="G136" s="15">
        <f>0+'táj.2.'!G136</f>
        <v>50</v>
      </c>
      <c r="H136" s="15">
        <f>0+'táj.2.'!H136</f>
        <v>33</v>
      </c>
      <c r="I136" s="15">
        <f>1147+'táj.2.'!I136</f>
        <v>1064</v>
      </c>
      <c r="J136" s="15">
        <f>0+'táj.2.'!J136</f>
        <v>0</v>
      </c>
      <c r="K136" s="15">
        <f>600+'táj.2.'!K136</f>
        <v>600</v>
      </c>
      <c r="L136" s="15">
        <f>0+'táj.2.'!L136</f>
        <v>0</v>
      </c>
      <c r="M136" s="15">
        <f>0+'táj.2.'!M136</f>
        <v>0</v>
      </c>
      <c r="N136" s="15">
        <f>0+'táj.2.'!N136</f>
        <v>0</v>
      </c>
      <c r="O136" s="15">
        <f>0+'táj.2.'!O136</f>
        <v>0</v>
      </c>
      <c r="P136" s="15">
        <f>0+'táj.2.'!P136</f>
        <v>0</v>
      </c>
      <c r="Q136" s="15">
        <f>SUM(G136:P136)</f>
        <v>1747</v>
      </c>
    </row>
    <row r="137" spans="1:17" ht="15" customHeight="1">
      <c r="A137" s="13"/>
      <c r="B137" s="13"/>
      <c r="C137" s="205"/>
      <c r="D137" s="24" t="s">
        <v>76</v>
      </c>
      <c r="E137" s="337">
        <v>1</v>
      </c>
      <c r="F137" s="23">
        <v>131809</v>
      </c>
      <c r="G137" s="15">
        <f>0+'táj.2.'!G137</f>
        <v>0</v>
      </c>
      <c r="H137" s="15">
        <f>0+'táj.2.'!H137</f>
        <v>0</v>
      </c>
      <c r="I137" s="15">
        <f>0+'táj.2.'!I137</f>
        <v>0</v>
      </c>
      <c r="J137" s="15">
        <f>0+'táj.2.'!J137</f>
        <v>0</v>
      </c>
      <c r="K137" s="15">
        <f>450+'táj.2.'!K137</f>
        <v>450</v>
      </c>
      <c r="L137" s="15">
        <f>0+'táj.2.'!L137</f>
        <v>0</v>
      </c>
      <c r="M137" s="15">
        <f>0+'táj.2.'!M137</f>
        <v>0</v>
      </c>
      <c r="N137" s="15">
        <f>0+'táj.2.'!N137</f>
        <v>0</v>
      </c>
      <c r="O137" s="15">
        <f>0+'táj.2.'!O137</f>
        <v>0</v>
      </c>
      <c r="P137" s="15">
        <f>0+'táj.2.'!P137</f>
        <v>0</v>
      </c>
      <c r="Q137" s="15">
        <f>SUM(G137:P137)</f>
        <v>450</v>
      </c>
    </row>
    <row r="138" spans="1:17" ht="15" customHeight="1">
      <c r="A138" s="13"/>
      <c r="B138" s="13"/>
      <c r="C138" s="205"/>
      <c r="D138" s="204" t="s">
        <v>77</v>
      </c>
      <c r="E138" s="15">
        <v>2</v>
      </c>
      <c r="F138" s="13">
        <v>131835</v>
      </c>
      <c r="G138" s="15">
        <f>0+'táj.2.'!G138</f>
        <v>0</v>
      </c>
      <c r="H138" s="15">
        <f>0+'táj.2.'!H138</f>
        <v>0</v>
      </c>
      <c r="I138" s="15">
        <f>0+'táj.2.'!I138</f>
        <v>0</v>
      </c>
      <c r="J138" s="15">
        <f>0+'táj.2.'!J138</f>
        <v>0</v>
      </c>
      <c r="K138" s="15">
        <f>6500+'táj.2.'!K138</f>
        <v>6500</v>
      </c>
      <c r="L138" s="15">
        <f>0+'táj.2.'!L138</f>
        <v>0</v>
      </c>
      <c r="M138" s="15">
        <f>0+'táj.2.'!M138</f>
        <v>0</v>
      </c>
      <c r="N138" s="15">
        <f>0+'táj.2.'!N138</f>
        <v>0</v>
      </c>
      <c r="O138" s="15">
        <f>0+'táj.2.'!O138</f>
        <v>0</v>
      </c>
      <c r="P138" s="15">
        <f>0+'táj.2.'!P138</f>
        <v>0</v>
      </c>
      <c r="Q138" s="15">
        <f>SUM(G138:P138)</f>
        <v>6500</v>
      </c>
    </row>
    <row r="139" spans="1:17" ht="15" customHeight="1">
      <c r="A139" s="13"/>
      <c r="B139" s="13"/>
      <c r="C139" s="205"/>
      <c r="D139" s="118" t="s">
        <v>1215</v>
      </c>
      <c r="E139" s="337"/>
      <c r="F139" s="23"/>
      <c r="G139" s="15"/>
      <c r="H139" s="25"/>
      <c r="I139" s="25"/>
      <c r="J139" s="25"/>
      <c r="K139" s="25"/>
      <c r="L139" s="25"/>
      <c r="M139" s="25"/>
      <c r="N139" s="25"/>
      <c r="O139" s="25"/>
      <c r="P139" s="25"/>
      <c r="Q139" s="15"/>
    </row>
    <row r="140" spans="1:17" ht="15" customHeight="1">
      <c r="A140" s="13"/>
      <c r="B140" s="13"/>
      <c r="C140" s="205"/>
      <c r="D140" s="24" t="s">
        <v>1216</v>
      </c>
      <c r="E140" s="25">
        <v>1</v>
      </c>
      <c r="F140" s="23">
        <v>131811</v>
      </c>
      <c r="G140" s="15">
        <f>0+'táj.2.'!G140</f>
        <v>0</v>
      </c>
      <c r="H140" s="15">
        <f>0+'táj.2.'!H140</f>
        <v>0</v>
      </c>
      <c r="I140" s="15">
        <f>0+'táj.2.'!I140</f>
        <v>0</v>
      </c>
      <c r="J140" s="15">
        <f>0+'táj.2.'!J140</f>
        <v>0</v>
      </c>
      <c r="K140" s="15">
        <f>10200+'táj.2.'!K140</f>
        <v>10200</v>
      </c>
      <c r="L140" s="15">
        <f>0+'táj.2.'!L140</f>
        <v>0</v>
      </c>
      <c r="M140" s="15">
        <f>0+'táj.2.'!M140</f>
        <v>0</v>
      </c>
      <c r="N140" s="15">
        <f>0+'táj.2.'!N140</f>
        <v>0</v>
      </c>
      <c r="O140" s="15">
        <f>0+'táj.2.'!O140</f>
        <v>0</v>
      </c>
      <c r="P140" s="15">
        <f>0+'táj.2.'!P140</f>
        <v>0</v>
      </c>
      <c r="Q140" s="15">
        <f aca="true" t="shared" si="6" ref="Q140:Q149">SUM(G140:P140)</f>
        <v>10200</v>
      </c>
    </row>
    <row r="141" spans="1:17" ht="15" customHeight="1">
      <c r="A141" s="13"/>
      <c r="B141" s="13"/>
      <c r="C141" s="205"/>
      <c r="D141" s="24" t="s">
        <v>78</v>
      </c>
      <c r="E141" s="25">
        <v>1</v>
      </c>
      <c r="F141" s="23">
        <v>131812</v>
      </c>
      <c r="G141" s="15">
        <f>0+'táj.2.'!G141</f>
        <v>0</v>
      </c>
      <c r="H141" s="15">
        <f>0+'táj.2.'!H141</f>
        <v>0</v>
      </c>
      <c r="I141" s="15">
        <f>0+'táj.2.'!I141</f>
        <v>0</v>
      </c>
      <c r="J141" s="15">
        <f>0+'táj.2.'!J141</f>
        <v>0</v>
      </c>
      <c r="K141" s="15">
        <f>5000+'táj.2.'!K141</f>
        <v>5000</v>
      </c>
      <c r="L141" s="15">
        <f>0+'táj.2.'!L141</f>
        <v>0</v>
      </c>
      <c r="M141" s="15">
        <f>0+'táj.2.'!M141</f>
        <v>0</v>
      </c>
      <c r="N141" s="15">
        <f>0+'táj.2.'!N141</f>
        <v>0</v>
      </c>
      <c r="O141" s="15">
        <f>0+'táj.2.'!O141</f>
        <v>0</v>
      </c>
      <c r="P141" s="15">
        <f>0+'táj.2.'!P141</f>
        <v>0</v>
      </c>
      <c r="Q141" s="15">
        <f t="shared" si="6"/>
        <v>5000</v>
      </c>
    </row>
    <row r="142" spans="1:17" ht="15" customHeight="1">
      <c r="A142" s="13"/>
      <c r="B142" s="13"/>
      <c r="C142" s="205"/>
      <c r="D142" s="24" t="s">
        <v>79</v>
      </c>
      <c r="E142" s="25">
        <v>1</v>
      </c>
      <c r="F142" s="23">
        <v>131813</v>
      </c>
      <c r="G142" s="15">
        <f>0+'táj.2.'!G142</f>
        <v>0</v>
      </c>
      <c r="H142" s="15">
        <f>0+'táj.2.'!H142</f>
        <v>0</v>
      </c>
      <c r="I142" s="15">
        <f>0+'táj.2.'!I142</f>
        <v>0</v>
      </c>
      <c r="J142" s="15">
        <f>0+'táj.2.'!J142</f>
        <v>0</v>
      </c>
      <c r="K142" s="15">
        <f>1800+'táj.2.'!K142</f>
        <v>1800</v>
      </c>
      <c r="L142" s="15">
        <f>0+'táj.2.'!L142</f>
        <v>0</v>
      </c>
      <c r="M142" s="15">
        <f>0+'táj.2.'!M142</f>
        <v>0</v>
      </c>
      <c r="N142" s="15">
        <f>0+'táj.2.'!N142</f>
        <v>0</v>
      </c>
      <c r="O142" s="15">
        <f>0+'táj.2.'!O142</f>
        <v>0</v>
      </c>
      <c r="P142" s="15">
        <f>0+'táj.2.'!P142</f>
        <v>0</v>
      </c>
      <c r="Q142" s="15">
        <f t="shared" si="6"/>
        <v>1800</v>
      </c>
    </row>
    <row r="143" spans="1:17" ht="15" customHeight="1">
      <c r="A143" s="13"/>
      <c r="B143" s="13"/>
      <c r="C143" s="205"/>
      <c r="D143" s="24" t="s">
        <v>80</v>
      </c>
      <c r="E143" s="25">
        <v>1</v>
      </c>
      <c r="F143" s="23">
        <v>131815</v>
      </c>
      <c r="G143" s="15">
        <f>0+'táj.2.'!G143</f>
        <v>0</v>
      </c>
      <c r="H143" s="15">
        <f>0+'táj.2.'!H143</f>
        <v>0</v>
      </c>
      <c r="I143" s="15">
        <f>0+'táj.2.'!I143</f>
        <v>0</v>
      </c>
      <c r="J143" s="15">
        <f>0+'táj.2.'!J143</f>
        <v>0</v>
      </c>
      <c r="K143" s="15">
        <f>270+'táj.2.'!K143</f>
        <v>270</v>
      </c>
      <c r="L143" s="15">
        <f>0+'táj.2.'!L143</f>
        <v>0</v>
      </c>
      <c r="M143" s="15">
        <f>0+'táj.2.'!M143</f>
        <v>0</v>
      </c>
      <c r="N143" s="15">
        <f>0+'táj.2.'!N143</f>
        <v>0</v>
      </c>
      <c r="O143" s="15">
        <f>0+'táj.2.'!O143</f>
        <v>0</v>
      </c>
      <c r="P143" s="15">
        <f>0+'táj.2.'!P143</f>
        <v>0</v>
      </c>
      <c r="Q143" s="15">
        <f t="shared" si="6"/>
        <v>270</v>
      </c>
    </row>
    <row r="144" spans="1:17" ht="15" customHeight="1">
      <c r="A144" s="13"/>
      <c r="B144" s="13"/>
      <c r="C144" s="205"/>
      <c r="D144" s="24" t="s">
        <v>81</v>
      </c>
      <c r="E144" s="25">
        <v>1</v>
      </c>
      <c r="F144" s="23">
        <v>131816</v>
      </c>
      <c r="G144" s="15">
        <f>0+'táj.2.'!G144</f>
        <v>0</v>
      </c>
      <c r="H144" s="15">
        <f>0+'táj.2.'!H144</f>
        <v>0</v>
      </c>
      <c r="I144" s="15">
        <f>0+'táj.2.'!I144</f>
        <v>0</v>
      </c>
      <c r="J144" s="15">
        <f>0+'táj.2.'!J144</f>
        <v>0</v>
      </c>
      <c r="K144" s="15">
        <f>900+'táj.2.'!K144</f>
        <v>900</v>
      </c>
      <c r="L144" s="15">
        <f>0+'táj.2.'!L144</f>
        <v>0</v>
      </c>
      <c r="M144" s="15">
        <f>0+'táj.2.'!M144</f>
        <v>0</v>
      </c>
      <c r="N144" s="15">
        <f>0+'táj.2.'!N144</f>
        <v>0</v>
      </c>
      <c r="O144" s="15">
        <f>0+'táj.2.'!O144</f>
        <v>0</v>
      </c>
      <c r="P144" s="15">
        <f>0+'táj.2.'!P144</f>
        <v>0</v>
      </c>
      <c r="Q144" s="15">
        <f t="shared" si="6"/>
        <v>900</v>
      </c>
    </row>
    <row r="145" spans="1:17" ht="15" customHeight="1">
      <c r="A145" s="13"/>
      <c r="B145" s="13"/>
      <c r="C145" s="205"/>
      <c r="D145" s="24" t="s">
        <v>87</v>
      </c>
      <c r="E145" s="25">
        <v>1</v>
      </c>
      <c r="F145" s="23">
        <v>131817</v>
      </c>
      <c r="G145" s="15">
        <f>0+'táj.2.'!G145</f>
        <v>0</v>
      </c>
      <c r="H145" s="15">
        <f>0+'táj.2.'!H145</f>
        <v>0</v>
      </c>
      <c r="I145" s="15">
        <f>0+'táj.2.'!I145</f>
        <v>0</v>
      </c>
      <c r="J145" s="15">
        <f>0+'táj.2.'!J145</f>
        <v>0</v>
      </c>
      <c r="K145" s="15">
        <f>1080+'táj.2.'!K145</f>
        <v>1080</v>
      </c>
      <c r="L145" s="15">
        <f>0+'táj.2.'!L145</f>
        <v>0</v>
      </c>
      <c r="M145" s="15">
        <f>0+'táj.2.'!M145</f>
        <v>0</v>
      </c>
      <c r="N145" s="15">
        <f>0+'táj.2.'!N145</f>
        <v>0</v>
      </c>
      <c r="O145" s="15">
        <f>0+'táj.2.'!O145</f>
        <v>0</v>
      </c>
      <c r="P145" s="15">
        <f>0+'táj.2.'!P145</f>
        <v>0</v>
      </c>
      <c r="Q145" s="15">
        <f t="shared" si="6"/>
        <v>1080</v>
      </c>
    </row>
    <row r="146" spans="1:17" ht="15" customHeight="1">
      <c r="A146" s="13"/>
      <c r="B146" s="13"/>
      <c r="C146" s="205"/>
      <c r="D146" s="24" t="s">
        <v>88</v>
      </c>
      <c r="E146" s="25">
        <v>1</v>
      </c>
      <c r="F146" s="23">
        <v>131818</v>
      </c>
      <c r="G146" s="15">
        <f>0+'táj.2.'!G146</f>
        <v>0</v>
      </c>
      <c r="H146" s="15">
        <f>0+'táj.2.'!H146</f>
        <v>0</v>
      </c>
      <c r="I146" s="15">
        <f>0+'táj.2.'!I146</f>
        <v>0</v>
      </c>
      <c r="J146" s="15">
        <f>0+'táj.2.'!J146</f>
        <v>0</v>
      </c>
      <c r="K146" s="15">
        <f>450+'táj.2.'!K146</f>
        <v>450</v>
      </c>
      <c r="L146" s="15">
        <f>0+'táj.2.'!L146</f>
        <v>0</v>
      </c>
      <c r="M146" s="15">
        <f>0+'táj.2.'!M146</f>
        <v>0</v>
      </c>
      <c r="N146" s="15">
        <f>0+'táj.2.'!N146</f>
        <v>0</v>
      </c>
      <c r="O146" s="15">
        <f>0+'táj.2.'!O146</f>
        <v>0</v>
      </c>
      <c r="P146" s="15">
        <f>0+'táj.2.'!P146</f>
        <v>0</v>
      </c>
      <c r="Q146" s="15">
        <f t="shared" si="6"/>
        <v>450</v>
      </c>
    </row>
    <row r="147" spans="1:17" ht="15" customHeight="1">
      <c r="A147" s="13"/>
      <c r="B147" s="13"/>
      <c r="C147" s="205"/>
      <c r="D147" s="24" t="s">
        <v>89</v>
      </c>
      <c r="E147" s="25">
        <v>1</v>
      </c>
      <c r="F147" s="23">
        <v>131819</v>
      </c>
      <c r="G147" s="15">
        <f>0+'táj.2.'!G147</f>
        <v>0</v>
      </c>
      <c r="H147" s="15">
        <f>0+'táj.2.'!H147</f>
        <v>0</v>
      </c>
      <c r="I147" s="15">
        <f>0+'táj.2.'!I147</f>
        <v>0</v>
      </c>
      <c r="J147" s="15">
        <f>0+'táj.2.'!J147</f>
        <v>0</v>
      </c>
      <c r="K147" s="15">
        <f>360+'táj.2.'!K147</f>
        <v>360</v>
      </c>
      <c r="L147" s="15">
        <f>0+'táj.2.'!L147</f>
        <v>0</v>
      </c>
      <c r="M147" s="15">
        <f>0+'táj.2.'!M147</f>
        <v>0</v>
      </c>
      <c r="N147" s="15">
        <f>0+'táj.2.'!N147</f>
        <v>0</v>
      </c>
      <c r="O147" s="15">
        <f>0+'táj.2.'!O147</f>
        <v>0</v>
      </c>
      <c r="P147" s="15">
        <f>0+'táj.2.'!P147</f>
        <v>0</v>
      </c>
      <c r="Q147" s="15">
        <f t="shared" si="6"/>
        <v>360</v>
      </c>
    </row>
    <row r="148" spans="1:17" ht="15" customHeight="1">
      <c r="A148" s="13"/>
      <c r="B148" s="13"/>
      <c r="C148" s="205"/>
      <c r="D148" s="24" t="s">
        <v>90</v>
      </c>
      <c r="E148" s="25">
        <v>1</v>
      </c>
      <c r="F148" s="23">
        <v>131832</v>
      </c>
      <c r="G148" s="15">
        <f>0+'táj.2.'!G148</f>
        <v>0</v>
      </c>
      <c r="H148" s="15">
        <f>0+'táj.2.'!H148</f>
        <v>0</v>
      </c>
      <c r="I148" s="15">
        <f>0+'táj.2.'!I148</f>
        <v>0</v>
      </c>
      <c r="J148" s="15">
        <f>0+'táj.2.'!J148</f>
        <v>0</v>
      </c>
      <c r="K148" s="15">
        <f>270+'táj.2.'!K148</f>
        <v>270</v>
      </c>
      <c r="L148" s="15">
        <f>0+'táj.2.'!L148</f>
        <v>0</v>
      </c>
      <c r="M148" s="15">
        <f>0+'táj.2.'!M148</f>
        <v>0</v>
      </c>
      <c r="N148" s="15">
        <f>0+'táj.2.'!N148</f>
        <v>0</v>
      </c>
      <c r="O148" s="15">
        <f>0+'táj.2.'!O148</f>
        <v>0</v>
      </c>
      <c r="P148" s="15">
        <f>0+'táj.2.'!P148</f>
        <v>0</v>
      </c>
      <c r="Q148" s="15">
        <f t="shared" si="6"/>
        <v>270</v>
      </c>
    </row>
    <row r="149" spans="1:17" ht="15" customHeight="1">
      <c r="A149" s="13"/>
      <c r="B149" s="13"/>
      <c r="C149" s="205"/>
      <c r="D149" s="24" t="s">
        <v>26</v>
      </c>
      <c r="E149" s="25">
        <v>1</v>
      </c>
      <c r="F149" s="23">
        <v>131820</v>
      </c>
      <c r="G149" s="15">
        <f>0+'táj.2.'!G149</f>
        <v>0</v>
      </c>
      <c r="H149" s="15">
        <f>0+'táj.2.'!H149</f>
        <v>0</v>
      </c>
      <c r="I149" s="15">
        <f>350+'táj.2.'!I149</f>
        <v>350</v>
      </c>
      <c r="J149" s="15">
        <f>0+'táj.2.'!J149</f>
        <v>0</v>
      </c>
      <c r="K149" s="15">
        <f>1050+'táj.2.'!K149</f>
        <v>1050</v>
      </c>
      <c r="L149" s="15">
        <f>0+'táj.2.'!L149</f>
        <v>0</v>
      </c>
      <c r="M149" s="15">
        <f>0+'táj.2.'!M149</f>
        <v>0</v>
      </c>
      <c r="N149" s="15">
        <f>0+'táj.2.'!N149</f>
        <v>0</v>
      </c>
      <c r="O149" s="15">
        <f>0+'táj.2.'!O149</f>
        <v>0</v>
      </c>
      <c r="P149" s="15">
        <f>0+'táj.2.'!P149</f>
        <v>0</v>
      </c>
      <c r="Q149" s="15">
        <f t="shared" si="6"/>
        <v>1400</v>
      </c>
    </row>
    <row r="150" spans="1:17" ht="15" customHeight="1">
      <c r="A150" s="13"/>
      <c r="B150" s="13"/>
      <c r="C150" s="205"/>
      <c r="D150" s="24" t="s">
        <v>91</v>
      </c>
      <c r="E150" s="25"/>
      <c r="F150" s="23"/>
      <c r="G150" s="15"/>
      <c r="H150" s="25"/>
      <c r="I150" s="25"/>
      <c r="J150" s="25"/>
      <c r="K150" s="25"/>
      <c r="L150" s="25"/>
      <c r="M150" s="25"/>
      <c r="N150" s="25"/>
      <c r="O150" s="25"/>
      <c r="P150" s="25"/>
      <c r="Q150" s="15"/>
    </row>
    <row r="151" spans="1:17" ht="15" customHeight="1">
      <c r="A151" s="13"/>
      <c r="B151" s="13"/>
      <c r="C151" s="205"/>
      <c r="D151" s="24" t="s">
        <v>92</v>
      </c>
      <c r="E151" s="337">
        <v>2</v>
      </c>
      <c r="F151" s="23">
        <v>131821</v>
      </c>
      <c r="G151" s="15">
        <f>0+'táj.2.'!G151</f>
        <v>0</v>
      </c>
      <c r="H151" s="15">
        <f>0+'táj.2.'!H151</f>
        <v>0</v>
      </c>
      <c r="I151" s="15">
        <f>0+'táj.2.'!I151</f>
        <v>0</v>
      </c>
      <c r="J151" s="15">
        <f>0+'táj.2.'!J151</f>
        <v>0</v>
      </c>
      <c r="K151" s="15">
        <f>6830+'táj.2.'!K151</f>
        <v>6830</v>
      </c>
      <c r="L151" s="15">
        <f>0+'táj.2.'!L151</f>
        <v>0</v>
      </c>
      <c r="M151" s="15">
        <f>0+'táj.2.'!M151</f>
        <v>0</v>
      </c>
      <c r="N151" s="15">
        <f>0+'táj.2.'!N151</f>
        <v>0</v>
      </c>
      <c r="O151" s="15">
        <f>0+'táj.2.'!O151</f>
        <v>0</v>
      </c>
      <c r="P151" s="15">
        <f>0+'táj.2.'!P151</f>
        <v>0</v>
      </c>
      <c r="Q151" s="15">
        <f aca="true" t="shared" si="7" ref="Q151:Q166">SUM(G151:P151)</f>
        <v>6830</v>
      </c>
    </row>
    <row r="152" spans="1:17" ht="15" customHeight="1">
      <c r="A152" s="13"/>
      <c r="B152" s="13"/>
      <c r="C152" s="205"/>
      <c r="D152" s="24" t="s">
        <v>93</v>
      </c>
      <c r="E152" s="337">
        <v>2</v>
      </c>
      <c r="F152" s="23">
        <v>131822</v>
      </c>
      <c r="G152" s="15">
        <f>0+'táj.2.'!G152</f>
        <v>0</v>
      </c>
      <c r="H152" s="15">
        <f>0+'táj.2.'!H152</f>
        <v>0</v>
      </c>
      <c r="I152" s="15">
        <f>0+'táj.2.'!I152</f>
        <v>0</v>
      </c>
      <c r="J152" s="15">
        <f>0+'táj.2.'!J152</f>
        <v>0</v>
      </c>
      <c r="K152" s="15">
        <f>500+'táj.2.'!K152</f>
        <v>500</v>
      </c>
      <c r="L152" s="15">
        <f>0+'táj.2.'!L152</f>
        <v>0</v>
      </c>
      <c r="M152" s="15">
        <f>0+'táj.2.'!M152</f>
        <v>0</v>
      </c>
      <c r="N152" s="15">
        <f>0+'táj.2.'!N152</f>
        <v>0</v>
      </c>
      <c r="O152" s="15">
        <f>0+'táj.2.'!O152</f>
        <v>0</v>
      </c>
      <c r="P152" s="15">
        <f>0+'táj.2.'!P152</f>
        <v>0</v>
      </c>
      <c r="Q152" s="15">
        <f t="shared" si="7"/>
        <v>500</v>
      </c>
    </row>
    <row r="153" spans="1:17" ht="15" customHeight="1">
      <c r="A153" s="13"/>
      <c r="B153" s="13"/>
      <c r="C153" s="205"/>
      <c r="D153" s="362" t="s">
        <v>94</v>
      </c>
      <c r="E153" s="363">
        <v>2</v>
      </c>
      <c r="F153" s="657">
        <v>131823</v>
      </c>
      <c r="G153" s="15">
        <f>0+'táj.2.'!G153</f>
        <v>0</v>
      </c>
      <c r="H153" s="15">
        <f>0+'táj.2.'!H153</f>
        <v>0</v>
      </c>
      <c r="I153" s="15">
        <f>0+'táj.2.'!I153</f>
        <v>0</v>
      </c>
      <c r="J153" s="15">
        <f>0+'táj.2.'!J153</f>
        <v>0</v>
      </c>
      <c r="K153" s="15">
        <f>18000+'táj.2.'!K153</f>
        <v>19382</v>
      </c>
      <c r="L153" s="15">
        <f>0+'táj.2.'!L153</f>
        <v>0</v>
      </c>
      <c r="M153" s="15">
        <f>0+'táj.2.'!M153</f>
        <v>0</v>
      </c>
      <c r="N153" s="15">
        <f>0+'táj.2.'!N153</f>
        <v>0</v>
      </c>
      <c r="O153" s="15">
        <f>0+'táj.2.'!O153</f>
        <v>0</v>
      </c>
      <c r="P153" s="15">
        <f>0+'táj.2.'!P153</f>
        <v>0</v>
      </c>
      <c r="Q153" s="15">
        <f t="shared" si="7"/>
        <v>19382</v>
      </c>
    </row>
    <row r="154" spans="1:17" ht="15" customHeight="1">
      <c r="A154" s="13"/>
      <c r="B154" s="13"/>
      <c r="C154" s="205"/>
      <c r="D154" s="362" t="s">
        <v>95</v>
      </c>
      <c r="E154" s="364">
        <v>2</v>
      </c>
      <c r="F154" s="657">
        <v>131824</v>
      </c>
      <c r="G154" s="15">
        <f>0+'táj.2.'!G154</f>
        <v>0</v>
      </c>
      <c r="H154" s="15">
        <f>0+'táj.2.'!H154</f>
        <v>0</v>
      </c>
      <c r="I154" s="15">
        <f>0+'táj.2.'!I154</f>
        <v>0</v>
      </c>
      <c r="J154" s="15">
        <f>0+'táj.2.'!J154</f>
        <v>0</v>
      </c>
      <c r="K154" s="15">
        <f>2500+'táj.2.'!K154</f>
        <v>2500</v>
      </c>
      <c r="L154" s="15">
        <f>0+'táj.2.'!L154</f>
        <v>0</v>
      </c>
      <c r="M154" s="15">
        <f>0+'táj.2.'!M154</f>
        <v>0</v>
      </c>
      <c r="N154" s="15">
        <f>0+'táj.2.'!N154</f>
        <v>0</v>
      </c>
      <c r="O154" s="15">
        <f>0+'táj.2.'!O154</f>
        <v>0</v>
      </c>
      <c r="P154" s="15">
        <f>0+'táj.2.'!P154</f>
        <v>0</v>
      </c>
      <c r="Q154" s="15">
        <f t="shared" si="7"/>
        <v>2500</v>
      </c>
    </row>
    <row r="155" spans="1:17" ht="15" customHeight="1">
      <c r="A155" s="13"/>
      <c r="B155" s="13"/>
      <c r="C155" s="205"/>
      <c r="D155" s="362" t="s">
        <v>96</v>
      </c>
      <c r="E155" s="364">
        <v>2</v>
      </c>
      <c r="F155" s="657">
        <v>131833</v>
      </c>
      <c r="G155" s="15">
        <f>0+'táj.2.'!G155</f>
        <v>0</v>
      </c>
      <c r="H155" s="15">
        <f>0+'táj.2.'!H155</f>
        <v>0</v>
      </c>
      <c r="I155" s="15">
        <f>0+'táj.2.'!I155</f>
        <v>0</v>
      </c>
      <c r="J155" s="15">
        <f>0+'táj.2.'!J155</f>
        <v>0</v>
      </c>
      <c r="K155" s="15">
        <f>2500+'táj.2.'!K155</f>
        <v>2500</v>
      </c>
      <c r="L155" s="15">
        <f>0+'táj.2.'!L155</f>
        <v>0</v>
      </c>
      <c r="M155" s="15">
        <f>0+'táj.2.'!M155</f>
        <v>0</v>
      </c>
      <c r="N155" s="15">
        <f>0+'táj.2.'!N155</f>
        <v>0</v>
      </c>
      <c r="O155" s="15">
        <f>0+'táj.2.'!O155</f>
        <v>0</v>
      </c>
      <c r="P155" s="15">
        <f>0+'táj.2.'!P155</f>
        <v>0</v>
      </c>
      <c r="Q155" s="15">
        <f t="shared" si="7"/>
        <v>2500</v>
      </c>
    </row>
    <row r="156" spans="1:17" ht="15" customHeight="1">
      <c r="A156" s="13"/>
      <c r="B156" s="13"/>
      <c r="C156" s="205"/>
      <c r="D156" s="362" t="s">
        <v>97</v>
      </c>
      <c r="E156" s="364">
        <v>2</v>
      </c>
      <c r="F156" s="657">
        <v>131834</v>
      </c>
      <c r="G156" s="15">
        <f>0+'táj.2.'!G156</f>
        <v>0</v>
      </c>
      <c r="H156" s="15">
        <f>0+'táj.2.'!H156</f>
        <v>0</v>
      </c>
      <c r="I156" s="15">
        <f>0+'táj.2.'!I156</f>
        <v>0</v>
      </c>
      <c r="J156" s="15">
        <f>0+'táj.2.'!J156</f>
        <v>0</v>
      </c>
      <c r="K156" s="15">
        <f>4000+'táj.2.'!K156</f>
        <v>4000</v>
      </c>
      <c r="L156" s="15">
        <f>0+'táj.2.'!L156</f>
        <v>0</v>
      </c>
      <c r="M156" s="15">
        <f>0+'táj.2.'!M156</f>
        <v>0</v>
      </c>
      <c r="N156" s="15">
        <f>0+'táj.2.'!N156</f>
        <v>0</v>
      </c>
      <c r="O156" s="15">
        <f>0+'táj.2.'!O156</f>
        <v>0</v>
      </c>
      <c r="P156" s="15">
        <f>0+'táj.2.'!P156</f>
        <v>0</v>
      </c>
      <c r="Q156" s="15">
        <f t="shared" si="7"/>
        <v>4000</v>
      </c>
    </row>
    <row r="157" spans="1:17" ht="15" customHeight="1">
      <c r="A157" s="13"/>
      <c r="B157" s="13"/>
      <c r="C157" s="205"/>
      <c r="D157" s="362" t="s">
        <v>98</v>
      </c>
      <c r="E157" s="364">
        <v>2</v>
      </c>
      <c r="F157" s="657">
        <v>131836</v>
      </c>
      <c r="G157" s="15">
        <f>0+'táj.2.'!G157</f>
        <v>0</v>
      </c>
      <c r="H157" s="15">
        <f>0+'táj.2.'!H157</f>
        <v>0</v>
      </c>
      <c r="I157" s="15">
        <f>0+'táj.2.'!I157</f>
        <v>0</v>
      </c>
      <c r="J157" s="15">
        <f>0+'táj.2.'!J157</f>
        <v>0</v>
      </c>
      <c r="K157" s="15">
        <f>6000+'táj.2.'!K157</f>
        <v>6000</v>
      </c>
      <c r="L157" s="15">
        <f>0+'táj.2.'!L157</f>
        <v>0</v>
      </c>
      <c r="M157" s="15">
        <f>0+'táj.2.'!M157</f>
        <v>0</v>
      </c>
      <c r="N157" s="15">
        <f>0+'táj.2.'!N157</f>
        <v>0</v>
      </c>
      <c r="O157" s="15">
        <f>0+'táj.2.'!O157</f>
        <v>0</v>
      </c>
      <c r="P157" s="15">
        <f>0+'táj.2.'!P157</f>
        <v>0</v>
      </c>
      <c r="Q157" s="15">
        <f t="shared" si="7"/>
        <v>6000</v>
      </c>
    </row>
    <row r="158" spans="1:17" ht="15" customHeight="1">
      <c r="A158" s="13"/>
      <c r="B158" s="13"/>
      <c r="C158" s="205"/>
      <c r="D158" s="362" t="s">
        <v>99</v>
      </c>
      <c r="E158" s="364">
        <v>2</v>
      </c>
      <c r="F158" s="657">
        <v>131837</v>
      </c>
      <c r="G158" s="15">
        <f>0+'táj.2.'!G158</f>
        <v>0</v>
      </c>
      <c r="H158" s="15">
        <f>0+'táj.2.'!H158</f>
        <v>0</v>
      </c>
      <c r="I158" s="15">
        <f>0+'táj.2.'!I158</f>
        <v>0</v>
      </c>
      <c r="J158" s="15">
        <f>0+'táj.2.'!J158</f>
        <v>0</v>
      </c>
      <c r="K158" s="15">
        <f>5000+'táj.2.'!K158</f>
        <v>5000</v>
      </c>
      <c r="L158" s="15">
        <f>0+'táj.2.'!L158</f>
        <v>0</v>
      </c>
      <c r="M158" s="15">
        <f>0+'táj.2.'!M158</f>
        <v>0</v>
      </c>
      <c r="N158" s="15">
        <f>0+'táj.2.'!N158</f>
        <v>0</v>
      </c>
      <c r="O158" s="15">
        <f>0+'táj.2.'!O158</f>
        <v>0</v>
      </c>
      <c r="P158" s="15">
        <f>0+'táj.2.'!P158</f>
        <v>0</v>
      </c>
      <c r="Q158" s="15">
        <f t="shared" si="7"/>
        <v>5000</v>
      </c>
    </row>
    <row r="159" spans="1:17" ht="15" customHeight="1">
      <c r="A159" s="13"/>
      <c r="B159" s="13"/>
      <c r="C159" s="205"/>
      <c r="D159" s="362" t="s">
        <v>100</v>
      </c>
      <c r="E159" s="364">
        <v>2</v>
      </c>
      <c r="F159" s="657">
        <v>131838</v>
      </c>
      <c r="G159" s="15">
        <f>0+'táj.2.'!G159</f>
        <v>0</v>
      </c>
      <c r="H159" s="15">
        <f>0+'táj.2.'!H159</f>
        <v>0</v>
      </c>
      <c r="I159" s="15">
        <f>0+'táj.2.'!I159</f>
        <v>0</v>
      </c>
      <c r="J159" s="15">
        <f>0+'táj.2.'!J159</f>
        <v>0</v>
      </c>
      <c r="K159" s="15">
        <f>5000+'táj.2.'!K159</f>
        <v>5000</v>
      </c>
      <c r="L159" s="15">
        <f>0+'táj.2.'!L159</f>
        <v>0</v>
      </c>
      <c r="M159" s="15">
        <f>0+'táj.2.'!M159</f>
        <v>0</v>
      </c>
      <c r="N159" s="15">
        <f>0+'táj.2.'!N159</f>
        <v>0</v>
      </c>
      <c r="O159" s="15">
        <f>0+'táj.2.'!O159</f>
        <v>0</v>
      </c>
      <c r="P159" s="15">
        <f>0+'táj.2.'!P159</f>
        <v>0</v>
      </c>
      <c r="Q159" s="15">
        <f t="shared" si="7"/>
        <v>5000</v>
      </c>
    </row>
    <row r="160" spans="1:17" ht="11.25" customHeight="1">
      <c r="A160" s="13"/>
      <c r="B160" s="13"/>
      <c r="C160" s="205"/>
      <c r="D160" s="362" t="s">
        <v>101</v>
      </c>
      <c r="E160" s="364">
        <v>2</v>
      </c>
      <c r="F160" s="657">
        <v>131839</v>
      </c>
      <c r="G160" s="15">
        <f>0+'táj.2.'!G160</f>
        <v>0</v>
      </c>
      <c r="H160" s="15">
        <f>0+'táj.2.'!H160</f>
        <v>0</v>
      </c>
      <c r="I160" s="15">
        <f>0+'táj.2.'!I160</f>
        <v>0</v>
      </c>
      <c r="J160" s="15">
        <f>0+'táj.2.'!J160</f>
        <v>0</v>
      </c>
      <c r="K160" s="15">
        <f>500+'táj.2.'!K160</f>
        <v>500</v>
      </c>
      <c r="L160" s="15">
        <f>0+'táj.2.'!L160</f>
        <v>0</v>
      </c>
      <c r="M160" s="15">
        <f>0+'táj.2.'!M160</f>
        <v>0</v>
      </c>
      <c r="N160" s="15">
        <f>0+'táj.2.'!N160</f>
        <v>0</v>
      </c>
      <c r="O160" s="15">
        <f>0+'táj.2.'!O160</f>
        <v>0</v>
      </c>
      <c r="P160" s="15">
        <f>0+'táj.2.'!P160</f>
        <v>0</v>
      </c>
      <c r="Q160" s="15">
        <f t="shared" si="7"/>
        <v>500</v>
      </c>
    </row>
    <row r="161" spans="1:17" ht="15" customHeight="1">
      <c r="A161" s="13"/>
      <c r="B161" s="13"/>
      <c r="C161" s="205"/>
      <c r="D161" s="362" t="s">
        <v>102</v>
      </c>
      <c r="E161" s="364">
        <v>2</v>
      </c>
      <c r="F161" s="657">
        <v>131840</v>
      </c>
      <c r="G161" s="15">
        <f>0+'táj.2.'!G161</f>
        <v>0</v>
      </c>
      <c r="H161" s="15">
        <f>0+'táj.2.'!H161</f>
        <v>0</v>
      </c>
      <c r="I161" s="15">
        <f>0+'táj.2.'!I161</f>
        <v>0</v>
      </c>
      <c r="J161" s="15">
        <f>0+'táj.2.'!J161</f>
        <v>0</v>
      </c>
      <c r="K161" s="15">
        <f>1500+'táj.2.'!K161</f>
        <v>1500</v>
      </c>
      <c r="L161" s="15">
        <f>0+'táj.2.'!L161</f>
        <v>0</v>
      </c>
      <c r="M161" s="15">
        <f>0+'táj.2.'!M161</f>
        <v>0</v>
      </c>
      <c r="N161" s="15">
        <f>0+'táj.2.'!N161</f>
        <v>0</v>
      </c>
      <c r="O161" s="15">
        <f>0+'táj.2.'!O161</f>
        <v>0</v>
      </c>
      <c r="P161" s="15">
        <f>0+'táj.2.'!P161</f>
        <v>0</v>
      </c>
      <c r="Q161" s="15">
        <f t="shared" si="7"/>
        <v>1500</v>
      </c>
    </row>
    <row r="162" spans="1:17" ht="11.25" customHeight="1">
      <c r="A162" s="13"/>
      <c r="B162" s="13"/>
      <c r="C162" s="205"/>
      <c r="D162" s="362" t="s">
        <v>103</v>
      </c>
      <c r="E162" s="364">
        <v>2</v>
      </c>
      <c r="F162" s="657">
        <v>131841</v>
      </c>
      <c r="G162" s="15">
        <f>0+'táj.2.'!G162</f>
        <v>0</v>
      </c>
      <c r="H162" s="15">
        <f>0+'táj.2.'!H162</f>
        <v>0</v>
      </c>
      <c r="I162" s="15">
        <f>0+'táj.2.'!I162</f>
        <v>0</v>
      </c>
      <c r="J162" s="15">
        <f>0+'táj.2.'!J162</f>
        <v>0</v>
      </c>
      <c r="K162" s="15">
        <f>500+'táj.2.'!K162</f>
        <v>500</v>
      </c>
      <c r="L162" s="15">
        <f>0+'táj.2.'!L162</f>
        <v>0</v>
      </c>
      <c r="M162" s="15">
        <f>0+'táj.2.'!M162</f>
        <v>0</v>
      </c>
      <c r="N162" s="15">
        <f>0+'táj.2.'!N162</f>
        <v>0</v>
      </c>
      <c r="O162" s="15">
        <f>0+'táj.2.'!O162</f>
        <v>0</v>
      </c>
      <c r="P162" s="15">
        <f>0+'táj.2.'!P162</f>
        <v>0</v>
      </c>
      <c r="Q162" s="15">
        <f t="shared" si="7"/>
        <v>500</v>
      </c>
    </row>
    <row r="163" spans="1:17" ht="14.25" customHeight="1">
      <c r="A163" s="13"/>
      <c r="B163" s="13"/>
      <c r="C163" s="205"/>
      <c r="D163" s="362" t="s">
        <v>104</v>
      </c>
      <c r="E163" s="364">
        <v>2</v>
      </c>
      <c r="F163" s="657">
        <v>131842</v>
      </c>
      <c r="G163" s="15">
        <f>0+'táj.2.'!G163</f>
        <v>0</v>
      </c>
      <c r="H163" s="15">
        <f>0+'táj.2.'!H163</f>
        <v>0</v>
      </c>
      <c r="I163" s="15">
        <f>0+'táj.2.'!I163</f>
        <v>0</v>
      </c>
      <c r="J163" s="15">
        <f>0+'táj.2.'!J163</f>
        <v>0</v>
      </c>
      <c r="K163" s="15">
        <f>2500+'táj.2.'!K163</f>
        <v>2500</v>
      </c>
      <c r="L163" s="15">
        <f>0+'táj.2.'!L163</f>
        <v>0</v>
      </c>
      <c r="M163" s="15">
        <f>0+'táj.2.'!M163</f>
        <v>0</v>
      </c>
      <c r="N163" s="15">
        <f>0+'táj.2.'!N163</f>
        <v>0</v>
      </c>
      <c r="O163" s="15">
        <f>0+'táj.2.'!O163</f>
        <v>0</v>
      </c>
      <c r="P163" s="15">
        <f>0+'táj.2.'!P163</f>
        <v>0</v>
      </c>
      <c r="Q163" s="15">
        <f t="shared" si="7"/>
        <v>2500</v>
      </c>
    </row>
    <row r="164" spans="1:17" ht="12.75" customHeight="1">
      <c r="A164" s="13"/>
      <c r="B164" s="13"/>
      <c r="C164" s="205"/>
      <c r="D164" s="362" t="s">
        <v>105</v>
      </c>
      <c r="E164" s="364">
        <v>2</v>
      </c>
      <c r="F164" s="657">
        <v>131843</v>
      </c>
      <c r="G164" s="15">
        <f>0+'táj.2.'!G164</f>
        <v>0</v>
      </c>
      <c r="H164" s="15">
        <f>0+'táj.2.'!H164</f>
        <v>0</v>
      </c>
      <c r="I164" s="15">
        <f>0+'táj.2.'!I164</f>
        <v>0</v>
      </c>
      <c r="J164" s="15">
        <f>0+'táj.2.'!J164</f>
        <v>0</v>
      </c>
      <c r="K164" s="15">
        <f>2000+'táj.2.'!K164</f>
        <v>2000</v>
      </c>
      <c r="L164" s="15">
        <f>0+'táj.2.'!L164</f>
        <v>0</v>
      </c>
      <c r="M164" s="15">
        <f>0+'táj.2.'!M164</f>
        <v>0</v>
      </c>
      <c r="N164" s="15">
        <f>0+'táj.2.'!N164</f>
        <v>0</v>
      </c>
      <c r="O164" s="15">
        <f>0+'táj.2.'!O164</f>
        <v>0</v>
      </c>
      <c r="P164" s="15">
        <f>0+'táj.2.'!P164</f>
        <v>0</v>
      </c>
      <c r="Q164" s="15">
        <f t="shared" si="7"/>
        <v>2000</v>
      </c>
    </row>
    <row r="165" spans="1:17" ht="15" customHeight="1">
      <c r="A165" s="13"/>
      <c r="B165" s="13"/>
      <c r="C165" s="205"/>
      <c r="D165" s="24" t="s">
        <v>106</v>
      </c>
      <c r="E165" s="364">
        <v>2</v>
      </c>
      <c r="F165" s="657">
        <v>131844</v>
      </c>
      <c r="G165" s="15">
        <f>0+'táj.2.'!G165</f>
        <v>0</v>
      </c>
      <c r="H165" s="15">
        <f>0+'táj.2.'!H165</f>
        <v>0</v>
      </c>
      <c r="I165" s="15">
        <f>0+'táj.2.'!I165</f>
        <v>0</v>
      </c>
      <c r="J165" s="15">
        <f>0+'táj.2.'!J165</f>
        <v>0</v>
      </c>
      <c r="K165" s="15">
        <f>500+'táj.2.'!K165</f>
        <v>500</v>
      </c>
      <c r="L165" s="15">
        <f>0+'táj.2.'!L165</f>
        <v>0</v>
      </c>
      <c r="M165" s="15">
        <f>0+'táj.2.'!M165</f>
        <v>0</v>
      </c>
      <c r="N165" s="15">
        <f>0+'táj.2.'!N165</f>
        <v>0</v>
      </c>
      <c r="O165" s="15">
        <f>0+'táj.2.'!O165</f>
        <v>0</v>
      </c>
      <c r="P165" s="15">
        <f>0+'táj.2.'!P165</f>
        <v>0</v>
      </c>
      <c r="Q165" s="15">
        <f t="shared" si="7"/>
        <v>500</v>
      </c>
    </row>
    <row r="166" spans="1:17" ht="15" customHeight="1">
      <c r="A166" s="13"/>
      <c r="B166" s="13"/>
      <c r="C166" s="205"/>
      <c r="D166" s="24" t="s">
        <v>1317</v>
      </c>
      <c r="E166" s="364">
        <v>2</v>
      </c>
      <c r="F166" s="657">
        <v>131846</v>
      </c>
      <c r="G166" s="15">
        <f>0+'táj.2.'!G167</f>
        <v>0</v>
      </c>
      <c r="H166" s="15">
        <f>0+'táj.2.'!H167</f>
        <v>0</v>
      </c>
      <c r="I166" s="15">
        <f>0+'táj.2.'!I167</f>
        <v>0</v>
      </c>
      <c r="J166" s="15">
        <f>0+'táj.2.'!J167</f>
        <v>0</v>
      </c>
      <c r="K166" s="15">
        <f>5000+'táj.2.'!K166</f>
        <v>5000</v>
      </c>
      <c r="L166" s="15">
        <f>0+'táj.2.'!L167</f>
        <v>0</v>
      </c>
      <c r="M166" s="15">
        <f>0+'táj.2.'!M167</f>
        <v>0</v>
      </c>
      <c r="N166" s="15">
        <f>0+'táj.2.'!N167</f>
        <v>0</v>
      </c>
      <c r="O166" s="15">
        <f>0+'táj.2.'!O167</f>
        <v>0</v>
      </c>
      <c r="P166" s="15">
        <f>0+'táj.2.'!P167</f>
        <v>0</v>
      </c>
      <c r="Q166" s="15">
        <f t="shared" si="7"/>
        <v>5000</v>
      </c>
    </row>
    <row r="167" spans="1:17" ht="15" customHeight="1">
      <c r="A167" s="13"/>
      <c r="B167" s="13"/>
      <c r="C167" s="205"/>
      <c r="D167" s="24" t="s">
        <v>1325</v>
      </c>
      <c r="E167" s="337"/>
      <c r="F167" s="23"/>
      <c r="G167" s="15"/>
      <c r="H167" s="25"/>
      <c r="I167" s="25"/>
      <c r="J167" s="25"/>
      <c r="K167" s="25"/>
      <c r="L167" s="25"/>
      <c r="M167" s="25"/>
      <c r="N167" s="25"/>
      <c r="O167" s="25"/>
      <c r="P167" s="25"/>
      <c r="Q167" s="15"/>
    </row>
    <row r="168" spans="1:17" ht="15" customHeight="1">
      <c r="A168" s="13"/>
      <c r="B168" s="13"/>
      <c r="C168" s="205"/>
      <c r="D168" s="24" t="s">
        <v>107</v>
      </c>
      <c r="E168" s="337">
        <v>1</v>
      </c>
      <c r="F168" s="23">
        <v>131827</v>
      </c>
      <c r="G168" s="15">
        <f>0+'táj.2.'!G168</f>
        <v>0</v>
      </c>
      <c r="H168" s="15">
        <f>0+'táj.2.'!H168</f>
        <v>0</v>
      </c>
      <c r="I168" s="15">
        <f>24990+'táj.2.'!I168</f>
        <v>24990</v>
      </c>
      <c r="J168" s="15">
        <f>0+'táj.2.'!J168</f>
        <v>0</v>
      </c>
      <c r="K168" s="15">
        <f>0+'táj.2.'!K168</f>
        <v>0</v>
      </c>
      <c r="L168" s="15">
        <f>0+'táj.2.'!L168</f>
        <v>0</v>
      </c>
      <c r="M168" s="15">
        <f>0+'táj.2.'!M168</f>
        <v>0</v>
      </c>
      <c r="N168" s="15">
        <f>0+'táj.2.'!N168</f>
        <v>0</v>
      </c>
      <c r="O168" s="15">
        <f>0+'táj.2.'!O168</f>
        <v>0</v>
      </c>
      <c r="P168" s="15">
        <f>0+'táj.2.'!P168</f>
        <v>0</v>
      </c>
      <c r="Q168" s="15">
        <f>SUM(G168:P168)</f>
        <v>24990</v>
      </c>
    </row>
    <row r="169" spans="1:17" ht="15" customHeight="1">
      <c r="A169" s="13"/>
      <c r="B169" s="13"/>
      <c r="C169" s="205"/>
      <c r="D169" s="677" t="s">
        <v>33</v>
      </c>
      <c r="E169" s="78">
        <v>2</v>
      </c>
      <c r="F169" s="23">
        <v>131829</v>
      </c>
      <c r="G169" s="15">
        <f>31+'táj.2.'!G169</f>
        <v>0</v>
      </c>
      <c r="H169" s="15">
        <f>0+'táj.2.'!H169</f>
        <v>31</v>
      </c>
      <c r="I169" s="15">
        <f>0+'táj.2.'!I169</f>
        <v>0</v>
      </c>
      <c r="J169" s="15">
        <f>0+'táj.2.'!J169</f>
        <v>0</v>
      </c>
      <c r="K169" s="15">
        <f>5169+'táj.2.'!K169</f>
        <v>5169</v>
      </c>
      <c r="L169" s="15">
        <f>0+'táj.2.'!L169</f>
        <v>0</v>
      </c>
      <c r="M169" s="15">
        <f>0+'táj.2.'!M169</f>
        <v>0</v>
      </c>
      <c r="N169" s="15">
        <f>0+'táj.2.'!N169</f>
        <v>0</v>
      </c>
      <c r="O169" s="15">
        <f>0+'táj.2.'!O169</f>
        <v>0</v>
      </c>
      <c r="P169" s="15">
        <f>0+'táj.2.'!P169</f>
        <v>0</v>
      </c>
      <c r="Q169" s="15">
        <f>SUM(G169:P169)</f>
        <v>5200</v>
      </c>
    </row>
    <row r="170" spans="1:17" ht="15" customHeight="1">
      <c r="A170" s="13"/>
      <c r="B170" s="13"/>
      <c r="C170" s="205"/>
      <c r="D170" s="677" t="s">
        <v>27</v>
      </c>
      <c r="E170" s="78">
        <v>1</v>
      </c>
      <c r="F170" s="23">
        <v>131831</v>
      </c>
      <c r="G170" s="15">
        <f>0+'táj.2.'!G170</f>
        <v>0</v>
      </c>
      <c r="H170" s="15">
        <f>0+'táj.2.'!H170</f>
        <v>0</v>
      </c>
      <c r="I170" s="15">
        <f>0+'táj.2.'!I170</f>
        <v>0</v>
      </c>
      <c r="J170" s="15">
        <f>0+'táj.2.'!J170</f>
        <v>0</v>
      </c>
      <c r="K170" s="15">
        <f>1800+'táj.2.'!K170</f>
        <v>1800</v>
      </c>
      <c r="L170" s="15">
        <f>0+'táj.2.'!L170</f>
        <v>0</v>
      </c>
      <c r="M170" s="15">
        <f>0+'táj.2.'!M170</f>
        <v>0</v>
      </c>
      <c r="N170" s="15">
        <f>0+'táj.2.'!N170</f>
        <v>0</v>
      </c>
      <c r="O170" s="15">
        <f>0+'táj.2.'!O170</f>
        <v>0</v>
      </c>
      <c r="P170" s="15">
        <f>0+'táj.2.'!P170</f>
        <v>0</v>
      </c>
      <c r="Q170" s="15">
        <f>SUM(G170:P170)</f>
        <v>1800</v>
      </c>
    </row>
    <row r="171" spans="1:17" ht="12">
      <c r="A171" s="17"/>
      <c r="B171" s="17"/>
      <c r="C171" s="346"/>
      <c r="D171" s="18" t="s">
        <v>422</v>
      </c>
      <c r="E171" s="347"/>
      <c r="F171" s="649"/>
      <c r="G171" s="19">
        <f>SUM(G55:G170)</f>
        <v>4454</v>
      </c>
      <c r="H171" s="19">
        <f aca="true" t="shared" si="8" ref="H171:Q171">SUM(H55:H170)</f>
        <v>1176</v>
      </c>
      <c r="I171" s="19">
        <f t="shared" si="8"/>
        <v>94867</v>
      </c>
      <c r="J171" s="19">
        <f t="shared" si="8"/>
        <v>19674</v>
      </c>
      <c r="K171" s="19">
        <f t="shared" si="8"/>
        <v>530246</v>
      </c>
      <c r="L171" s="19">
        <f t="shared" si="8"/>
        <v>680</v>
      </c>
      <c r="M171" s="19">
        <f t="shared" si="8"/>
        <v>0</v>
      </c>
      <c r="N171" s="19">
        <f t="shared" si="8"/>
        <v>0</v>
      </c>
      <c r="O171" s="19">
        <f t="shared" si="8"/>
        <v>0</v>
      </c>
      <c r="P171" s="19">
        <f t="shared" si="8"/>
        <v>0</v>
      </c>
      <c r="Q171" s="19">
        <f t="shared" si="8"/>
        <v>651097</v>
      </c>
    </row>
    <row r="172" spans="1:17" ht="12">
      <c r="A172" s="183"/>
      <c r="B172" s="183"/>
      <c r="C172" s="365"/>
      <c r="D172" s="357" t="s">
        <v>1402</v>
      </c>
      <c r="E172" s="14"/>
      <c r="F172" s="650"/>
      <c r="G172" s="20"/>
      <c r="H172" s="20"/>
      <c r="I172" s="20"/>
      <c r="J172" s="15"/>
      <c r="K172" s="15"/>
      <c r="L172" s="20"/>
      <c r="M172" s="20"/>
      <c r="N172" s="15"/>
      <c r="O172" s="15"/>
      <c r="P172" s="20"/>
      <c r="Q172" s="15"/>
    </row>
    <row r="173" spans="1:17" ht="12">
      <c r="A173" s="183"/>
      <c r="B173" s="183"/>
      <c r="C173" s="366" t="s">
        <v>562</v>
      </c>
      <c r="D173" s="189" t="s">
        <v>480</v>
      </c>
      <c r="E173" s="14"/>
      <c r="F173" s="650"/>
      <c r="G173" s="20"/>
      <c r="H173" s="20"/>
      <c r="I173" s="20"/>
      <c r="J173" s="15"/>
      <c r="K173" s="15"/>
      <c r="L173" s="20"/>
      <c r="M173" s="20"/>
      <c r="N173" s="15"/>
      <c r="O173" s="15"/>
      <c r="P173" s="20"/>
      <c r="Q173" s="15"/>
    </row>
    <row r="174" spans="1:17" ht="12">
      <c r="A174" s="183"/>
      <c r="B174" s="183"/>
      <c r="C174" s="365" t="s">
        <v>108</v>
      </c>
      <c r="D174" s="367" t="s">
        <v>109</v>
      </c>
      <c r="E174" s="14"/>
      <c r="F174" s="650"/>
      <c r="G174" s="20"/>
      <c r="H174" s="20"/>
      <c r="I174" s="20"/>
      <c r="J174" s="15"/>
      <c r="K174" s="15"/>
      <c r="L174" s="15"/>
      <c r="M174" s="15"/>
      <c r="N174" s="15"/>
      <c r="O174" s="20"/>
      <c r="P174" s="20"/>
      <c r="Q174" s="15"/>
    </row>
    <row r="175" spans="1:17" ht="12">
      <c r="A175" s="183"/>
      <c r="B175" s="183"/>
      <c r="C175" s="205" t="s">
        <v>110</v>
      </c>
      <c r="D175" s="368" t="s">
        <v>1192</v>
      </c>
      <c r="E175" s="14"/>
      <c r="F175" s="650">
        <v>134903</v>
      </c>
      <c r="G175" s="15">
        <f>0+'táj.2.'!G175</f>
        <v>0</v>
      </c>
      <c r="H175" s="15">
        <f>0+'táj.2.'!H175</f>
        <v>0</v>
      </c>
      <c r="I175" s="15">
        <f>0+'táj.2.'!I175</f>
        <v>0</v>
      </c>
      <c r="J175" s="15">
        <f>0+'táj.2.'!J175</f>
        <v>0</v>
      </c>
      <c r="K175" s="15">
        <f>0+'táj.2.'!K175</f>
        <v>0</v>
      </c>
      <c r="L175" s="15">
        <f>0+'táj.2.'!L175</f>
        <v>0</v>
      </c>
      <c r="M175" s="15">
        <f>14960+'táj.2.'!M175</f>
        <v>16136</v>
      </c>
      <c r="N175" s="15">
        <f>0+'táj.2.'!N175</f>
        <v>0</v>
      </c>
      <c r="O175" s="15">
        <f>0+'táj.2.'!O175</f>
        <v>0</v>
      </c>
      <c r="P175" s="15">
        <f>0+'táj.2.'!P175</f>
        <v>0</v>
      </c>
      <c r="Q175" s="15">
        <f aca="true" t="shared" si="9" ref="Q175:Q182">SUM(G175:P175)</f>
        <v>16136</v>
      </c>
    </row>
    <row r="176" spans="1:17" ht="12">
      <c r="A176" s="183"/>
      <c r="B176" s="183"/>
      <c r="C176" s="205" t="s">
        <v>111</v>
      </c>
      <c r="D176" s="128" t="s">
        <v>237</v>
      </c>
      <c r="E176" s="14"/>
      <c r="F176" s="650">
        <v>134906</v>
      </c>
      <c r="G176" s="15">
        <f>0+'táj.2.'!G176</f>
        <v>0</v>
      </c>
      <c r="H176" s="15">
        <f>0+'táj.2.'!H176</f>
        <v>0</v>
      </c>
      <c r="I176" s="15">
        <f>0+'táj.2.'!I176</f>
        <v>0</v>
      </c>
      <c r="J176" s="15">
        <f>0+'táj.2.'!J176</f>
        <v>0</v>
      </c>
      <c r="K176" s="15">
        <f>0+'táj.2.'!K176</f>
        <v>0</v>
      </c>
      <c r="L176" s="15">
        <f>0+'táj.2.'!L176</f>
        <v>0</v>
      </c>
      <c r="M176" s="15">
        <f>0+'táj.2.'!M176</f>
        <v>0</v>
      </c>
      <c r="N176" s="15">
        <f>500+'táj.2.'!N176</f>
        <v>500</v>
      </c>
      <c r="O176" s="15">
        <f>0+'táj.2.'!O176</f>
        <v>0</v>
      </c>
      <c r="P176" s="15">
        <f>0+'táj.2.'!P176</f>
        <v>0</v>
      </c>
      <c r="Q176" s="15">
        <f t="shared" si="9"/>
        <v>500</v>
      </c>
    </row>
    <row r="177" spans="1:17" ht="12">
      <c r="A177" s="183"/>
      <c r="B177" s="183"/>
      <c r="C177" s="205" t="s">
        <v>112</v>
      </c>
      <c r="D177" s="128" t="s">
        <v>113</v>
      </c>
      <c r="E177" s="14"/>
      <c r="F177" s="650">
        <v>134956</v>
      </c>
      <c r="G177" s="15">
        <f>0+'táj.2.'!G177</f>
        <v>0</v>
      </c>
      <c r="H177" s="15">
        <f>0+'táj.2.'!H177</f>
        <v>0</v>
      </c>
      <c r="I177" s="15">
        <f>0+'táj.2.'!I177</f>
        <v>0</v>
      </c>
      <c r="J177" s="15">
        <f>0+'táj.2.'!J177</f>
        <v>0</v>
      </c>
      <c r="K177" s="15">
        <f>0+'táj.2.'!K177</f>
        <v>0</v>
      </c>
      <c r="L177" s="15">
        <f>0+'táj.2.'!L177</f>
        <v>0</v>
      </c>
      <c r="M177" s="15">
        <f>2500+'táj.2.'!M177</f>
        <v>2500</v>
      </c>
      <c r="N177" s="15">
        <f>0+'táj.2.'!N177</f>
        <v>0</v>
      </c>
      <c r="O177" s="15">
        <f>0+'táj.2.'!O177</f>
        <v>0</v>
      </c>
      <c r="P177" s="15">
        <f>0+'táj.2.'!P177</f>
        <v>0</v>
      </c>
      <c r="Q177" s="15">
        <f t="shared" si="9"/>
        <v>2500</v>
      </c>
    </row>
    <row r="178" spans="1:17" ht="22.5" customHeight="1">
      <c r="A178" s="183"/>
      <c r="B178" s="183"/>
      <c r="C178" s="205" t="s">
        <v>115</v>
      </c>
      <c r="D178" s="128" t="s">
        <v>114</v>
      </c>
      <c r="E178" s="14"/>
      <c r="F178" s="650">
        <v>134957</v>
      </c>
      <c r="G178" s="15">
        <f>0+'táj.2.'!G178</f>
        <v>0</v>
      </c>
      <c r="H178" s="15">
        <f>0+'táj.2.'!H178</f>
        <v>0</v>
      </c>
      <c r="I178" s="15">
        <f>0+'táj.2.'!I178</f>
        <v>0</v>
      </c>
      <c r="J178" s="15">
        <f>0+'táj.2.'!J178</f>
        <v>0</v>
      </c>
      <c r="K178" s="15">
        <f>0+'táj.2.'!K178</f>
        <v>0</v>
      </c>
      <c r="L178" s="15">
        <f>0+'táj.2.'!L178</f>
        <v>0</v>
      </c>
      <c r="M178" s="15">
        <f>4610+'táj.2.'!M178</f>
        <v>4727</v>
      </c>
      <c r="N178" s="15">
        <f>0+'táj.2.'!N178</f>
        <v>0</v>
      </c>
      <c r="O178" s="15">
        <f>0+'táj.2.'!O178</f>
        <v>0</v>
      </c>
      <c r="P178" s="15">
        <f>0+'táj.2.'!P178</f>
        <v>0</v>
      </c>
      <c r="Q178" s="15">
        <f t="shared" si="9"/>
        <v>4727</v>
      </c>
    </row>
    <row r="179" spans="1:17" ht="12">
      <c r="A179" s="183"/>
      <c r="B179" s="183"/>
      <c r="C179" s="205" t="s">
        <v>117</v>
      </c>
      <c r="D179" s="128" t="s">
        <v>116</v>
      </c>
      <c r="E179" s="14"/>
      <c r="F179" s="650">
        <v>134958</v>
      </c>
      <c r="G179" s="15">
        <f>0+'táj.2.'!G179</f>
        <v>0</v>
      </c>
      <c r="H179" s="15">
        <f>0+'táj.2.'!H179</f>
        <v>0</v>
      </c>
      <c r="I179" s="15">
        <f>0+'táj.2.'!I179</f>
        <v>0</v>
      </c>
      <c r="J179" s="15">
        <f>0+'táj.2.'!J179</f>
        <v>0</v>
      </c>
      <c r="K179" s="15">
        <f>0+'táj.2.'!K179</f>
        <v>0</v>
      </c>
      <c r="L179" s="15">
        <f>0+'táj.2.'!L179</f>
        <v>0</v>
      </c>
      <c r="M179" s="15">
        <f>0+'táj.2.'!M179</f>
        <v>0</v>
      </c>
      <c r="N179" s="15">
        <f>500+'táj.2.'!N179</f>
        <v>500</v>
      </c>
      <c r="O179" s="15">
        <f>0+'táj.2.'!O179</f>
        <v>0</v>
      </c>
      <c r="P179" s="15">
        <f>0+'táj.2.'!P179</f>
        <v>0</v>
      </c>
      <c r="Q179" s="15">
        <f t="shared" si="9"/>
        <v>500</v>
      </c>
    </row>
    <row r="180" spans="1:17" ht="12">
      <c r="A180" s="183"/>
      <c r="B180" s="183"/>
      <c r="C180" s="205" t="s">
        <v>737</v>
      </c>
      <c r="D180" s="128" t="s">
        <v>118</v>
      </c>
      <c r="E180" s="14"/>
      <c r="F180" s="650">
        <v>134959</v>
      </c>
      <c r="G180" s="15">
        <f>0+'táj.2.'!G180</f>
        <v>0</v>
      </c>
      <c r="H180" s="15">
        <f>0+'táj.2.'!H180</f>
        <v>0</v>
      </c>
      <c r="I180" s="15">
        <f>0+'táj.2.'!I180</f>
        <v>0</v>
      </c>
      <c r="J180" s="15">
        <f>0+'táj.2.'!J180</f>
        <v>0</v>
      </c>
      <c r="K180" s="15">
        <f>0+'táj.2.'!K180</f>
        <v>0</v>
      </c>
      <c r="L180" s="15">
        <f>0+'táj.2.'!L180</f>
        <v>0</v>
      </c>
      <c r="M180" s="15">
        <f>1000+'táj.2.'!M180</f>
        <v>1154</v>
      </c>
      <c r="N180" s="15">
        <f>0+'táj.2.'!N180</f>
        <v>0</v>
      </c>
      <c r="O180" s="15">
        <f>0+'táj.2.'!O180</f>
        <v>0</v>
      </c>
      <c r="P180" s="15">
        <f>0+'táj.2.'!P180</f>
        <v>0</v>
      </c>
      <c r="Q180" s="15">
        <f t="shared" si="9"/>
        <v>1154</v>
      </c>
    </row>
    <row r="181" spans="1:17" ht="12.75">
      <c r="A181" s="183"/>
      <c r="B181" s="183"/>
      <c r="C181" s="680" t="s">
        <v>37</v>
      </c>
      <c r="D181" s="679" t="s">
        <v>38</v>
      </c>
      <c r="E181" s="14"/>
      <c r="F181" s="13">
        <v>134932</v>
      </c>
      <c r="G181" s="15">
        <f>0+'táj.2.'!G181</f>
        <v>0</v>
      </c>
      <c r="H181" s="15">
        <f>0+'táj.2.'!H181</f>
        <v>0</v>
      </c>
      <c r="I181" s="15">
        <f>0+'táj.2.'!I181</f>
        <v>0</v>
      </c>
      <c r="J181" s="15">
        <f>0+'táj.2.'!J181</f>
        <v>0</v>
      </c>
      <c r="K181" s="15">
        <f>0+'táj.2.'!K181</f>
        <v>0</v>
      </c>
      <c r="L181" s="15">
        <f>0+'táj.2.'!L181</f>
        <v>0</v>
      </c>
      <c r="M181" s="15">
        <f>1826+'táj.2.'!M181</f>
        <v>1826</v>
      </c>
      <c r="N181" s="15">
        <f>0+'táj.2.'!N181</f>
        <v>0</v>
      </c>
      <c r="O181" s="15">
        <f>0+'táj.2.'!O181</f>
        <v>0</v>
      </c>
      <c r="P181" s="15">
        <f>0+'táj.2.'!P181</f>
        <v>0</v>
      </c>
      <c r="Q181" s="15">
        <f t="shared" si="9"/>
        <v>1826</v>
      </c>
    </row>
    <row r="182" spans="1:17" ht="25.5">
      <c r="A182" s="183"/>
      <c r="B182" s="183"/>
      <c r="C182" s="678" t="s">
        <v>195</v>
      </c>
      <c r="D182" s="679" t="s">
        <v>194</v>
      </c>
      <c r="E182" s="751"/>
      <c r="F182" s="688">
        <v>134933</v>
      </c>
      <c r="G182" s="15">
        <f>0+'táj.2.'!G182</f>
        <v>0</v>
      </c>
      <c r="H182" s="15">
        <f>0+'táj.2.'!H182</f>
        <v>0</v>
      </c>
      <c r="I182" s="15">
        <f>0+'táj.2.'!I182</f>
        <v>0</v>
      </c>
      <c r="J182" s="15">
        <f>0+'táj.2.'!J182</f>
        <v>0</v>
      </c>
      <c r="K182" s="15">
        <f>0+'táj.2.'!K182</f>
        <v>0</v>
      </c>
      <c r="L182" s="15">
        <f>0+'táj.2.'!L182</f>
        <v>0</v>
      </c>
      <c r="M182" s="15">
        <f>0+'táj.2.'!M182</f>
        <v>425</v>
      </c>
      <c r="N182" s="15">
        <f>0+'táj.2.'!N182</f>
        <v>0</v>
      </c>
      <c r="O182" s="15">
        <f>0+'táj.2.'!O182</f>
        <v>0</v>
      </c>
      <c r="P182" s="15">
        <f>0+'táj.2.'!P182</f>
        <v>0</v>
      </c>
      <c r="Q182" s="15">
        <f t="shared" si="9"/>
        <v>425</v>
      </c>
    </row>
    <row r="183" spans="1:17" ht="12">
      <c r="A183" s="183"/>
      <c r="B183" s="183"/>
      <c r="C183" s="205" t="s">
        <v>744</v>
      </c>
      <c r="D183" s="370" t="s">
        <v>745</v>
      </c>
      <c r="E183" s="14"/>
      <c r="F183" s="650"/>
      <c r="G183" s="15"/>
      <c r="H183" s="20"/>
      <c r="I183" s="20"/>
      <c r="J183" s="15"/>
      <c r="K183" s="15"/>
      <c r="L183" s="20"/>
      <c r="M183" s="20"/>
      <c r="N183" s="15"/>
      <c r="O183" s="15"/>
      <c r="P183" s="20"/>
      <c r="Q183" s="15"/>
    </row>
    <row r="184" spans="1:17" ht="21" customHeight="1">
      <c r="A184" s="183"/>
      <c r="B184" s="183"/>
      <c r="C184" s="205" t="s">
        <v>119</v>
      </c>
      <c r="D184" s="128" t="s">
        <v>120</v>
      </c>
      <c r="E184" s="14"/>
      <c r="F184" s="650">
        <v>132913</v>
      </c>
      <c r="G184" s="15">
        <f>0+'táj.2.'!G184</f>
        <v>0</v>
      </c>
      <c r="H184" s="15">
        <f>0+'táj.2.'!H184</f>
        <v>0</v>
      </c>
      <c r="I184" s="15">
        <f>0+'táj.2.'!I184</f>
        <v>0</v>
      </c>
      <c r="J184" s="15">
        <f>0+'táj.2.'!J184</f>
        <v>0</v>
      </c>
      <c r="K184" s="15">
        <f>0+'táj.2.'!K184</f>
        <v>0</v>
      </c>
      <c r="L184" s="15">
        <f>1000+'táj.2.'!L184</f>
        <v>999</v>
      </c>
      <c r="M184" s="15">
        <f>0+'táj.2.'!M184</f>
        <v>0</v>
      </c>
      <c r="N184" s="15">
        <f>0+'táj.2.'!N184</f>
        <v>0</v>
      </c>
      <c r="O184" s="15">
        <f>0+'táj.2.'!O184</f>
        <v>0</v>
      </c>
      <c r="P184" s="15">
        <f>0+'táj.2.'!P184</f>
        <v>0</v>
      </c>
      <c r="Q184" s="15">
        <f aca="true" t="shared" si="10" ref="Q184:Q194">SUM(G184:P184)</f>
        <v>999</v>
      </c>
    </row>
    <row r="185" spans="1:17" ht="12">
      <c r="A185" s="183"/>
      <c r="B185" s="183"/>
      <c r="C185" s="205" t="s">
        <v>121</v>
      </c>
      <c r="D185" s="128" t="s">
        <v>122</v>
      </c>
      <c r="E185" s="14"/>
      <c r="F185" s="650">
        <v>132912</v>
      </c>
      <c r="G185" s="15">
        <f>0+'táj.2.'!G185</f>
        <v>0</v>
      </c>
      <c r="H185" s="15">
        <f>0+'táj.2.'!H185</f>
        <v>0</v>
      </c>
      <c r="I185" s="15">
        <f>0+'táj.2.'!I185</f>
        <v>0</v>
      </c>
      <c r="J185" s="15">
        <f>0+'táj.2.'!J185</f>
        <v>0</v>
      </c>
      <c r="K185" s="15">
        <f>0+'táj.2.'!K185</f>
        <v>0</v>
      </c>
      <c r="L185" s="15">
        <f>1500+'táj.2.'!L185</f>
        <v>1500</v>
      </c>
      <c r="M185" s="15">
        <f>0+'táj.2.'!M185</f>
        <v>0</v>
      </c>
      <c r="N185" s="15">
        <f>0+'táj.2.'!N185</f>
        <v>0</v>
      </c>
      <c r="O185" s="15">
        <f>0+'táj.2.'!O185</f>
        <v>0</v>
      </c>
      <c r="P185" s="15">
        <f>0+'táj.2.'!P185</f>
        <v>0</v>
      </c>
      <c r="Q185" s="15">
        <f t="shared" si="10"/>
        <v>1500</v>
      </c>
    </row>
    <row r="186" spans="1:17" ht="12">
      <c r="A186" s="183"/>
      <c r="B186" s="183"/>
      <c r="C186" s="205" t="s">
        <v>123</v>
      </c>
      <c r="D186" s="523" t="s">
        <v>124</v>
      </c>
      <c r="E186" s="14"/>
      <c r="F186" s="650">
        <v>134911</v>
      </c>
      <c r="G186" s="15">
        <f>0+'táj.2.'!G186</f>
        <v>0</v>
      </c>
      <c r="H186" s="15">
        <f>0+'táj.2.'!H186</f>
        <v>0</v>
      </c>
      <c r="I186" s="15">
        <f>0+'táj.2.'!I186</f>
        <v>0</v>
      </c>
      <c r="J186" s="15">
        <f>0+'táj.2.'!J186</f>
        <v>0</v>
      </c>
      <c r="K186" s="15">
        <f>0+'táj.2.'!K186</f>
        <v>0</v>
      </c>
      <c r="L186" s="15">
        <f>0+'táj.2.'!L186</f>
        <v>0</v>
      </c>
      <c r="M186" s="15">
        <f>4954+'táj.2.'!M186</f>
        <v>1194</v>
      </c>
      <c r="N186" s="15">
        <f>0+'táj.2.'!N186</f>
        <v>0</v>
      </c>
      <c r="O186" s="15">
        <f>0+'táj.2.'!O186</f>
        <v>0</v>
      </c>
      <c r="P186" s="15">
        <f>0+'táj.2.'!P186</f>
        <v>0</v>
      </c>
      <c r="Q186" s="15">
        <f t="shared" si="10"/>
        <v>1194</v>
      </c>
    </row>
    <row r="187" spans="1:17" ht="12">
      <c r="A187" s="183"/>
      <c r="B187" s="183"/>
      <c r="C187" s="205" t="s">
        <v>125</v>
      </c>
      <c r="D187" s="128" t="s">
        <v>126</v>
      </c>
      <c r="E187" s="14"/>
      <c r="F187" s="650">
        <v>134960</v>
      </c>
      <c r="G187" s="15">
        <f>0+'táj.2.'!G187</f>
        <v>0</v>
      </c>
      <c r="H187" s="15">
        <f>0+'táj.2.'!H187</f>
        <v>0</v>
      </c>
      <c r="I187" s="15">
        <f>0+'táj.2.'!I187</f>
        <v>0</v>
      </c>
      <c r="J187" s="15">
        <f>0+'táj.2.'!J187</f>
        <v>0</v>
      </c>
      <c r="K187" s="15">
        <f>0+'táj.2.'!K187</f>
        <v>0</v>
      </c>
      <c r="L187" s="15">
        <f>0+'táj.2.'!L187</f>
        <v>0</v>
      </c>
      <c r="M187" s="15">
        <f>6046+'táj.2.'!M187</f>
        <v>6494</v>
      </c>
      <c r="N187" s="15">
        <f>0+'táj.2.'!N187</f>
        <v>0</v>
      </c>
      <c r="O187" s="15">
        <f>0+'táj.2.'!O187</f>
        <v>0</v>
      </c>
      <c r="P187" s="15">
        <f>0+'táj.2.'!P187</f>
        <v>0</v>
      </c>
      <c r="Q187" s="15">
        <f t="shared" si="10"/>
        <v>6494</v>
      </c>
    </row>
    <row r="188" spans="1:17" ht="21" customHeight="1">
      <c r="A188" s="183"/>
      <c r="B188" s="183"/>
      <c r="C188" s="205" t="s">
        <v>127</v>
      </c>
      <c r="D188" s="128" t="s">
        <v>128</v>
      </c>
      <c r="E188" s="14"/>
      <c r="F188" s="650">
        <v>134946</v>
      </c>
      <c r="G188" s="15">
        <f>0+'táj.2.'!G188</f>
        <v>0</v>
      </c>
      <c r="H188" s="15">
        <f>0+'táj.2.'!H188</f>
        <v>0</v>
      </c>
      <c r="I188" s="15">
        <f>0+'táj.2.'!I188</f>
        <v>0</v>
      </c>
      <c r="J188" s="15">
        <f>0+'táj.2.'!J188</f>
        <v>0</v>
      </c>
      <c r="K188" s="15">
        <f>0+'táj.2.'!K188</f>
        <v>0</v>
      </c>
      <c r="L188" s="15">
        <f>3500+'táj.2.'!L188</f>
        <v>4023</v>
      </c>
      <c r="M188" s="15">
        <f>0+'táj.2.'!M188</f>
        <v>305</v>
      </c>
      <c r="N188" s="15">
        <f>0+'táj.2.'!N188</f>
        <v>0</v>
      </c>
      <c r="O188" s="15">
        <f>0+'táj.2.'!O188</f>
        <v>0</v>
      </c>
      <c r="P188" s="15">
        <f>0+'táj.2.'!P188</f>
        <v>0</v>
      </c>
      <c r="Q188" s="15">
        <f t="shared" si="10"/>
        <v>4328</v>
      </c>
    </row>
    <row r="189" spans="1:17" ht="12">
      <c r="A189" s="183"/>
      <c r="B189" s="183"/>
      <c r="C189" s="205" t="s">
        <v>129</v>
      </c>
      <c r="D189" s="128" t="s">
        <v>130</v>
      </c>
      <c r="E189" s="14"/>
      <c r="F189" s="650">
        <v>134914</v>
      </c>
      <c r="G189" s="15">
        <f>0+'táj.2.'!G189</f>
        <v>0</v>
      </c>
      <c r="H189" s="15">
        <f>0+'táj.2.'!H189</f>
        <v>0</v>
      </c>
      <c r="I189" s="15">
        <f>0+'táj.2.'!I189</f>
        <v>0</v>
      </c>
      <c r="J189" s="15">
        <f>0+'táj.2.'!J189</f>
        <v>0</v>
      </c>
      <c r="K189" s="15">
        <f>0+'táj.2.'!K189</f>
        <v>0</v>
      </c>
      <c r="L189" s="15">
        <f>0+'táj.2.'!L189</f>
        <v>0</v>
      </c>
      <c r="M189" s="15">
        <f>0+'táj.2.'!M189</f>
        <v>0</v>
      </c>
      <c r="N189" s="15">
        <f>500+'táj.2.'!N189</f>
        <v>500</v>
      </c>
      <c r="O189" s="15">
        <f>0+'táj.2.'!O189</f>
        <v>0</v>
      </c>
      <c r="P189" s="15">
        <f>0+'táj.2.'!P189</f>
        <v>0</v>
      </c>
      <c r="Q189" s="15">
        <f t="shared" si="10"/>
        <v>500</v>
      </c>
    </row>
    <row r="190" spans="1:17" ht="12">
      <c r="A190" s="183"/>
      <c r="B190" s="183"/>
      <c r="C190" s="205" t="s">
        <v>131</v>
      </c>
      <c r="D190" s="128" t="s">
        <v>132</v>
      </c>
      <c r="E190" s="14"/>
      <c r="F190" s="650">
        <v>134915</v>
      </c>
      <c r="G190" s="15">
        <f>0+'táj.2.'!G190</f>
        <v>0</v>
      </c>
      <c r="H190" s="15">
        <f>0+'táj.2.'!H190</f>
        <v>0</v>
      </c>
      <c r="I190" s="15">
        <f>0+'táj.2.'!I190</f>
        <v>0</v>
      </c>
      <c r="J190" s="15">
        <f>0+'táj.2.'!J190</f>
        <v>0</v>
      </c>
      <c r="K190" s="15">
        <f>0+'táj.2.'!K190</f>
        <v>0</v>
      </c>
      <c r="L190" s="15">
        <f>0+'táj.2.'!L190</f>
        <v>0</v>
      </c>
      <c r="M190" s="15">
        <f>0+'táj.2.'!M190</f>
        <v>0</v>
      </c>
      <c r="N190" s="15">
        <f>500+'táj.2.'!N190</f>
        <v>0</v>
      </c>
      <c r="O190" s="15">
        <f>0+'táj.2.'!O190</f>
        <v>0</v>
      </c>
      <c r="P190" s="15">
        <f>0+'táj.2.'!P190</f>
        <v>0</v>
      </c>
      <c r="Q190" s="15">
        <f t="shared" si="10"/>
        <v>0</v>
      </c>
    </row>
    <row r="191" spans="1:17" ht="12">
      <c r="A191" s="183"/>
      <c r="B191" s="183"/>
      <c r="C191" s="205" t="s">
        <v>133</v>
      </c>
      <c r="D191" s="128" t="s">
        <v>134</v>
      </c>
      <c r="E191" s="14"/>
      <c r="F191" s="650">
        <v>134961</v>
      </c>
      <c r="G191" s="15">
        <f>0+'táj.2.'!G191</f>
        <v>0</v>
      </c>
      <c r="H191" s="15">
        <f>0+'táj.2.'!H191</f>
        <v>0</v>
      </c>
      <c r="I191" s="15">
        <f>0+'táj.2.'!I191</f>
        <v>0</v>
      </c>
      <c r="J191" s="15">
        <f>0+'táj.2.'!J191</f>
        <v>0</v>
      </c>
      <c r="K191" s="15">
        <f>0+'táj.2.'!K191</f>
        <v>0</v>
      </c>
      <c r="L191" s="15">
        <f>0+'táj.2.'!L191</f>
        <v>0</v>
      </c>
      <c r="M191" s="15">
        <f>0+'táj.2.'!M191</f>
        <v>0</v>
      </c>
      <c r="N191" s="15">
        <f>600+'táj.2.'!N191</f>
        <v>600</v>
      </c>
      <c r="O191" s="15">
        <f>0+'táj.2.'!O191</f>
        <v>0</v>
      </c>
      <c r="P191" s="15">
        <f>0+'táj.2.'!P191</f>
        <v>0</v>
      </c>
      <c r="Q191" s="15">
        <f t="shared" si="10"/>
        <v>600</v>
      </c>
    </row>
    <row r="192" spans="1:17" ht="12.75">
      <c r="A192" s="183"/>
      <c r="B192" s="183"/>
      <c r="C192" s="680" t="s">
        <v>10</v>
      </c>
      <c r="D192" s="679" t="s">
        <v>11</v>
      </c>
      <c r="E192" s="14"/>
      <c r="F192" s="650">
        <v>162902</v>
      </c>
      <c r="G192" s="15">
        <f>0+'táj.2.'!G192</f>
        <v>0</v>
      </c>
      <c r="H192" s="15">
        <f>0+'táj.2.'!H192</f>
        <v>0</v>
      </c>
      <c r="I192" s="15">
        <f>0+'táj.2.'!I192</f>
        <v>0</v>
      </c>
      <c r="J192" s="15">
        <f>0+'táj.2.'!J192</f>
        <v>0</v>
      </c>
      <c r="K192" s="15">
        <f>0+'táj.2.'!K192</f>
        <v>0</v>
      </c>
      <c r="L192" s="15">
        <f>1300+'táj.2.'!L192</f>
        <v>1300</v>
      </c>
      <c r="M192" s="15">
        <f>0+'táj.2.'!M192</f>
        <v>0</v>
      </c>
      <c r="N192" s="15">
        <f>0+'táj.2.'!N192</f>
        <v>0</v>
      </c>
      <c r="O192" s="15">
        <f>0+'táj.2.'!O192</f>
        <v>0</v>
      </c>
      <c r="P192" s="15">
        <f>0+'táj.2.'!P192</f>
        <v>0</v>
      </c>
      <c r="Q192" s="15">
        <f t="shared" si="10"/>
        <v>1300</v>
      </c>
    </row>
    <row r="193" spans="1:17" ht="25.5">
      <c r="A193" s="183"/>
      <c r="B193" s="183"/>
      <c r="C193" s="680" t="s">
        <v>191</v>
      </c>
      <c r="D193" s="679" t="s">
        <v>168</v>
      </c>
      <c r="E193" s="751"/>
      <c r="F193" s="688">
        <v>134816</v>
      </c>
      <c r="G193" s="15">
        <f>0+'táj.2.'!G193</f>
        <v>0</v>
      </c>
      <c r="H193" s="15">
        <f>0+'táj.2.'!H193</f>
        <v>0</v>
      </c>
      <c r="I193" s="15">
        <f>0+'táj.2.'!I193</f>
        <v>0</v>
      </c>
      <c r="J193" s="15">
        <f>0+'táj.2.'!J193</f>
        <v>0</v>
      </c>
      <c r="K193" s="15">
        <f>0+'táj.2.'!K193</f>
        <v>0</v>
      </c>
      <c r="L193" s="15">
        <f>0+'táj.2.'!L193</f>
        <v>0</v>
      </c>
      <c r="M193" s="15">
        <f>0+'táj.2.'!M193</f>
        <v>1268</v>
      </c>
      <c r="N193" s="15">
        <f>0+'táj.2.'!N193</f>
        <v>0</v>
      </c>
      <c r="O193" s="15">
        <f>0+'táj.2.'!O193</f>
        <v>0</v>
      </c>
      <c r="P193" s="15">
        <f>0+'táj.2.'!P193</f>
        <v>0</v>
      </c>
      <c r="Q193" s="15">
        <f t="shared" si="10"/>
        <v>1268</v>
      </c>
    </row>
    <row r="194" spans="1:17" ht="25.5">
      <c r="A194" s="183"/>
      <c r="B194" s="183"/>
      <c r="C194" s="680" t="s">
        <v>1041</v>
      </c>
      <c r="D194" s="807" t="s">
        <v>1042</v>
      </c>
      <c r="E194" s="14"/>
      <c r="F194" s="688">
        <v>132965</v>
      </c>
      <c r="G194" s="15">
        <f>0+'táj.2.'!G194</f>
        <v>0</v>
      </c>
      <c r="H194" s="15">
        <f>0+'táj.2.'!H194</f>
        <v>0</v>
      </c>
      <c r="I194" s="15">
        <f>0+'táj.2.'!I194</f>
        <v>0</v>
      </c>
      <c r="J194" s="15">
        <f>0+'táj.2.'!J194</f>
        <v>0</v>
      </c>
      <c r="K194" s="15">
        <f>0+'táj.2.'!K194</f>
        <v>0</v>
      </c>
      <c r="L194" s="15">
        <f>0+'táj.2.'!L194</f>
        <v>0</v>
      </c>
      <c r="M194" s="15">
        <f>0+'táj.2.'!M194</f>
        <v>0</v>
      </c>
      <c r="N194" s="15">
        <f>0+'táj.2.'!N194</f>
        <v>500</v>
      </c>
      <c r="O194" s="15">
        <f>0+'táj.2.'!O194</f>
        <v>0</v>
      </c>
      <c r="P194" s="15">
        <f>0+'táj.2.'!P194</f>
        <v>0</v>
      </c>
      <c r="Q194" s="15">
        <f t="shared" si="10"/>
        <v>500</v>
      </c>
    </row>
    <row r="195" spans="1:17" ht="12.75">
      <c r="A195" s="183"/>
      <c r="B195" s="183"/>
      <c r="C195" s="365" t="s">
        <v>135</v>
      </c>
      <c r="D195" s="803" t="s">
        <v>1255</v>
      </c>
      <c r="E195" s="14"/>
      <c r="F195" s="650"/>
      <c r="G195" s="15"/>
      <c r="H195" s="20"/>
      <c r="I195" s="20"/>
      <c r="J195" s="15"/>
      <c r="K195" s="15"/>
      <c r="L195" s="15"/>
      <c r="M195" s="20"/>
      <c r="N195" s="15"/>
      <c r="O195" s="20"/>
      <c r="P195" s="20"/>
      <c r="Q195" s="15"/>
    </row>
    <row r="196" spans="1:17" ht="24">
      <c r="A196" s="183"/>
      <c r="B196" s="183"/>
      <c r="C196" s="205" t="s">
        <v>136</v>
      </c>
      <c r="D196" s="128" t="s">
        <v>1068</v>
      </c>
      <c r="E196" s="14"/>
      <c r="F196" s="650">
        <v>134962</v>
      </c>
      <c r="G196" s="15">
        <f>0+'táj.2.'!G196</f>
        <v>0</v>
      </c>
      <c r="H196" s="15">
        <f>0+'táj.2.'!H196</f>
        <v>0</v>
      </c>
      <c r="I196" s="15">
        <f>0+'táj.2.'!I196</f>
        <v>0</v>
      </c>
      <c r="J196" s="15">
        <f>0+'táj.2.'!J196</f>
        <v>0</v>
      </c>
      <c r="K196" s="15">
        <f>0+'táj.2.'!K196</f>
        <v>0</v>
      </c>
      <c r="L196" s="15">
        <f>0+'táj.2.'!L196</f>
        <v>0</v>
      </c>
      <c r="M196" s="15">
        <f>8000+'táj.2.'!M196</f>
        <v>8000</v>
      </c>
      <c r="N196" s="15">
        <f>0+'táj.2.'!N196</f>
        <v>0</v>
      </c>
      <c r="O196" s="15">
        <f>0+'táj.2.'!O196</f>
        <v>0</v>
      </c>
      <c r="P196" s="15">
        <f>0+'táj.2.'!P196</f>
        <v>0</v>
      </c>
      <c r="Q196" s="15">
        <f>SUM(G196:P196)</f>
        <v>8000</v>
      </c>
    </row>
    <row r="197" spans="1:17" ht="12">
      <c r="A197" s="183"/>
      <c r="B197" s="183"/>
      <c r="C197" s="205" t="s">
        <v>137</v>
      </c>
      <c r="D197" s="525" t="s">
        <v>138</v>
      </c>
      <c r="E197" s="14"/>
      <c r="F197" s="650">
        <v>134963</v>
      </c>
      <c r="G197" s="15">
        <f>0+'táj.2.'!G197</f>
        <v>0</v>
      </c>
      <c r="H197" s="15">
        <f>0+'táj.2.'!H197</f>
        <v>0</v>
      </c>
      <c r="I197" s="15">
        <f>0+'táj.2.'!I197</f>
        <v>0</v>
      </c>
      <c r="J197" s="15">
        <f>0+'táj.2.'!J197</f>
        <v>0</v>
      </c>
      <c r="K197" s="15">
        <f>0+'táj.2.'!K197</f>
        <v>0</v>
      </c>
      <c r="L197" s="15">
        <f>0+'táj.2.'!L197</f>
        <v>0</v>
      </c>
      <c r="M197" s="15">
        <f>0+'táj.2.'!M197</f>
        <v>0</v>
      </c>
      <c r="N197" s="15">
        <f>1000+'táj.2.'!N197</f>
        <v>1000</v>
      </c>
      <c r="O197" s="15">
        <f>0+'táj.2.'!O197</f>
        <v>0</v>
      </c>
      <c r="P197" s="15">
        <f>0+'táj.2.'!P197</f>
        <v>0</v>
      </c>
      <c r="Q197" s="15">
        <f>SUM(G197:P197)</f>
        <v>1000</v>
      </c>
    </row>
    <row r="198" spans="1:17" ht="36">
      <c r="A198" s="183"/>
      <c r="B198" s="183"/>
      <c r="C198" s="678" t="s">
        <v>196</v>
      </c>
      <c r="D198" s="743" t="s">
        <v>175</v>
      </c>
      <c r="E198" s="751"/>
      <c r="F198" s="688">
        <v>134968</v>
      </c>
      <c r="G198" s="15">
        <f>0+'táj.2.'!G198</f>
        <v>0</v>
      </c>
      <c r="H198" s="15">
        <f>0+'táj.2.'!H198</f>
        <v>0</v>
      </c>
      <c r="I198" s="15">
        <f>0+'táj.2.'!I198</f>
        <v>4959</v>
      </c>
      <c r="J198" s="15">
        <f>0+'táj.2.'!J198</f>
        <v>0</v>
      </c>
      <c r="K198" s="15">
        <f>0+'táj.2.'!K198</f>
        <v>0</v>
      </c>
      <c r="L198" s="15">
        <f>0+'táj.2.'!L198</f>
        <v>0</v>
      </c>
      <c r="M198" s="15">
        <f>0+'táj.2.'!M198</f>
        <v>145041</v>
      </c>
      <c r="N198" s="15">
        <f>0+'táj.2.'!N198</f>
        <v>0</v>
      </c>
      <c r="O198" s="15">
        <f>0+'táj.2.'!O198</f>
        <v>0</v>
      </c>
      <c r="P198" s="15">
        <f>0+'táj.2.'!P198</f>
        <v>0</v>
      </c>
      <c r="Q198" s="15">
        <f>SUM(G198:P198)</f>
        <v>150000</v>
      </c>
    </row>
    <row r="199" spans="1:17" ht="36">
      <c r="A199" s="183"/>
      <c r="B199" s="183"/>
      <c r="C199" s="678" t="s">
        <v>174</v>
      </c>
      <c r="D199" s="743" t="s">
        <v>176</v>
      </c>
      <c r="E199" s="751"/>
      <c r="F199" s="688">
        <v>134969</v>
      </c>
      <c r="G199" s="15">
        <f>0+'táj.2.'!G199</f>
        <v>0</v>
      </c>
      <c r="H199" s="15">
        <f>0+'táj.2.'!H199</f>
        <v>0</v>
      </c>
      <c r="I199" s="15">
        <f>0+'táj.2.'!I199</f>
        <v>4610</v>
      </c>
      <c r="J199" s="15">
        <f>0+'táj.2.'!J199</f>
        <v>0</v>
      </c>
      <c r="K199" s="15">
        <f>0+'táj.2.'!K199</f>
        <v>0</v>
      </c>
      <c r="L199" s="15">
        <f>0+'táj.2.'!L199</f>
        <v>0</v>
      </c>
      <c r="M199" s="15">
        <f>0+'táj.2.'!M199</f>
        <v>179271</v>
      </c>
      <c r="N199" s="15">
        <f>0+'táj.2.'!N199</f>
        <v>0</v>
      </c>
      <c r="O199" s="15">
        <f>0+'táj.2.'!O199</f>
        <v>0</v>
      </c>
      <c r="P199" s="15">
        <f>0+'táj.2.'!P199</f>
        <v>0</v>
      </c>
      <c r="Q199" s="15">
        <f>SUM(G199:P199)</f>
        <v>183881</v>
      </c>
    </row>
    <row r="200" spans="1:17" ht="12">
      <c r="A200" s="183"/>
      <c r="B200" s="183"/>
      <c r="C200" s="366" t="s">
        <v>626</v>
      </c>
      <c r="D200" s="189" t="s">
        <v>481</v>
      </c>
      <c r="E200" s="14"/>
      <c r="F200" s="650"/>
      <c r="G200" s="15"/>
      <c r="H200" s="20"/>
      <c r="I200" s="20"/>
      <c r="J200" s="15"/>
      <c r="K200" s="15"/>
      <c r="L200" s="20"/>
      <c r="M200" s="20"/>
      <c r="N200" s="15"/>
      <c r="O200" s="15"/>
      <c r="P200" s="20"/>
      <c r="Q200" s="15"/>
    </row>
    <row r="201" spans="1:17" ht="24">
      <c r="A201" s="183"/>
      <c r="B201" s="183"/>
      <c r="C201" s="205" t="s">
        <v>627</v>
      </c>
      <c r="D201" s="178" t="s">
        <v>588</v>
      </c>
      <c r="E201" s="14"/>
      <c r="F201" s="650">
        <v>132909</v>
      </c>
      <c r="G201" s="15">
        <f>0+'táj.2.'!G201</f>
        <v>0</v>
      </c>
      <c r="H201" s="15">
        <f>0+'táj.2.'!H201</f>
        <v>0</v>
      </c>
      <c r="I201" s="15">
        <f>0+'táj.2.'!I201</f>
        <v>0</v>
      </c>
      <c r="J201" s="15">
        <f>0+'táj.2.'!J201</f>
        <v>0</v>
      </c>
      <c r="K201" s="15">
        <f>0+'táj.2.'!K201</f>
        <v>0</v>
      </c>
      <c r="L201" s="15">
        <f>0+'táj.2.'!L201</f>
        <v>0</v>
      </c>
      <c r="M201" s="15">
        <f>0+'táj.2.'!M201</f>
        <v>0</v>
      </c>
      <c r="N201" s="15">
        <f>9000+'táj.2.'!N201</f>
        <v>9000</v>
      </c>
      <c r="O201" s="15">
        <f>0+'táj.2.'!O201</f>
        <v>0</v>
      </c>
      <c r="P201" s="15">
        <f>0+'táj.2.'!P201</f>
        <v>0</v>
      </c>
      <c r="Q201" s="15">
        <f>SUM(G201:P201)</f>
        <v>9000</v>
      </c>
    </row>
    <row r="202" spans="1:17" ht="12">
      <c r="A202" s="183"/>
      <c r="B202" s="183"/>
      <c r="C202" s="205" t="s">
        <v>474</v>
      </c>
      <c r="D202" s="16" t="s">
        <v>139</v>
      </c>
      <c r="E202" s="14"/>
      <c r="F202" s="650">
        <v>132910</v>
      </c>
      <c r="G202" s="15">
        <f>0+'táj.2.'!G202</f>
        <v>0</v>
      </c>
      <c r="H202" s="15">
        <f>0+'táj.2.'!H202</f>
        <v>0</v>
      </c>
      <c r="I202" s="15">
        <f>0+'táj.2.'!I202</f>
        <v>0</v>
      </c>
      <c r="J202" s="15">
        <f>0+'táj.2.'!J202</f>
        <v>0</v>
      </c>
      <c r="K202" s="15">
        <f>0+'táj.2.'!K202</f>
        <v>0</v>
      </c>
      <c r="L202" s="15">
        <f>9360+'táj.2.'!L202</f>
        <v>9360</v>
      </c>
      <c r="M202" s="15">
        <f>0+'táj.2.'!M202</f>
        <v>0</v>
      </c>
      <c r="N202" s="15">
        <f>0+'táj.2.'!N202</f>
        <v>0</v>
      </c>
      <c r="O202" s="15">
        <f>0+'táj.2.'!O202</f>
        <v>0</v>
      </c>
      <c r="P202" s="15">
        <f>0+'táj.2.'!P202</f>
        <v>0</v>
      </c>
      <c r="Q202" s="15">
        <f>SUM(G202:P202)</f>
        <v>9360</v>
      </c>
    </row>
    <row r="203" spans="1:17" ht="12">
      <c r="A203" s="183"/>
      <c r="B203" s="183"/>
      <c r="C203" s="205" t="s">
        <v>447</v>
      </c>
      <c r="D203" s="16" t="s">
        <v>448</v>
      </c>
      <c r="E203" s="14"/>
      <c r="F203" s="650">
        <v>134966</v>
      </c>
      <c r="G203" s="15">
        <f>0+'táj.2.'!G203</f>
        <v>0</v>
      </c>
      <c r="H203" s="15">
        <f>0+'táj.2.'!H203</f>
        <v>0</v>
      </c>
      <c r="I203" s="15">
        <f>0+'táj.2.'!I203</f>
        <v>0</v>
      </c>
      <c r="J203" s="15">
        <f>0+'táj.2.'!J203</f>
        <v>0</v>
      </c>
      <c r="K203" s="15">
        <f>0+'táj.2.'!K203</f>
        <v>0</v>
      </c>
      <c r="L203" s="15">
        <f>0+'táj.2.'!L203</f>
        <v>0</v>
      </c>
      <c r="M203" s="15">
        <f>10000+'táj.2.'!M203</f>
        <v>10000</v>
      </c>
      <c r="N203" s="15">
        <f>0+'táj.2.'!N203</f>
        <v>0</v>
      </c>
      <c r="O203" s="15">
        <f>0+'táj.2.'!O203</f>
        <v>0</v>
      </c>
      <c r="P203" s="15">
        <f>0+'táj.2.'!P203</f>
        <v>0</v>
      </c>
      <c r="Q203" s="15">
        <f>SUM(G203:P203)</f>
        <v>10000</v>
      </c>
    </row>
    <row r="204" spans="1:17" ht="24">
      <c r="A204" s="183"/>
      <c r="B204" s="183"/>
      <c r="C204" s="205" t="s">
        <v>500</v>
      </c>
      <c r="D204" s="178" t="s">
        <v>501</v>
      </c>
      <c r="E204" s="14"/>
      <c r="F204" s="13">
        <v>132949</v>
      </c>
      <c r="G204" s="15">
        <f>0+'táj.2.'!G204</f>
        <v>0</v>
      </c>
      <c r="H204" s="15">
        <f>0+'táj.2.'!H204</f>
        <v>0</v>
      </c>
      <c r="I204" s="15">
        <f>0+'táj.2.'!I204</f>
        <v>0</v>
      </c>
      <c r="J204" s="15">
        <f>0+'táj.2.'!J204</f>
        <v>0</v>
      </c>
      <c r="K204" s="15">
        <f>0+'táj.2.'!K204</f>
        <v>0</v>
      </c>
      <c r="L204" s="15">
        <f>0+'táj.2.'!L204</f>
        <v>0</v>
      </c>
      <c r="M204" s="15">
        <f>0+'táj.2.'!M204</f>
        <v>0</v>
      </c>
      <c r="N204" s="15">
        <f>10000+'táj.2.'!N204</f>
        <v>10000</v>
      </c>
      <c r="O204" s="15">
        <f>0+'táj.2.'!O204</f>
        <v>0</v>
      </c>
      <c r="P204" s="15">
        <f>0+'táj.2.'!P203</f>
        <v>0</v>
      </c>
      <c r="Q204" s="15">
        <f>SUM(G204:P204)</f>
        <v>10000</v>
      </c>
    </row>
    <row r="205" spans="1:17" ht="12">
      <c r="A205" s="183"/>
      <c r="B205" s="183"/>
      <c r="C205" s="750" t="s">
        <v>161</v>
      </c>
      <c r="D205" s="178" t="s">
        <v>182</v>
      </c>
      <c r="E205" s="14"/>
      <c r="F205" s="650">
        <v>132964</v>
      </c>
      <c r="G205" s="15">
        <f>0+'táj.2.'!G205</f>
        <v>0</v>
      </c>
      <c r="H205" s="15">
        <f>0+'táj.2.'!H205</f>
        <v>0</v>
      </c>
      <c r="I205" s="15">
        <f>0+'táj.2.'!I205</f>
        <v>0</v>
      </c>
      <c r="J205" s="15">
        <f>0+'táj.2.'!J205</f>
        <v>0</v>
      </c>
      <c r="K205" s="15">
        <f>0+'táj.2.'!K205</f>
        <v>0</v>
      </c>
      <c r="L205" s="15">
        <f>0+'táj.2.'!L205</f>
        <v>9800</v>
      </c>
      <c r="M205" s="15">
        <f>0+'táj.2.'!M205</f>
        <v>0</v>
      </c>
      <c r="N205" s="15">
        <f>0+'táj.2.'!N205</f>
        <v>0</v>
      </c>
      <c r="O205" s="15">
        <f>0+'táj.2.'!O205</f>
        <v>0</v>
      </c>
      <c r="P205" s="15">
        <f>0+'táj.2.'!P204</f>
        <v>0</v>
      </c>
      <c r="Q205" s="15">
        <f>SUM(G205:P205)</f>
        <v>9800</v>
      </c>
    </row>
    <row r="206" spans="1:17" ht="12">
      <c r="A206" s="183"/>
      <c r="B206" s="183"/>
      <c r="C206" s="366" t="s">
        <v>628</v>
      </c>
      <c r="D206" s="21" t="s">
        <v>140</v>
      </c>
      <c r="E206" s="14"/>
      <c r="F206" s="650"/>
      <c r="G206" s="15"/>
      <c r="H206" s="20"/>
      <c r="I206" s="20"/>
      <c r="J206" s="15"/>
      <c r="K206" s="15"/>
      <c r="L206" s="15"/>
      <c r="M206" s="20"/>
      <c r="N206" s="15"/>
      <c r="O206" s="15"/>
      <c r="P206" s="20"/>
      <c r="Q206" s="15"/>
    </row>
    <row r="207" spans="1:17" ht="12">
      <c r="A207" s="183"/>
      <c r="B207" s="183"/>
      <c r="C207" s="205" t="s">
        <v>141</v>
      </c>
      <c r="D207" s="128" t="s">
        <v>1244</v>
      </c>
      <c r="E207" s="14"/>
      <c r="F207" s="650">
        <v>134921</v>
      </c>
      <c r="G207" s="15">
        <f>0+'táj.2.'!G207</f>
        <v>0</v>
      </c>
      <c r="H207" s="15">
        <f>0+'táj.2.'!H207</f>
        <v>0</v>
      </c>
      <c r="I207" s="15">
        <f>0+'táj.2.'!I207</f>
        <v>0</v>
      </c>
      <c r="J207" s="15">
        <f>0+'táj.2.'!J207</f>
        <v>0</v>
      </c>
      <c r="K207" s="15">
        <f>0+'táj.2.'!K207</f>
        <v>0</v>
      </c>
      <c r="L207" s="15">
        <f>0+'táj.2.'!L207</f>
        <v>0</v>
      </c>
      <c r="M207" s="15">
        <f>6789+'táj.2.'!M207</f>
        <v>6789</v>
      </c>
      <c r="N207" s="15">
        <f>0+'táj.2.'!N207</f>
        <v>0</v>
      </c>
      <c r="O207" s="15">
        <f>0+'táj.2.'!O207</f>
        <v>0</v>
      </c>
      <c r="P207" s="15">
        <f>0+'táj.2.'!P207</f>
        <v>0</v>
      </c>
      <c r="Q207" s="15">
        <f aca="true" t="shared" si="11" ref="Q207:Q212">SUM(G207:P207)</f>
        <v>6789</v>
      </c>
    </row>
    <row r="208" spans="1:17" ht="12">
      <c r="A208" s="183"/>
      <c r="B208" s="183"/>
      <c r="C208" s="205" t="s">
        <v>142</v>
      </c>
      <c r="D208" s="128" t="s">
        <v>143</v>
      </c>
      <c r="E208" s="14"/>
      <c r="F208" s="650">
        <v>134922</v>
      </c>
      <c r="G208" s="15">
        <f>0+'táj.2.'!G208</f>
        <v>0</v>
      </c>
      <c r="H208" s="15">
        <f>0+'táj.2.'!H208</f>
        <v>0</v>
      </c>
      <c r="I208" s="15">
        <f>0+'táj.2.'!I208</f>
        <v>0</v>
      </c>
      <c r="J208" s="15">
        <f>0+'táj.2.'!J208</f>
        <v>0</v>
      </c>
      <c r="K208" s="15">
        <f>0+'táj.2.'!K208</f>
        <v>0</v>
      </c>
      <c r="L208" s="15">
        <f>0+'táj.2.'!L208</f>
        <v>0</v>
      </c>
      <c r="M208" s="15">
        <f>700+'táj.2.'!M208</f>
        <v>700</v>
      </c>
      <c r="N208" s="15">
        <f>0+'táj.2.'!N208</f>
        <v>0</v>
      </c>
      <c r="O208" s="15">
        <f>0+'táj.2.'!O208</f>
        <v>0</v>
      </c>
      <c r="P208" s="15">
        <f>0+'táj.2.'!P208</f>
        <v>0</v>
      </c>
      <c r="Q208" s="15">
        <f t="shared" si="11"/>
        <v>700</v>
      </c>
    </row>
    <row r="209" spans="1:17" ht="12">
      <c r="A209" s="183"/>
      <c r="B209" s="183"/>
      <c r="C209" s="205" t="s">
        <v>738</v>
      </c>
      <c r="D209" s="524" t="s">
        <v>1245</v>
      </c>
      <c r="E209" s="14"/>
      <c r="F209" s="650">
        <v>134926</v>
      </c>
      <c r="G209" s="15">
        <f>0+'táj.2.'!G209</f>
        <v>0</v>
      </c>
      <c r="H209" s="15">
        <f>0+'táj.2.'!H209</f>
        <v>0</v>
      </c>
      <c r="I209" s="15">
        <f>0+'táj.2.'!I209</f>
        <v>0</v>
      </c>
      <c r="J209" s="15">
        <f>0+'táj.2.'!J209</f>
        <v>0</v>
      </c>
      <c r="K209" s="15">
        <f>0+'táj.2.'!K209</f>
        <v>0</v>
      </c>
      <c r="L209" s="15">
        <f>0+'táj.2.'!L209</f>
        <v>0</v>
      </c>
      <c r="M209" s="15">
        <f>0+'táj.2.'!M209</f>
        <v>0</v>
      </c>
      <c r="N209" s="15">
        <f>10000+'táj.2.'!N209</f>
        <v>10060</v>
      </c>
      <c r="O209" s="15">
        <f>0+'táj.2.'!O209</f>
        <v>0</v>
      </c>
      <c r="P209" s="15">
        <f>0+'táj.2.'!P209</f>
        <v>0</v>
      </c>
      <c r="Q209" s="15">
        <f t="shared" si="11"/>
        <v>10060</v>
      </c>
    </row>
    <row r="210" spans="1:17" ht="12.75">
      <c r="A210" s="183"/>
      <c r="B210" s="183"/>
      <c r="C210" s="205" t="s">
        <v>524</v>
      </c>
      <c r="D210" s="600" t="s">
        <v>523</v>
      </c>
      <c r="E210" s="14"/>
      <c r="F210" s="650">
        <v>134925</v>
      </c>
      <c r="G210" s="15">
        <f>'táj.2.'!G210</f>
        <v>0</v>
      </c>
      <c r="H210" s="15">
        <f>'táj.2.'!H210</f>
        <v>0</v>
      </c>
      <c r="I210" s="15">
        <f>'táj.2.'!I210</f>
        <v>0</v>
      </c>
      <c r="J210" s="15">
        <f>'táj.2.'!J210</f>
        <v>0</v>
      </c>
      <c r="K210" s="15">
        <f>'táj.2.'!K210</f>
        <v>0</v>
      </c>
      <c r="L210" s="15">
        <f>'táj.2.'!L210</f>
        <v>0</v>
      </c>
      <c r="M210" s="15">
        <f>0+'táj.2.'!M210</f>
        <v>0</v>
      </c>
      <c r="N210" s="15">
        <f>500+'táj.2.'!N210</f>
        <v>500</v>
      </c>
      <c r="O210" s="15">
        <f>'táj.2.'!O210</f>
        <v>0</v>
      </c>
      <c r="P210" s="15">
        <f>'táj.2.'!P210</f>
        <v>0</v>
      </c>
      <c r="Q210" s="15">
        <f t="shared" si="11"/>
        <v>500</v>
      </c>
    </row>
    <row r="211" spans="1:17" ht="16.5" customHeight="1">
      <c r="A211" s="183"/>
      <c r="B211" s="183"/>
      <c r="C211" s="678" t="s">
        <v>1256</v>
      </c>
      <c r="D211" s="683" t="s">
        <v>1259</v>
      </c>
      <c r="E211" s="14"/>
      <c r="F211" s="650">
        <v>132914</v>
      </c>
      <c r="G211" s="15">
        <f>'táj.2.'!G211</f>
        <v>0</v>
      </c>
      <c r="H211" s="15">
        <f>'táj.2.'!H211</f>
        <v>0</v>
      </c>
      <c r="I211" s="15">
        <f>'táj.2.'!I211</f>
        <v>0</v>
      </c>
      <c r="J211" s="15">
        <f>'táj.2.'!J211</f>
        <v>0</v>
      </c>
      <c r="K211" s="15">
        <f>'táj.2.'!K211</f>
        <v>0</v>
      </c>
      <c r="L211" s="15">
        <f>'táj.2.'!L211</f>
        <v>11000</v>
      </c>
      <c r="M211" s="15">
        <f>0+'táj.2.'!M211</f>
        <v>0</v>
      </c>
      <c r="N211" s="15">
        <f>0+'táj.2.'!N211</f>
        <v>0</v>
      </c>
      <c r="O211" s="15">
        <f>'táj.2.'!O211</f>
        <v>0</v>
      </c>
      <c r="P211" s="15">
        <f>'táj.2.'!P211</f>
        <v>0</v>
      </c>
      <c r="Q211" s="15">
        <f t="shared" si="11"/>
        <v>11000</v>
      </c>
    </row>
    <row r="212" spans="1:17" ht="12.75">
      <c r="A212" s="183"/>
      <c r="B212" s="183"/>
      <c r="C212" s="678" t="s">
        <v>1257</v>
      </c>
      <c r="D212" s="683" t="s">
        <v>1258</v>
      </c>
      <c r="E212" s="14"/>
      <c r="F212" s="650">
        <v>132915</v>
      </c>
      <c r="G212" s="15">
        <f>'táj.2.'!G212</f>
        <v>0</v>
      </c>
      <c r="H212" s="15">
        <f>'táj.2.'!H212</f>
        <v>0</v>
      </c>
      <c r="I212" s="15">
        <f>'táj.2.'!I212</f>
        <v>0</v>
      </c>
      <c r="J212" s="15">
        <f>'táj.2.'!J212</f>
        <v>0</v>
      </c>
      <c r="K212" s="15">
        <f>'táj.2.'!K212</f>
        <v>0</v>
      </c>
      <c r="L212" s="15">
        <f>'táj.2.'!L212</f>
        <v>9000</v>
      </c>
      <c r="M212" s="15">
        <f>0+'táj.2.'!M212</f>
        <v>0</v>
      </c>
      <c r="N212" s="15">
        <f>0+'táj.2.'!N212</f>
        <v>0</v>
      </c>
      <c r="O212" s="15">
        <f>'táj.2.'!O212</f>
        <v>0</v>
      </c>
      <c r="P212" s="15">
        <f>'táj.2.'!P212</f>
        <v>0</v>
      </c>
      <c r="Q212" s="15">
        <f t="shared" si="11"/>
        <v>9000</v>
      </c>
    </row>
    <row r="213" spans="1:17" ht="12">
      <c r="A213" s="183"/>
      <c r="B213" s="183"/>
      <c r="C213" s="366" t="s">
        <v>629</v>
      </c>
      <c r="D213" s="21" t="s">
        <v>144</v>
      </c>
      <c r="E213" s="14"/>
      <c r="F213" s="650"/>
      <c r="G213" s="15"/>
      <c r="H213" s="20"/>
      <c r="I213" s="20"/>
      <c r="J213" s="15"/>
      <c r="K213" s="15"/>
      <c r="L213" s="15"/>
      <c r="M213" s="20"/>
      <c r="N213" s="15"/>
      <c r="O213" s="15"/>
      <c r="P213" s="20"/>
      <c r="Q213" s="15"/>
    </row>
    <row r="214" spans="1:17" ht="51">
      <c r="A214" s="183"/>
      <c r="B214" s="183"/>
      <c r="C214" s="205" t="s">
        <v>635</v>
      </c>
      <c r="D214" s="369" t="s">
        <v>145</v>
      </c>
      <c r="E214" s="14"/>
      <c r="F214" s="650">
        <v>132940</v>
      </c>
      <c r="G214" s="15">
        <f>0+'táj.2.'!G214</f>
        <v>0</v>
      </c>
      <c r="H214" s="15">
        <f>0+'táj.2.'!H214</f>
        <v>0</v>
      </c>
      <c r="I214" s="15">
        <f>0+'táj.2.'!I214</f>
        <v>0</v>
      </c>
      <c r="J214" s="15">
        <f>0+'táj.2.'!J214</f>
        <v>0</v>
      </c>
      <c r="K214" s="15">
        <f>0+'táj.2.'!K214</f>
        <v>0</v>
      </c>
      <c r="L214" s="15">
        <f>6183+'táj.2.'!L214</f>
        <v>6183</v>
      </c>
      <c r="M214" s="15">
        <f>0+'táj.2.'!M214</f>
        <v>0</v>
      </c>
      <c r="N214" s="15">
        <f>0+'táj.2.'!N214</f>
        <v>0</v>
      </c>
      <c r="O214" s="15">
        <f>0+'táj.2.'!O214</f>
        <v>0</v>
      </c>
      <c r="P214" s="15">
        <f>0+'táj.2.'!P214</f>
        <v>0</v>
      </c>
      <c r="Q214" s="15">
        <f>SUM(G214:P214)</f>
        <v>6183</v>
      </c>
    </row>
    <row r="215" spans="1:17" ht="12.75">
      <c r="A215" s="183"/>
      <c r="B215" s="183"/>
      <c r="C215" s="205" t="s">
        <v>636</v>
      </c>
      <c r="D215" s="373" t="s">
        <v>197</v>
      </c>
      <c r="E215" s="14"/>
      <c r="F215" s="650">
        <v>134964</v>
      </c>
      <c r="G215" s="15">
        <f>0+'táj.2.'!G215</f>
        <v>0</v>
      </c>
      <c r="H215" s="15">
        <f>0+'táj.2.'!H215</f>
        <v>0</v>
      </c>
      <c r="I215" s="15">
        <f>0+'táj.2.'!I215</f>
        <v>0</v>
      </c>
      <c r="J215" s="15">
        <f>0+'táj.2.'!J215</f>
        <v>0</v>
      </c>
      <c r="K215" s="15">
        <f>0+'táj.2.'!K215</f>
        <v>0</v>
      </c>
      <c r="L215" s="15">
        <f>0+'táj.2.'!L215</f>
        <v>0</v>
      </c>
      <c r="M215" s="15">
        <f>1000+'táj.2.'!M215</f>
        <v>829</v>
      </c>
      <c r="N215" s="15">
        <f>0+'táj.2.'!N215</f>
        <v>0</v>
      </c>
      <c r="O215" s="15">
        <f>0+'táj.2.'!O215</f>
        <v>0</v>
      </c>
      <c r="P215" s="15">
        <f>0+'táj.2.'!P215</f>
        <v>0</v>
      </c>
      <c r="Q215" s="15">
        <f>SUM(G215:P215)</f>
        <v>829</v>
      </c>
    </row>
    <row r="216" spans="1:17" ht="12.75">
      <c r="A216" s="183"/>
      <c r="B216" s="183"/>
      <c r="C216" s="205" t="s">
        <v>637</v>
      </c>
      <c r="D216" s="681" t="s">
        <v>9</v>
      </c>
      <c r="E216" s="14"/>
      <c r="F216" s="650">
        <v>132948</v>
      </c>
      <c r="G216" s="15">
        <f>0+'táj.2.'!G216</f>
        <v>0</v>
      </c>
      <c r="H216" s="15">
        <f>0+'táj.2.'!H216</f>
        <v>0</v>
      </c>
      <c r="I216" s="15">
        <f>0+'táj.2.'!I216</f>
        <v>0</v>
      </c>
      <c r="J216" s="15">
        <f>0+'táj.2.'!J216</f>
        <v>0</v>
      </c>
      <c r="K216" s="15">
        <f>0+'táj.2.'!K216</f>
        <v>0</v>
      </c>
      <c r="L216" s="15">
        <f>200+'táj.2.'!L216</f>
        <v>200</v>
      </c>
      <c r="M216" s="15"/>
      <c r="N216" s="15">
        <f>0+'táj.2.'!N216</f>
        <v>0</v>
      </c>
      <c r="O216" s="15">
        <f>0+'táj.2.'!O216</f>
        <v>0</v>
      </c>
      <c r="P216" s="15">
        <f>0+'táj.2.'!P216</f>
        <v>0</v>
      </c>
      <c r="Q216" s="15">
        <f>SUM(G216:P216)</f>
        <v>200</v>
      </c>
    </row>
    <row r="217" spans="1:17" ht="25.5">
      <c r="A217" s="183"/>
      <c r="B217" s="183"/>
      <c r="C217" s="205" t="s">
        <v>638</v>
      </c>
      <c r="D217" s="696" t="s">
        <v>432</v>
      </c>
      <c r="E217" s="14"/>
      <c r="F217" s="650">
        <v>134967</v>
      </c>
      <c r="G217" s="15">
        <f>0+'táj.2.'!G217</f>
        <v>0</v>
      </c>
      <c r="H217" s="15">
        <f>0+'táj.2.'!H217</f>
        <v>0</v>
      </c>
      <c r="I217" s="15">
        <f>0+'táj.2.'!I217</f>
        <v>0</v>
      </c>
      <c r="J217" s="15">
        <f>0+'táj.2.'!J217</f>
        <v>0</v>
      </c>
      <c r="K217" s="15">
        <f>0+'táj.2.'!K217</f>
        <v>0</v>
      </c>
      <c r="L217" s="15">
        <f>0+'táj.2.'!L217</f>
        <v>0</v>
      </c>
      <c r="M217" s="15">
        <f>0+'táj.2.'!M217</f>
        <v>0</v>
      </c>
      <c r="N217" s="15">
        <f>27518+'táj.2.'!N217</f>
        <v>27518</v>
      </c>
      <c r="O217" s="15">
        <f>0+'táj.2.'!O217</f>
        <v>0</v>
      </c>
      <c r="P217" s="15">
        <f>0+'táj.2.'!P217</f>
        <v>0</v>
      </c>
      <c r="Q217" s="15">
        <f>SUM(G217:P217)</f>
        <v>27518</v>
      </c>
    </row>
    <row r="218" spans="1:17" ht="12.75">
      <c r="A218" s="183"/>
      <c r="B218" s="183"/>
      <c r="C218" s="365" t="s">
        <v>630</v>
      </c>
      <c r="D218" s="373" t="s">
        <v>681</v>
      </c>
      <c r="E218" s="14"/>
      <c r="F218" s="650"/>
      <c r="G218" s="15"/>
      <c r="H218" s="20"/>
      <c r="I218" s="20"/>
      <c r="J218" s="15"/>
      <c r="K218" s="15"/>
      <c r="L218" s="15"/>
      <c r="M218" s="15"/>
      <c r="N218" s="15"/>
      <c r="O218" s="20"/>
      <c r="P218" s="20"/>
      <c r="Q218" s="15"/>
    </row>
    <row r="219" spans="1:17" ht="38.25" customHeight="1">
      <c r="A219" s="183"/>
      <c r="B219" s="183"/>
      <c r="C219" s="205" t="s">
        <v>669</v>
      </c>
      <c r="D219" s="200" t="s">
        <v>420</v>
      </c>
      <c r="E219" s="185"/>
      <c r="F219" s="650">
        <v>132903</v>
      </c>
      <c r="G219" s="15">
        <f>0+'táj.2.'!G219</f>
        <v>0</v>
      </c>
      <c r="H219" s="15">
        <f>0+'táj.2.'!H219</f>
        <v>0</v>
      </c>
      <c r="I219" s="15">
        <f>0+'táj.2.'!I219</f>
        <v>0</v>
      </c>
      <c r="J219" s="15">
        <f>0+'táj.2.'!J219</f>
        <v>0</v>
      </c>
      <c r="K219" s="15">
        <f>0+'táj.2.'!K219</f>
        <v>0</v>
      </c>
      <c r="L219" s="15">
        <f>5953+'táj.2.'!L219</f>
        <v>5953</v>
      </c>
      <c r="M219" s="15">
        <f>0+'táj.2.'!M219</f>
        <v>0</v>
      </c>
      <c r="N219" s="15">
        <f>0+'táj.2.'!N219</f>
        <v>0</v>
      </c>
      <c r="O219" s="15">
        <f>0+'táj.2.'!O219</f>
        <v>0</v>
      </c>
      <c r="P219" s="15">
        <f>0+'táj.2.'!P219</f>
        <v>0</v>
      </c>
      <c r="Q219" s="375">
        <f>SUM(G219:P219)</f>
        <v>5953</v>
      </c>
    </row>
    <row r="220" spans="1:17" ht="31.5" customHeight="1">
      <c r="A220" s="183"/>
      <c r="B220" s="183"/>
      <c r="C220" s="678" t="s">
        <v>169</v>
      </c>
      <c r="D220" s="752" t="s">
        <v>170</v>
      </c>
      <c r="E220" s="185"/>
      <c r="F220" s="650">
        <v>132917</v>
      </c>
      <c r="G220" s="15">
        <f>0+'táj.2.'!G220</f>
        <v>0</v>
      </c>
      <c r="H220" s="15">
        <f>0+'táj.2.'!H220</f>
        <v>0</v>
      </c>
      <c r="I220" s="15">
        <f>0+'táj.2.'!I220</f>
        <v>0</v>
      </c>
      <c r="J220" s="15">
        <f>0+'táj.2.'!J220</f>
        <v>0</v>
      </c>
      <c r="K220" s="15">
        <f>0+'táj.2.'!K220</f>
        <v>0</v>
      </c>
      <c r="L220" s="15">
        <f>0+'táj.2.'!L220</f>
        <v>0</v>
      </c>
      <c r="M220" s="15">
        <f>0+'táj.2.'!M220</f>
        <v>0</v>
      </c>
      <c r="N220" s="15">
        <f>0+'táj.2.'!N220</f>
        <v>16000</v>
      </c>
      <c r="O220" s="15">
        <f>0+'táj.2.'!O220</f>
        <v>0</v>
      </c>
      <c r="P220" s="15">
        <f>0+'táj.2.'!P220</f>
        <v>0</v>
      </c>
      <c r="Q220" s="375">
        <f>SUM(G220:P220)</f>
        <v>16000</v>
      </c>
    </row>
    <row r="221" spans="1:17" ht="12">
      <c r="A221" s="183"/>
      <c r="B221" s="183"/>
      <c r="C221" s="365" t="s">
        <v>631</v>
      </c>
      <c r="D221" s="16" t="s">
        <v>198</v>
      </c>
      <c r="E221" s="14"/>
      <c r="F221" s="650"/>
      <c r="G221" s="15"/>
      <c r="H221" s="20"/>
      <c r="I221" s="20"/>
      <c r="J221" s="15"/>
      <c r="K221" s="15"/>
      <c r="L221" s="15"/>
      <c r="M221" s="20"/>
      <c r="N221" s="15"/>
      <c r="O221" s="15"/>
      <c r="P221" s="20"/>
      <c r="Q221" s="15"/>
    </row>
    <row r="222" spans="1:17" ht="14.25" customHeight="1">
      <c r="A222" s="183"/>
      <c r="B222" s="183"/>
      <c r="C222" s="205" t="s">
        <v>199</v>
      </c>
      <c r="D222" s="376" t="s">
        <v>1200</v>
      </c>
      <c r="E222" s="14"/>
      <c r="F222" s="650">
        <v>132946</v>
      </c>
      <c r="G222" s="15">
        <f>0+'táj.2.'!G222</f>
        <v>0</v>
      </c>
      <c r="H222" s="15">
        <f>0+'táj.2.'!H222</f>
        <v>0</v>
      </c>
      <c r="I222" s="15">
        <f>0+'táj.2.'!I222</f>
        <v>0</v>
      </c>
      <c r="J222" s="15">
        <f>0+'táj.2.'!J222</f>
        <v>0</v>
      </c>
      <c r="K222" s="15">
        <f>0+'táj.2.'!K222</f>
        <v>0</v>
      </c>
      <c r="L222" s="15">
        <f>0+'táj.2.'!L222</f>
        <v>0</v>
      </c>
      <c r="M222" s="15">
        <f>0+'táj.2.'!M222</f>
        <v>0</v>
      </c>
      <c r="N222" s="15">
        <f>5300+'táj.2.'!N222</f>
        <v>5300</v>
      </c>
      <c r="O222" s="15">
        <f>0+'táj.2.'!O222</f>
        <v>0</v>
      </c>
      <c r="P222" s="15">
        <f>0+'táj.2.'!P222</f>
        <v>0</v>
      </c>
      <c r="Q222" s="15">
        <f aca="true" t="shared" si="12" ref="Q222:Q233">SUM(G222:P222)</f>
        <v>5300</v>
      </c>
    </row>
    <row r="223" spans="1:17" ht="36" customHeight="1">
      <c r="A223" s="183"/>
      <c r="B223" s="183"/>
      <c r="C223" s="205" t="s">
        <v>200</v>
      </c>
      <c r="D223" s="369" t="s">
        <v>380</v>
      </c>
      <c r="E223" s="14"/>
      <c r="F223" s="650">
        <v>132941</v>
      </c>
      <c r="G223" s="15">
        <f>0+'táj.2.'!G223</f>
        <v>0</v>
      </c>
      <c r="H223" s="15">
        <f>0+'táj.2.'!H223</f>
        <v>0</v>
      </c>
      <c r="I223" s="15">
        <f>0+'táj.2.'!I223</f>
        <v>0</v>
      </c>
      <c r="J223" s="15">
        <f>0+'táj.2.'!J223</f>
        <v>0</v>
      </c>
      <c r="K223" s="15">
        <f>0+'táj.2.'!K223</f>
        <v>0</v>
      </c>
      <c r="L223" s="15">
        <f>0+'táj.2.'!L223</f>
        <v>0</v>
      </c>
      <c r="M223" s="15">
        <f>0+'táj.2.'!M223</f>
        <v>0</v>
      </c>
      <c r="N223" s="15">
        <f>20065+'táj.2.'!N223</f>
        <v>20065</v>
      </c>
      <c r="O223" s="15">
        <f>0+'táj.2.'!O223</f>
        <v>0</v>
      </c>
      <c r="P223" s="15">
        <f>0+'táj.2.'!P223</f>
        <v>0</v>
      </c>
      <c r="Q223" s="15">
        <f t="shared" si="12"/>
        <v>20065</v>
      </c>
    </row>
    <row r="224" spans="1:17" ht="22.5" customHeight="1">
      <c r="A224" s="183"/>
      <c r="B224" s="183"/>
      <c r="C224" s="205" t="s">
        <v>201</v>
      </c>
      <c r="D224" s="369" t="s">
        <v>746</v>
      </c>
      <c r="E224" s="14"/>
      <c r="F224" s="650">
        <v>132942</v>
      </c>
      <c r="G224" s="15">
        <f>0+'táj.2.'!G224</f>
        <v>0</v>
      </c>
      <c r="H224" s="15">
        <f>0+'táj.2.'!H224</f>
        <v>0</v>
      </c>
      <c r="I224" s="15">
        <f>0+'táj.2.'!I224</f>
        <v>0</v>
      </c>
      <c r="J224" s="15">
        <f>0+'táj.2.'!J224</f>
        <v>0</v>
      </c>
      <c r="K224" s="15">
        <f>0+'táj.2.'!K224</f>
        <v>0</v>
      </c>
      <c r="L224" s="15">
        <f>12317+'táj.2.'!L224</f>
        <v>12317</v>
      </c>
      <c r="M224" s="15">
        <f>0+'táj.2.'!M224</f>
        <v>0</v>
      </c>
      <c r="N224" s="15">
        <f>0+'táj.2.'!N224</f>
        <v>0</v>
      </c>
      <c r="O224" s="15">
        <f>0+'táj.2.'!O224</f>
        <v>0</v>
      </c>
      <c r="P224" s="15">
        <f>0+'táj.2.'!P224</f>
        <v>0</v>
      </c>
      <c r="Q224" s="15">
        <f t="shared" si="12"/>
        <v>12317</v>
      </c>
    </row>
    <row r="225" spans="1:17" ht="18.75" customHeight="1">
      <c r="A225" s="183"/>
      <c r="B225" s="183"/>
      <c r="C225" s="205" t="s">
        <v>202</v>
      </c>
      <c r="D225" s="133" t="s">
        <v>203</v>
      </c>
      <c r="E225" s="14"/>
      <c r="F225" s="650">
        <v>132911</v>
      </c>
      <c r="G225" s="15">
        <f>0+'táj.2.'!G225</f>
        <v>0</v>
      </c>
      <c r="H225" s="15">
        <f>0+'táj.2.'!H225</f>
        <v>0</v>
      </c>
      <c r="I225" s="15">
        <f>0+'táj.2.'!I225</f>
        <v>0</v>
      </c>
      <c r="J225" s="15">
        <f>0+'táj.2.'!J225</f>
        <v>0</v>
      </c>
      <c r="K225" s="15">
        <f>0+'táj.2.'!K225</f>
        <v>0</v>
      </c>
      <c r="L225" s="15">
        <f>20000+'táj.2.'!L225</f>
        <v>20000</v>
      </c>
      <c r="M225" s="15">
        <f>0+'táj.2.'!M225</f>
        <v>0</v>
      </c>
      <c r="N225" s="15">
        <f>0+'táj.2.'!N225</f>
        <v>0</v>
      </c>
      <c r="O225" s="15">
        <f>0+'táj.2.'!O225</f>
        <v>0</v>
      </c>
      <c r="P225" s="15">
        <f>0+'táj.2.'!P225</f>
        <v>0</v>
      </c>
      <c r="Q225" s="15">
        <f t="shared" si="12"/>
        <v>20000</v>
      </c>
    </row>
    <row r="226" spans="1:17" ht="36" customHeight="1">
      <c r="A226" s="183"/>
      <c r="B226" s="183"/>
      <c r="C226" s="205" t="s">
        <v>204</v>
      </c>
      <c r="D226" s="377" t="s">
        <v>424</v>
      </c>
      <c r="E226" s="14"/>
      <c r="F226" s="650">
        <v>132923</v>
      </c>
      <c r="G226" s="15">
        <f>297+'táj.2.'!G226</f>
        <v>297</v>
      </c>
      <c r="H226" s="15">
        <f>72+'táj.2.'!H226</f>
        <v>72</v>
      </c>
      <c r="I226" s="15">
        <f>25775+'táj.2.'!I226</f>
        <v>25775</v>
      </c>
      <c r="J226" s="15">
        <f>0+'táj.2.'!J226</f>
        <v>0</v>
      </c>
      <c r="K226" s="15">
        <f>0+'táj.2.'!K226</f>
        <v>0</v>
      </c>
      <c r="L226" s="15">
        <f>7797+'táj.2.'!L226</f>
        <v>7797</v>
      </c>
      <c r="M226" s="15">
        <f>0+'táj.2.'!M226</f>
        <v>0</v>
      </c>
      <c r="N226" s="15">
        <f>0+'táj.2.'!N226</f>
        <v>0</v>
      </c>
      <c r="O226" s="15">
        <f>0+'táj.2.'!O226</f>
        <v>0</v>
      </c>
      <c r="P226" s="15">
        <f>0+'táj.2.'!P226</f>
        <v>0</v>
      </c>
      <c r="Q226" s="15">
        <f t="shared" si="12"/>
        <v>33941</v>
      </c>
    </row>
    <row r="227" spans="1:17" ht="12.75">
      <c r="A227" s="183"/>
      <c r="B227" s="183"/>
      <c r="C227" s="205" t="s">
        <v>205</v>
      </c>
      <c r="D227" s="127" t="s">
        <v>1242</v>
      </c>
      <c r="E227" s="14"/>
      <c r="F227" s="650">
        <v>134910</v>
      </c>
      <c r="G227" s="15">
        <f>0+'táj.2.'!G227</f>
        <v>0</v>
      </c>
      <c r="H227" s="15">
        <f>0+'táj.2.'!H227</f>
        <v>0</v>
      </c>
      <c r="I227" s="15">
        <f>0+'táj.2.'!I227</f>
        <v>0</v>
      </c>
      <c r="J227" s="15">
        <f>0+'táj.2.'!J227</f>
        <v>0</v>
      </c>
      <c r="K227" s="15">
        <f>0+'táj.2.'!K227</f>
        <v>0</v>
      </c>
      <c r="L227" s="15">
        <f>0+'táj.2.'!L227</f>
        <v>0</v>
      </c>
      <c r="M227" s="15">
        <f>1000+'táj.2.'!M227</f>
        <v>1000</v>
      </c>
      <c r="N227" s="15">
        <f>0+'táj.2.'!N227</f>
        <v>0</v>
      </c>
      <c r="O227" s="15">
        <f>0+'táj.2.'!O227</f>
        <v>0</v>
      </c>
      <c r="P227" s="15">
        <f>0+'táj.2.'!P227</f>
        <v>0</v>
      </c>
      <c r="Q227" s="15">
        <f t="shared" si="12"/>
        <v>1000</v>
      </c>
    </row>
    <row r="228" spans="1:17" ht="25.5" customHeight="1">
      <c r="A228" s="183"/>
      <c r="B228" s="183"/>
      <c r="C228" s="205" t="s">
        <v>206</v>
      </c>
      <c r="D228" s="378" t="s">
        <v>1199</v>
      </c>
      <c r="E228" s="14"/>
      <c r="F228" s="650">
        <v>134940</v>
      </c>
      <c r="G228" s="15">
        <f>0+'táj.2.'!G228</f>
        <v>0</v>
      </c>
      <c r="H228" s="15">
        <f>0+'táj.2.'!H228</f>
        <v>0</v>
      </c>
      <c r="I228" s="15">
        <f>0+'táj.2.'!I228</f>
        <v>0</v>
      </c>
      <c r="J228" s="15">
        <f>0+'táj.2.'!J228</f>
        <v>0</v>
      </c>
      <c r="K228" s="15">
        <f>0+'táj.2.'!K228</f>
        <v>0</v>
      </c>
      <c r="L228" s="15">
        <f>0+'táj.2.'!L228</f>
        <v>0</v>
      </c>
      <c r="M228" s="15">
        <f>0+'táj.2.'!M228</f>
        <v>0</v>
      </c>
      <c r="N228" s="15">
        <f>1000+'táj.2.'!N228</f>
        <v>1000</v>
      </c>
      <c r="O228" s="15">
        <f>0+'táj.2.'!O228</f>
        <v>0</v>
      </c>
      <c r="P228" s="15">
        <f>0+'táj.2.'!P228</f>
        <v>0</v>
      </c>
      <c r="Q228" s="15">
        <f t="shared" si="12"/>
        <v>1000</v>
      </c>
    </row>
    <row r="229" spans="1:17" ht="18.75" customHeight="1">
      <c r="A229" s="183"/>
      <c r="B229" s="183"/>
      <c r="C229" s="205" t="s">
        <v>207</v>
      </c>
      <c r="D229" s="379" t="s">
        <v>567</v>
      </c>
      <c r="E229" s="14"/>
      <c r="F229" s="650">
        <v>132904</v>
      </c>
      <c r="G229" s="15">
        <f>0+'táj.2.'!G229</f>
        <v>0</v>
      </c>
      <c r="H229" s="15">
        <f>0+'táj.2.'!H229</f>
        <v>0</v>
      </c>
      <c r="I229" s="15">
        <f>0+'táj.2.'!I229</f>
        <v>0</v>
      </c>
      <c r="J229" s="15">
        <f>0+'táj.2.'!J229</f>
        <v>0</v>
      </c>
      <c r="K229" s="15">
        <f>0+'táj.2.'!K229</f>
        <v>0</v>
      </c>
      <c r="L229" s="15">
        <f>0+'táj.2.'!L229</f>
        <v>0</v>
      </c>
      <c r="M229" s="15">
        <f>3595+'táj.2.'!M229</f>
        <v>6634</v>
      </c>
      <c r="N229" s="15">
        <f>0+'táj.2.'!N229</f>
        <v>0</v>
      </c>
      <c r="O229" s="15">
        <f>0+'táj.2.'!O229</f>
        <v>0</v>
      </c>
      <c r="P229" s="15">
        <f>0+'táj.2.'!P229</f>
        <v>0</v>
      </c>
      <c r="Q229" s="15">
        <f t="shared" si="12"/>
        <v>6634</v>
      </c>
    </row>
    <row r="230" spans="1:17" ht="25.5" customHeight="1">
      <c r="A230" s="183"/>
      <c r="B230" s="183"/>
      <c r="C230" s="205" t="s">
        <v>208</v>
      </c>
      <c r="D230" s="380" t="s">
        <v>1243</v>
      </c>
      <c r="E230" s="14"/>
      <c r="F230" s="650">
        <v>134919</v>
      </c>
      <c r="G230" s="15">
        <f>0+'táj.2.'!G230</f>
        <v>0</v>
      </c>
      <c r="H230" s="15">
        <f>0+'táj.2.'!H230</f>
        <v>0</v>
      </c>
      <c r="I230" s="15">
        <f>0+'táj.2.'!I230</f>
        <v>0</v>
      </c>
      <c r="J230" s="15">
        <f>0+'táj.2.'!J230</f>
        <v>0</v>
      </c>
      <c r="K230" s="15">
        <f>0+'táj.2.'!K230</f>
        <v>0</v>
      </c>
      <c r="L230" s="15">
        <f>0+'táj.2.'!L230</f>
        <v>0</v>
      </c>
      <c r="M230" s="15">
        <f>1713+'táj.2.'!M230</f>
        <v>1713</v>
      </c>
      <c r="N230" s="15">
        <f>0+'táj.2.'!N230</f>
        <v>0</v>
      </c>
      <c r="O230" s="15">
        <f>0+'táj.2.'!O230</f>
        <v>0</v>
      </c>
      <c r="P230" s="15">
        <f>0+'táj.2.'!P230</f>
        <v>0</v>
      </c>
      <c r="Q230" s="15">
        <f t="shared" si="12"/>
        <v>1713</v>
      </c>
    </row>
    <row r="231" spans="1:17" ht="12.75">
      <c r="A231" s="183"/>
      <c r="B231" s="183"/>
      <c r="C231" s="205" t="s">
        <v>209</v>
      </c>
      <c r="D231" s="381" t="s">
        <v>1246</v>
      </c>
      <c r="E231" s="14"/>
      <c r="F231" s="650">
        <v>134930</v>
      </c>
      <c r="G231" s="15">
        <f>0+'táj.2.'!G231</f>
        <v>0</v>
      </c>
      <c r="H231" s="15">
        <f>0+'táj.2.'!H231</f>
        <v>0</v>
      </c>
      <c r="I231" s="15">
        <f>0+'táj.2.'!I231</f>
        <v>0</v>
      </c>
      <c r="J231" s="15">
        <f>0+'táj.2.'!J231</f>
        <v>0</v>
      </c>
      <c r="K231" s="15">
        <f>0+'táj.2.'!K231</f>
        <v>0</v>
      </c>
      <c r="L231" s="15">
        <f>0+'táj.2.'!L231</f>
        <v>0</v>
      </c>
      <c r="M231" s="15">
        <f>5000+'táj.2.'!M231</f>
        <v>5000</v>
      </c>
      <c r="N231" s="15">
        <f>0+'táj.2.'!N231</f>
        <v>0</v>
      </c>
      <c r="O231" s="15">
        <f>0+'táj.2.'!O231</f>
        <v>0</v>
      </c>
      <c r="P231" s="15">
        <f>0+'táj.2.'!P231</f>
        <v>0</v>
      </c>
      <c r="Q231" s="15">
        <f t="shared" si="12"/>
        <v>5000</v>
      </c>
    </row>
    <row r="232" spans="1:17" ht="22.5" customHeight="1">
      <c r="A232" s="183"/>
      <c r="B232" s="183"/>
      <c r="C232" s="205" t="s">
        <v>210</v>
      </c>
      <c r="D232" s="197" t="s">
        <v>211</v>
      </c>
      <c r="E232" s="14"/>
      <c r="F232" s="650">
        <v>134953</v>
      </c>
      <c r="G232" s="15">
        <f>0+'táj.2.'!G232</f>
        <v>0</v>
      </c>
      <c r="H232" s="15">
        <f>0+'táj.2.'!H232</f>
        <v>0</v>
      </c>
      <c r="I232" s="15">
        <f>0+'táj.2.'!I232</f>
        <v>0</v>
      </c>
      <c r="J232" s="15">
        <f>0+'táj.2.'!J232</f>
        <v>0</v>
      </c>
      <c r="K232" s="15">
        <f>0+'táj.2.'!K232</f>
        <v>0</v>
      </c>
      <c r="L232" s="15">
        <f>0+'táj.2.'!L232</f>
        <v>0</v>
      </c>
      <c r="M232" s="15">
        <f>617+'táj.2.'!M232</f>
        <v>617</v>
      </c>
      <c r="N232" s="15">
        <f>0+'táj.2.'!N232</f>
        <v>0</v>
      </c>
      <c r="O232" s="15">
        <f>0+'táj.2.'!O232</f>
        <v>0</v>
      </c>
      <c r="P232" s="15">
        <f>0+'táj.2.'!P232</f>
        <v>0</v>
      </c>
      <c r="Q232" s="15">
        <f t="shared" si="12"/>
        <v>617</v>
      </c>
    </row>
    <row r="233" spans="1:17" ht="18.75" customHeight="1">
      <c r="A233" s="183"/>
      <c r="B233" s="183"/>
      <c r="C233" s="680" t="s">
        <v>183</v>
      </c>
      <c r="D233" s="752" t="s">
        <v>184</v>
      </c>
      <c r="E233" s="751"/>
      <c r="F233" s="688">
        <v>132925</v>
      </c>
      <c r="G233" s="15">
        <f>0+'táj.2.'!G233</f>
        <v>0</v>
      </c>
      <c r="H233" s="15">
        <f>0+'táj.2.'!H233</f>
        <v>0</v>
      </c>
      <c r="I233" s="15">
        <f>0+'táj.2.'!I233</f>
        <v>0</v>
      </c>
      <c r="J233" s="15">
        <f>0+'táj.2.'!J233</f>
        <v>0</v>
      </c>
      <c r="K233" s="15">
        <f>0+'táj.2.'!K233</f>
        <v>0</v>
      </c>
      <c r="L233" s="15">
        <f>0+'táj.2.'!L233</f>
        <v>236</v>
      </c>
      <c r="M233" s="15">
        <f>0+'táj.2.'!M233</f>
        <v>0</v>
      </c>
      <c r="N233" s="15">
        <f>0+'táj.2.'!N233</f>
        <v>0</v>
      </c>
      <c r="O233" s="15">
        <f>0+'táj.2.'!O233</f>
        <v>0</v>
      </c>
      <c r="P233" s="15">
        <f>0+'táj.2.'!P233</f>
        <v>0</v>
      </c>
      <c r="Q233" s="15">
        <f t="shared" si="12"/>
        <v>236</v>
      </c>
    </row>
    <row r="234" spans="1:17" ht="12.75" customHeight="1">
      <c r="A234" s="17"/>
      <c r="B234" s="17"/>
      <c r="C234" s="346"/>
      <c r="D234" s="318" t="s">
        <v>356</v>
      </c>
      <c r="E234" s="347"/>
      <c r="F234" s="649"/>
      <c r="G234" s="19">
        <f>SUM(G171:G233)</f>
        <v>4751</v>
      </c>
      <c r="H234" s="19">
        <f aca="true" t="shared" si="13" ref="H234:Q234">SUM(H171:H233)</f>
        <v>1248</v>
      </c>
      <c r="I234" s="19">
        <f t="shared" si="13"/>
        <v>130211</v>
      </c>
      <c r="J234" s="19">
        <f t="shared" si="13"/>
        <v>19674</v>
      </c>
      <c r="K234" s="19">
        <f t="shared" si="13"/>
        <v>530246</v>
      </c>
      <c r="L234" s="19">
        <f t="shared" si="13"/>
        <v>100348</v>
      </c>
      <c r="M234" s="19">
        <f t="shared" si="13"/>
        <v>401623</v>
      </c>
      <c r="N234" s="19">
        <f t="shared" si="13"/>
        <v>103043</v>
      </c>
      <c r="O234" s="19">
        <f t="shared" si="13"/>
        <v>0</v>
      </c>
      <c r="P234" s="19">
        <f t="shared" si="13"/>
        <v>0</v>
      </c>
      <c r="Q234" s="19">
        <f t="shared" si="13"/>
        <v>1291144</v>
      </c>
    </row>
    <row r="235" spans="1:17" ht="12.75" customHeight="1">
      <c r="A235" s="183">
        <v>1</v>
      </c>
      <c r="B235" s="183">
        <v>14</v>
      </c>
      <c r="C235" s="365"/>
      <c r="D235" s="21" t="s">
        <v>1296</v>
      </c>
      <c r="E235" s="22"/>
      <c r="F235" s="659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ht="12.75" customHeight="1">
      <c r="A236" s="183"/>
      <c r="B236" s="183"/>
      <c r="C236" s="365"/>
      <c r="D236" s="382" t="s">
        <v>360</v>
      </c>
      <c r="E236" s="22"/>
      <c r="F236" s="659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ht="12.75" customHeight="1">
      <c r="A237" s="183"/>
      <c r="B237" s="183"/>
      <c r="C237" s="365"/>
      <c r="D237" s="16" t="s">
        <v>212</v>
      </c>
      <c r="E237" s="14">
        <v>1</v>
      </c>
      <c r="F237" s="650">
        <v>171918</v>
      </c>
      <c r="G237" s="15">
        <f>0+'táj.2.'!G237</f>
        <v>0</v>
      </c>
      <c r="H237" s="15">
        <f>0+'táj.2.'!H237</f>
        <v>0</v>
      </c>
      <c r="I237" s="15">
        <f>3638+'táj.2.'!I237</f>
        <v>3638</v>
      </c>
      <c r="J237" s="15">
        <f>0+'táj.2.'!J237</f>
        <v>0</v>
      </c>
      <c r="K237" s="15">
        <f>0+'táj.2.'!K237</f>
        <v>0</v>
      </c>
      <c r="L237" s="15">
        <f>362+'táj.2.'!L237</f>
        <v>362</v>
      </c>
      <c r="M237" s="15">
        <f>0+'táj.2.'!M237</f>
        <v>0</v>
      </c>
      <c r="N237" s="15">
        <f>0+'táj.2.'!N237</f>
        <v>0</v>
      </c>
      <c r="O237" s="15">
        <f>0+'táj.2.'!O237</f>
        <v>0</v>
      </c>
      <c r="P237" s="15">
        <f>0+'táj.2.'!P237</f>
        <v>0</v>
      </c>
      <c r="Q237" s="15">
        <f>SUM(I237:P237)</f>
        <v>4000</v>
      </c>
    </row>
    <row r="238" spans="1:17" ht="12.75" customHeight="1">
      <c r="A238" s="183"/>
      <c r="B238" s="183"/>
      <c r="C238" s="365"/>
      <c r="D238" s="16" t="s">
        <v>213</v>
      </c>
      <c r="E238" s="14">
        <v>1</v>
      </c>
      <c r="F238" s="650">
        <v>171926</v>
      </c>
      <c r="G238" s="15">
        <f>0+'táj.2.'!G238</f>
        <v>0</v>
      </c>
      <c r="H238" s="15">
        <f>0+'táj.2.'!H238</f>
        <v>0</v>
      </c>
      <c r="I238" s="15">
        <f>1000+'táj.2.'!I238</f>
        <v>1000</v>
      </c>
      <c r="J238" s="15">
        <f>0+'táj.2.'!J238</f>
        <v>0</v>
      </c>
      <c r="K238" s="15">
        <f>0+'táj.2.'!K238</f>
        <v>0</v>
      </c>
      <c r="L238" s="15">
        <f>0+'táj.2.'!L238</f>
        <v>0</v>
      </c>
      <c r="M238" s="15">
        <f>0+'táj.2.'!M238</f>
        <v>0</v>
      </c>
      <c r="N238" s="15">
        <f>0+'táj.2.'!N238</f>
        <v>0</v>
      </c>
      <c r="O238" s="15">
        <f>0+'táj.2.'!O238</f>
        <v>0</v>
      </c>
      <c r="P238" s="15">
        <f>0+'táj.2.'!P238</f>
        <v>0</v>
      </c>
      <c r="Q238" s="15">
        <f>SUM(I238:P238)</f>
        <v>1000</v>
      </c>
    </row>
    <row r="239" spans="1:17" ht="12.75" customHeight="1">
      <c r="A239" s="183"/>
      <c r="B239" s="183"/>
      <c r="C239" s="365"/>
      <c r="D239" s="16" t="s">
        <v>214</v>
      </c>
      <c r="E239" s="14">
        <v>1</v>
      </c>
      <c r="F239" s="650">
        <v>171917</v>
      </c>
      <c r="G239" s="15">
        <f>0+'táj.2.'!G239</f>
        <v>0</v>
      </c>
      <c r="H239" s="15">
        <f>0+'táj.2.'!H239</f>
        <v>0</v>
      </c>
      <c r="I239" s="15">
        <f>2096+'táj.2.'!I239</f>
        <v>2096</v>
      </c>
      <c r="J239" s="15">
        <f>0+'táj.2.'!J239</f>
        <v>0</v>
      </c>
      <c r="K239" s="15">
        <f>0+'táj.2.'!K239</f>
        <v>0</v>
      </c>
      <c r="L239" s="15">
        <f>0+'táj.2.'!L239</f>
        <v>0</v>
      </c>
      <c r="M239" s="15">
        <f>0+'táj.2.'!M239</f>
        <v>0</v>
      </c>
      <c r="N239" s="15">
        <f>0+'táj.2.'!N239</f>
        <v>0</v>
      </c>
      <c r="O239" s="15">
        <f>0+'táj.2.'!O239</f>
        <v>0</v>
      </c>
      <c r="P239" s="15">
        <f>0+'táj.2.'!P239</f>
        <v>0</v>
      </c>
      <c r="Q239" s="15">
        <f>SUM(I239:P239)</f>
        <v>2096</v>
      </c>
    </row>
    <row r="240" spans="1:17" ht="12.75" customHeight="1">
      <c r="A240" s="183"/>
      <c r="B240" s="183"/>
      <c r="C240" s="365"/>
      <c r="D240" s="16" t="s">
        <v>215</v>
      </c>
      <c r="E240" s="14">
        <v>1</v>
      </c>
      <c r="F240" s="650">
        <v>171967</v>
      </c>
      <c r="G240" s="15">
        <f>0+'táj.2.'!G240</f>
        <v>0</v>
      </c>
      <c r="H240" s="15">
        <f>0+'táj.2.'!H240</f>
        <v>0</v>
      </c>
      <c r="I240" s="15">
        <f>1084+'táj.2.'!I240</f>
        <v>1084</v>
      </c>
      <c r="J240" s="15">
        <f>0+'táj.2.'!J240</f>
        <v>0</v>
      </c>
      <c r="K240" s="15">
        <f>0+'táj.2.'!K240</f>
        <v>0</v>
      </c>
      <c r="L240" s="15">
        <f>0+'táj.2.'!L240</f>
        <v>0</v>
      </c>
      <c r="M240" s="15">
        <f>0+'táj.2.'!M240</f>
        <v>0</v>
      </c>
      <c r="N240" s="15">
        <f>0+'táj.2.'!N240</f>
        <v>0</v>
      </c>
      <c r="O240" s="15">
        <f>0+'táj.2.'!O240</f>
        <v>0</v>
      </c>
      <c r="P240" s="15">
        <f>0+'táj.2.'!P240</f>
        <v>0</v>
      </c>
      <c r="Q240" s="15">
        <f>SUM(I240:P240)</f>
        <v>1084</v>
      </c>
    </row>
    <row r="241" spans="1:17" ht="12.75" customHeight="1">
      <c r="A241" s="17"/>
      <c r="B241" s="17"/>
      <c r="C241" s="346"/>
      <c r="D241" s="18" t="s">
        <v>216</v>
      </c>
      <c r="E241" s="383"/>
      <c r="F241" s="660"/>
      <c r="G241" s="19"/>
      <c r="H241" s="19"/>
      <c r="I241" s="384">
        <f aca="true" t="shared" si="14" ref="I241:Q241">SUM(I237:I240)</f>
        <v>7818</v>
      </c>
      <c r="J241" s="384">
        <f t="shared" si="14"/>
        <v>0</v>
      </c>
      <c r="K241" s="384">
        <f t="shared" si="14"/>
        <v>0</v>
      </c>
      <c r="L241" s="384">
        <f t="shared" si="14"/>
        <v>362</v>
      </c>
      <c r="M241" s="384">
        <f t="shared" si="14"/>
        <v>0</v>
      </c>
      <c r="N241" s="384">
        <f t="shared" si="14"/>
        <v>0</v>
      </c>
      <c r="O241" s="384">
        <f t="shared" si="14"/>
        <v>0</v>
      </c>
      <c r="P241" s="384">
        <f t="shared" si="14"/>
        <v>0</v>
      </c>
      <c r="Q241" s="384">
        <f t="shared" si="14"/>
        <v>8180</v>
      </c>
    </row>
    <row r="242" spans="1:17" ht="12.75" customHeight="1">
      <c r="A242" s="183"/>
      <c r="B242" s="183"/>
      <c r="C242" s="365"/>
      <c r="D242" s="357" t="s">
        <v>299</v>
      </c>
      <c r="E242" s="14"/>
      <c r="F242" s="650"/>
      <c r="G242" s="20"/>
      <c r="H242" s="20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27.75" customHeight="1">
      <c r="A243" s="183"/>
      <c r="B243" s="183"/>
      <c r="C243" s="205" t="s">
        <v>562</v>
      </c>
      <c r="D243" s="526" t="s">
        <v>217</v>
      </c>
      <c r="E243" s="14"/>
      <c r="F243" s="650">
        <v>172915</v>
      </c>
      <c r="G243" s="15">
        <f>0+'táj.2.'!G243</f>
        <v>0</v>
      </c>
      <c r="H243" s="15">
        <f>0+'táj.2.'!H243</f>
        <v>0</v>
      </c>
      <c r="I243" s="15">
        <f>0+'táj.2.'!I243</f>
        <v>0</v>
      </c>
      <c r="J243" s="15">
        <f>0+'táj.2.'!J243</f>
        <v>0</v>
      </c>
      <c r="K243" s="15">
        <f>0+'táj.2.'!K243</f>
        <v>0</v>
      </c>
      <c r="L243" s="15">
        <f>6310+'táj.2.'!L243</f>
        <v>6310</v>
      </c>
      <c r="M243" s="15">
        <f>0+'táj.2.'!M243</f>
        <v>0</v>
      </c>
      <c r="N243" s="15">
        <f>5514+'táj.2.'!N243</f>
        <v>5514</v>
      </c>
      <c r="O243" s="15">
        <f>0+'táj.2.'!O243</f>
        <v>0</v>
      </c>
      <c r="P243" s="15">
        <f>0+'táj.2.'!P243</f>
        <v>0</v>
      </c>
      <c r="Q243" s="15">
        <f>SUM(L243:P243)</f>
        <v>11824</v>
      </c>
    </row>
    <row r="244" spans="1:17" ht="26.25" customHeight="1">
      <c r="A244" s="183"/>
      <c r="B244" s="183"/>
      <c r="C244" s="205" t="s">
        <v>626</v>
      </c>
      <c r="D244" s="178" t="s">
        <v>218</v>
      </c>
      <c r="E244" s="14"/>
      <c r="F244" s="650">
        <v>172916</v>
      </c>
      <c r="G244" s="15">
        <f>0+'táj.2.'!G244</f>
        <v>0</v>
      </c>
      <c r="H244" s="15">
        <f>0+'táj.2.'!H244</f>
        <v>0</v>
      </c>
      <c r="I244" s="15">
        <f>0+'táj.2.'!I244</f>
        <v>0</v>
      </c>
      <c r="J244" s="15">
        <f>0+'táj.2.'!J244</f>
        <v>0</v>
      </c>
      <c r="K244" s="15">
        <f>0+'táj.2.'!K244</f>
        <v>0</v>
      </c>
      <c r="L244" s="15">
        <f>0+'táj.2.'!L244</f>
        <v>0</v>
      </c>
      <c r="M244" s="15">
        <f>0+'táj.2.'!M244</f>
        <v>0</v>
      </c>
      <c r="N244" s="15">
        <f>0+'táj.2.'!N244</f>
        <v>0</v>
      </c>
      <c r="O244" s="15">
        <f>0+'táj.2.'!O244</f>
        <v>0</v>
      </c>
      <c r="P244" s="15">
        <f>0+'táj.2.'!P244</f>
        <v>0</v>
      </c>
      <c r="Q244" s="15">
        <f>SUM(I244:P244)</f>
        <v>0</v>
      </c>
    </row>
    <row r="245" spans="1:17" ht="12.75" customHeight="1">
      <c r="A245" s="183"/>
      <c r="B245" s="183"/>
      <c r="C245" s="365"/>
      <c r="D245" s="16" t="s">
        <v>198</v>
      </c>
      <c r="E245" s="14"/>
      <c r="F245" s="650"/>
      <c r="G245" s="15"/>
      <c r="H245" s="20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2.75" customHeight="1">
      <c r="A246" s="183"/>
      <c r="B246" s="183"/>
      <c r="C246" s="205" t="s">
        <v>496</v>
      </c>
      <c r="D246" s="16" t="s">
        <v>561</v>
      </c>
      <c r="E246" s="14"/>
      <c r="F246" s="650">
        <v>162650</v>
      </c>
      <c r="G246" s="15">
        <f>0+'táj.2.'!G246</f>
        <v>0</v>
      </c>
      <c r="H246" s="15">
        <f>0+'táj.2.'!H246</f>
        <v>0</v>
      </c>
      <c r="I246" s="15">
        <f>0+'táj.2.'!I246</f>
        <v>14</v>
      </c>
      <c r="J246" s="15">
        <f>0+'táj.2.'!J246</f>
        <v>0</v>
      </c>
      <c r="K246" s="15">
        <f>0+'táj.2.'!K246</f>
        <v>0</v>
      </c>
      <c r="L246" s="15">
        <f>23446+'táj.2.'!L246</f>
        <v>23432</v>
      </c>
      <c r="M246" s="15">
        <f>0+'táj.2.'!M246</f>
        <v>0</v>
      </c>
      <c r="N246" s="15">
        <f>0+'táj.2.'!N246</f>
        <v>0</v>
      </c>
      <c r="O246" s="15">
        <f>0+'táj.2.'!O246</f>
        <v>0</v>
      </c>
      <c r="P246" s="15">
        <f>0+'táj.2.'!P246</f>
        <v>0</v>
      </c>
      <c r="Q246" s="15">
        <f>SUM(I246:P246)</f>
        <v>23446</v>
      </c>
    </row>
    <row r="247" spans="1:17" ht="12.75" customHeight="1">
      <c r="A247" s="183"/>
      <c r="B247" s="183"/>
      <c r="C247" s="205" t="s">
        <v>534</v>
      </c>
      <c r="D247" s="16" t="s">
        <v>219</v>
      </c>
      <c r="E247" s="14"/>
      <c r="F247" s="650">
        <v>162674</v>
      </c>
      <c r="G247" s="15">
        <f>0+'táj.2.'!G247</f>
        <v>0</v>
      </c>
      <c r="H247" s="15">
        <f>0+'táj.2.'!H247</f>
        <v>0</v>
      </c>
      <c r="I247" s="15">
        <f>9961+'táj.2.'!I247</f>
        <v>9961</v>
      </c>
      <c r="J247" s="15">
        <f>0+'táj.2.'!J247</f>
        <v>0</v>
      </c>
      <c r="K247" s="15">
        <f>0+'táj.2.'!K247</f>
        <v>0</v>
      </c>
      <c r="L247" s="15">
        <f>1241049+'táj.2.'!L247</f>
        <v>1241049</v>
      </c>
      <c r="M247" s="15">
        <f>0+'táj.2.'!M247</f>
        <v>0</v>
      </c>
      <c r="N247" s="15">
        <f>0+'táj.2.'!N247</f>
        <v>0</v>
      </c>
      <c r="O247" s="15">
        <f>0+'táj.2.'!O247</f>
        <v>0</v>
      </c>
      <c r="P247" s="15">
        <f>0+'táj.2.'!P247</f>
        <v>0</v>
      </c>
      <c r="Q247" s="15">
        <f>SUM(I247:P247)</f>
        <v>1251010</v>
      </c>
    </row>
    <row r="248" spans="1:17" ht="12.75" customHeight="1">
      <c r="A248" s="183"/>
      <c r="B248" s="183"/>
      <c r="C248" s="205" t="s">
        <v>535</v>
      </c>
      <c r="D248" s="150" t="s">
        <v>697</v>
      </c>
      <c r="E248" s="185"/>
      <c r="F248" s="658">
        <v>164903</v>
      </c>
      <c r="G248" s="15">
        <f>0+'táj.2.'!G248</f>
        <v>0</v>
      </c>
      <c r="H248" s="15">
        <f>0+'táj.2.'!H248</f>
        <v>0</v>
      </c>
      <c r="I248" s="15">
        <f>120+'táj.2.'!I248</f>
        <v>120</v>
      </c>
      <c r="J248" s="15">
        <f>0+'táj.2.'!J248</f>
        <v>0</v>
      </c>
      <c r="K248" s="15">
        <f>0+'táj.2.'!K248</f>
        <v>0</v>
      </c>
      <c r="L248" s="15">
        <f>0+'táj.2.'!L248</f>
        <v>0</v>
      </c>
      <c r="M248" s="15">
        <f>0+'táj.2.'!M248</f>
        <v>0</v>
      </c>
      <c r="N248" s="15">
        <f>454+'táj.2.'!N248</f>
        <v>454</v>
      </c>
      <c r="O248" s="15">
        <f>0+'táj.2.'!O248</f>
        <v>0</v>
      </c>
      <c r="P248" s="15">
        <f>0+'táj.2.'!P248</f>
        <v>0</v>
      </c>
      <c r="Q248" s="25">
        <f>SUM(G248:P248)</f>
        <v>574</v>
      </c>
    </row>
    <row r="249" spans="1:17" ht="25.5" customHeight="1">
      <c r="A249" s="183"/>
      <c r="B249" s="183"/>
      <c r="C249" s="205" t="s">
        <v>536</v>
      </c>
      <c r="D249" s="527" t="s">
        <v>1161</v>
      </c>
      <c r="E249" s="185"/>
      <c r="F249" s="658">
        <v>162670</v>
      </c>
      <c r="G249" s="15">
        <f>0+'táj.2.'!G249</f>
        <v>0</v>
      </c>
      <c r="H249" s="15">
        <f>0+'táj.2.'!H249</f>
        <v>0</v>
      </c>
      <c r="I249" s="15">
        <f>0+'táj.2.'!I249</f>
        <v>0</v>
      </c>
      <c r="J249" s="15">
        <f>0+'táj.2.'!J249</f>
        <v>0</v>
      </c>
      <c r="K249" s="15">
        <f>0+'táj.2.'!K249</f>
        <v>0</v>
      </c>
      <c r="L249" s="15">
        <f>2500+'táj.2.'!L249</f>
        <v>2500</v>
      </c>
      <c r="M249" s="15">
        <f>0+'táj.2.'!M249</f>
        <v>0</v>
      </c>
      <c r="N249" s="15">
        <f>0+'táj.2.'!N249</f>
        <v>0</v>
      </c>
      <c r="O249" s="15">
        <f>0+'táj.2.'!O249</f>
        <v>0</v>
      </c>
      <c r="P249" s="15">
        <f>0+'táj.2.'!P249</f>
        <v>0</v>
      </c>
      <c r="Q249" s="25">
        <f>SUM(G249:P249)</f>
        <v>2500</v>
      </c>
    </row>
    <row r="250" spans="1:17" ht="12.75" customHeight="1">
      <c r="A250" s="17"/>
      <c r="B250" s="17"/>
      <c r="C250" s="346"/>
      <c r="D250" s="18" t="s">
        <v>220</v>
      </c>
      <c r="E250" s="383"/>
      <c r="F250" s="660"/>
      <c r="G250" s="19">
        <f aca="true" t="shared" si="15" ref="G250:Q250">SUM(G241:G249)</f>
        <v>0</v>
      </c>
      <c r="H250" s="19">
        <f t="shared" si="15"/>
        <v>0</v>
      </c>
      <c r="I250" s="19">
        <f t="shared" si="15"/>
        <v>17913</v>
      </c>
      <c r="J250" s="19">
        <f t="shared" si="15"/>
        <v>0</v>
      </c>
      <c r="K250" s="19">
        <f t="shared" si="15"/>
        <v>0</v>
      </c>
      <c r="L250" s="19">
        <f t="shared" si="15"/>
        <v>1273653</v>
      </c>
      <c r="M250" s="19">
        <f t="shared" si="15"/>
        <v>0</v>
      </c>
      <c r="N250" s="19">
        <f t="shared" si="15"/>
        <v>5968</v>
      </c>
      <c r="O250" s="19">
        <f t="shared" si="15"/>
        <v>0</v>
      </c>
      <c r="P250" s="19">
        <f t="shared" si="15"/>
        <v>0</v>
      </c>
      <c r="Q250" s="19">
        <f t="shared" si="15"/>
        <v>1297534</v>
      </c>
    </row>
    <row r="251" spans="1:17" ht="13.5" customHeight="1">
      <c r="A251" s="23">
        <v>1</v>
      </c>
      <c r="B251" s="23">
        <v>15</v>
      </c>
      <c r="C251" s="387"/>
      <c r="D251" s="28" t="s">
        <v>221</v>
      </c>
      <c r="E251" s="185"/>
      <c r="F251" s="658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3.5" customHeight="1">
      <c r="A252" s="23"/>
      <c r="B252" s="23"/>
      <c r="C252" s="387"/>
      <c r="D252" s="118" t="s">
        <v>375</v>
      </c>
      <c r="E252" s="185"/>
      <c r="F252" s="658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ht="13.5" customHeight="1">
      <c r="A253" s="23"/>
      <c r="B253" s="23"/>
      <c r="C253" s="387"/>
      <c r="D253" s="24" t="s">
        <v>705</v>
      </c>
      <c r="E253" s="185">
        <v>1</v>
      </c>
      <c r="F253" s="658">
        <v>151502</v>
      </c>
      <c r="G253" s="25">
        <f>0+'táj.2.'!G253</f>
        <v>0</v>
      </c>
      <c r="H253" s="25">
        <f>0+'táj.2.'!H253</f>
        <v>0</v>
      </c>
      <c r="I253" s="25">
        <f>29697+'táj.2.'!I253</f>
        <v>29349</v>
      </c>
      <c r="J253" s="25">
        <f>0+'táj.2.'!J253</f>
        <v>0</v>
      </c>
      <c r="K253" s="25">
        <f>0+'táj.2.'!K253</f>
        <v>0</v>
      </c>
      <c r="L253" s="25">
        <f>0+'táj.2.'!L253</f>
        <v>0</v>
      </c>
      <c r="M253" s="25">
        <f>0+'táj.2.'!M253</f>
        <v>0</v>
      </c>
      <c r="N253" s="25">
        <f>0+'táj.2.'!N253</f>
        <v>0</v>
      </c>
      <c r="O253" s="25">
        <f>0+'táj.2.'!O253</f>
        <v>0</v>
      </c>
      <c r="P253" s="25">
        <f>0+'táj.2.'!P253</f>
        <v>0</v>
      </c>
      <c r="Q253" s="25">
        <f aca="true" t="shared" si="16" ref="Q253:Q273">SUM(G253:P253)</f>
        <v>29349</v>
      </c>
    </row>
    <row r="254" spans="1:17" ht="13.5" customHeight="1">
      <c r="A254" s="23"/>
      <c r="B254" s="23"/>
      <c r="C254" s="387"/>
      <c r="D254" s="24" t="s">
        <v>222</v>
      </c>
      <c r="E254" s="185">
        <v>1</v>
      </c>
      <c r="F254" s="658">
        <v>151504</v>
      </c>
      <c r="G254" s="25">
        <f>0+'táj.2.'!G254</f>
        <v>0</v>
      </c>
      <c r="H254" s="25">
        <f>0+'táj.2.'!H254</f>
        <v>0</v>
      </c>
      <c r="I254" s="25">
        <f>109239+'táj.2.'!I254</f>
        <v>109239</v>
      </c>
      <c r="J254" s="25">
        <f>0+'táj.2.'!J254</f>
        <v>0</v>
      </c>
      <c r="K254" s="25">
        <f>0+'táj.2.'!K254</f>
        <v>0</v>
      </c>
      <c r="L254" s="25">
        <f>0+'táj.2.'!L254</f>
        <v>0</v>
      </c>
      <c r="M254" s="25">
        <f>0+'táj.2.'!M254</f>
        <v>0</v>
      </c>
      <c r="N254" s="25">
        <f>0+'táj.2.'!N254</f>
        <v>0</v>
      </c>
      <c r="O254" s="25">
        <f>0+'táj.2.'!O254</f>
        <v>0</v>
      </c>
      <c r="P254" s="25">
        <f>0+'táj.2.'!P254</f>
        <v>0</v>
      </c>
      <c r="Q254" s="25">
        <f t="shared" si="16"/>
        <v>109239</v>
      </c>
    </row>
    <row r="255" spans="1:17" ht="13.5" customHeight="1">
      <c r="A255" s="23"/>
      <c r="B255" s="23"/>
      <c r="C255" s="387"/>
      <c r="D255" s="118" t="s">
        <v>368</v>
      </c>
      <c r="E255" s="185">
        <v>1</v>
      </c>
      <c r="F255" s="658">
        <v>151501</v>
      </c>
      <c r="G255" s="25">
        <f>0+'táj.2.'!G255</f>
        <v>0</v>
      </c>
      <c r="H255" s="25">
        <f>0+'táj.2.'!H255</f>
        <v>0</v>
      </c>
      <c r="I255" s="25">
        <f>9000+'táj.2.'!I255</f>
        <v>9000</v>
      </c>
      <c r="J255" s="25">
        <f>0+'táj.2.'!J255</f>
        <v>0</v>
      </c>
      <c r="K255" s="25">
        <f>0+'táj.2.'!K255</f>
        <v>0</v>
      </c>
      <c r="L255" s="25">
        <f>0+'táj.2.'!L255</f>
        <v>0</v>
      </c>
      <c r="M255" s="25">
        <f>0+'táj.2.'!M255</f>
        <v>0</v>
      </c>
      <c r="N255" s="25">
        <f>0+'táj.2.'!N255</f>
        <v>0</v>
      </c>
      <c r="O255" s="25">
        <f>0+'táj.2.'!O255</f>
        <v>0</v>
      </c>
      <c r="P255" s="25">
        <f>0+'táj.2.'!P255</f>
        <v>0</v>
      </c>
      <c r="Q255" s="25">
        <f t="shared" si="16"/>
        <v>9000</v>
      </c>
    </row>
    <row r="256" spans="1:17" ht="13.5" customHeight="1">
      <c r="A256" s="23"/>
      <c r="B256" s="23"/>
      <c r="C256" s="387"/>
      <c r="D256" s="118" t="s">
        <v>760</v>
      </c>
      <c r="E256" s="185">
        <v>1</v>
      </c>
      <c r="F256" s="658">
        <v>151905</v>
      </c>
      <c r="G256" s="25">
        <f>0+'táj.2.'!G256</f>
        <v>0</v>
      </c>
      <c r="H256" s="25">
        <f>0+'táj.2.'!H256</f>
        <v>0</v>
      </c>
      <c r="I256" s="25">
        <f>610+'táj.2.'!I256</f>
        <v>610</v>
      </c>
      <c r="J256" s="25">
        <f>0+'táj.2.'!J256</f>
        <v>0</v>
      </c>
      <c r="K256" s="25">
        <f>0+'táj.2.'!K256</f>
        <v>0</v>
      </c>
      <c r="L256" s="25">
        <f>90+'táj.2.'!L256</f>
        <v>90</v>
      </c>
      <c r="M256" s="25">
        <f>0+'táj.2.'!M256</f>
        <v>0</v>
      </c>
      <c r="N256" s="25">
        <f>0+'táj.2.'!N256</f>
        <v>0</v>
      </c>
      <c r="O256" s="25">
        <f>0+'táj.2.'!O256</f>
        <v>0</v>
      </c>
      <c r="P256" s="25">
        <f>0+'táj.2.'!P256</f>
        <v>0</v>
      </c>
      <c r="Q256" s="25">
        <f t="shared" si="16"/>
        <v>700</v>
      </c>
    </row>
    <row r="257" spans="1:17" ht="13.5" customHeight="1">
      <c r="A257" s="23"/>
      <c r="B257" s="23"/>
      <c r="C257" s="387"/>
      <c r="D257" s="118" t="s">
        <v>223</v>
      </c>
      <c r="E257" s="185">
        <v>2</v>
      </c>
      <c r="F257" s="658">
        <v>151503</v>
      </c>
      <c r="G257" s="25">
        <f>0+'táj.2.'!G257</f>
        <v>0</v>
      </c>
      <c r="H257" s="25">
        <f>0+'táj.2.'!H257</f>
        <v>0</v>
      </c>
      <c r="I257" s="25">
        <f>1800+'táj.2.'!I257</f>
        <v>1800</v>
      </c>
      <c r="J257" s="25">
        <f>0+'táj.2.'!J257</f>
        <v>0</v>
      </c>
      <c r="K257" s="25">
        <f>0+'táj.2.'!K257</f>
        <v>0</v>
      </c>
      <c r="L257" s="25">
        <f>0+'táj.2.'!L257</f>
        <v>0</v>
      </c>
      <c r="M257" s="25">
        <f>0+'táj.2.'!M257</f>
        <v>0</v>
      </c>
      <c r="N257" s="25">
        <f>0+'táj.2.'!N257</f>
        <v>0</v>
      </c>
      <c r="O257" s="25">
        <f>0+'táj.2.'!O257</f>
        <v>0</v>
      </c>
      <c r="P257" s="25">
        <f>0+'táj.2.'!P257</f>
        <v>0</v>
      </c>
      <c r="Q257" s="25">
        <f t="shared" si="16"/>
        <v>1800</v>
      </c>
    </row>
    <row r="258" spans="1:17" ht="13.5" customHeight="1">
      <c r="A258" s="23"/>
      <c r="B258" s="23"/>
      <c r="C258" s="387"/>
      <c r="D258" s="118" t="s">
        <v>224</v>
      </c>
      <c r="E258" s="185">
        <v>2</v>
      </c>
      <c r="F258" s="658">
        <v>151507</v>
      </c>
      <c r="G258" s="25">
        <f>0+'táj.2.'!G258</f>
        <v>0</v>
      </c>
      <c r="H258" s="25">
        <f>0+'táj.2.'!H258</f>
        <v>0</v>
      </c>
      <c r="I258" s="25">
        <f>1000+'táj.2.'!I258</f>
        <v>1092</v>
      </c>
      <c r="J258" s="25">
        <f>0+'táj.2.'!J258</f>
        <v>0</v>
      </c>
      <c r="K258" s="25">
        <f>0+'táj.2.'!K258</f>
        <v>0</v>
      </c>
      <c r="L258" s="25">
        <f>0+'táj.2.'!L258</f>
        <v>0</v>
      </c>
      <c r="M258" s="25">
        <f>0+'táj.2.'!M258</f>
        <v>0</v>
      </c>
      <c r="N258" s="25">
        <f>0+'táj.2.'!N258</f>
        <v>0</v>
      </c>
      <c r="O258" s="25">
        <f>0+'táj.2.'!O258</f>
        <v>0</v>
      </c>
      <c r="P258" s="25">
        <f>0+'táj.2.'!P258</f>
        <v>0</v>
      </c>
      <c r="Q258" s="25">
        <f t="shared" si="16"/>
        <v>1092</v>
      </c>
    </row>
    <row r="259" spans="1:17" ht="13.5" customHeight="1">
      <c r="A259" s="23"/>
      <c r="B259" s="23"/>
      <c r="C259" s="387"/>
      <c r="D259" s="118" t="s">
        <v>1217</v>
      </c>
      <c r="E259" s="185">
        <v>2</v>
      </c>
      <c r="F259" s="658">
        <v>151509</v>
      </c>
      <c r="G259" s="25">
        <f>0+'táj.2.'!G259</f>
        <v>0</v>
      </c>
      <c r="H259" s="25">
        <f>0+'táj.2.'!H259</f>
        <v>0</v>
      </c>
      <c r="I259" s="25">
        <f>1000+'táj.2.'!I259</f>
        <v>1000</v>
      </c>
      <c r="J259" s="25">
        <f>0+'táj.2.'!J259</f>
        <v>0</v>
      </c>
      <c r="K259" s="25">
        <f>0+'táj.2.'!K259</f>
        <v>0</v>
      </c>
      <c r="L259" s="25">
        <f>0+'táj.2.'!L259</f>
        <v>0</v>
      </c>
      <c r="M259" s="25">
        <f>0+'táj.2.'!M259</f>
        <v>0</v>
      </c>
      <c r="N259" s="25">
        <f>0+'táj.2.'!N259</f>
        <v>0</v>
      </c>
      <c r="O259" s="25">
        <f>0+'táj.2.'!O259</f>
        <v>0</v>
      </c>
      <c r="P259" s="25">
        <f>0+'táj.2.'!P259</f>
        <v>0</v>
      </c>
      <c r="Q259" s="25">
        <f t="shared" si="16"/>
        <v>1000</v>
      </c>
    </row>
    <row r="260" spans="1:17" ht="13.5" customHeight="1">
      <c r="A260" s="23"/>
      <c r="B260" s="23"/>
      <c r="C260" s="387"/>
      <c r="D260" s="118" t="s">
        <v>1071</v>
      </c>
      <c r="E260" s="185">
        <v>1</v>
      </c>
      <c r="F260" s="658">
        <v>151510</v>
      </c>
      <c r="G260" s="25">
        <f>0+'táj.2.'!G260</f>
        <v>0</v>
      </c>
      <c r="H260" s="25">
        <f>0+'táj.2.'!H260</f>
        <v>0</v>
      </c>
      <c r="I260" s="25">
        <f>3500+'táj.2.'!I260</f>
        <v>3500</v>
      </c>
      <c r="J260" s="25">
        <f>0+'táj.2.'!J260</f>
        <v>0</v>
      </c>
      <c r="K260" s="25">
        <f>0+'táj.2.'!K260</f>
        <v>0</v>
      </c>
      <c r="L260" s="25">
        <f>0+'táj.2.'!L260</f>
        <v>0</v>
      </c>
      <c r="M260" s="25">
        <f>0+'táj.2.'!M260</f>
        <v>0</v>
      </c>
      <c r="N260" s="25">
        <f>0+'táj.2.'!N260</f>
        <v>0</v>
      </c>
      <c r="O260" s="25">
        <f>0+'táj.2.'!O260</f>
        <v>0</v>
      </c>
      <c r="P260" s="25">
        <f>0+'táj.2.'!P260</f>
        <v>0</v>
      </c>
      <c r="Q260" s="25">
        <f t="shared" si="16"/>
        <v>3500</v>
      </c>
    </row>
    <row r="261" spans="1:17" ht="13.5" customHeight="1">
      <c r="A261" s="23"/>
      <c r="B261" s="23"/>
      <c r="C261" s="387"/>
      <c r="D261" s="118" t="s">
        <v>225</v>
      </c>
      <c r="E261" s="185">
        <v>1</v>
      </c>
      <c r="F261" s="658">
        <v>151512</v>
      </c>
      <c r="G261" s="25">
        <f>0+'táj.2.'!G261</f>
        <v>0</v>
      </c>
      <c r="H261" s="25">
        <f>0+'táj.2.'!H261</f>
        <v>0</v>
      </c>
      <c r="I261" s="25">
        <f>1000+'táj.2.'!I261</f>
        <v>1000</v>
      </c>
      <c r="J261" s="25">
        <f>0+'táj.2.'!J261</f>
        <v>0</v>
      </c>
      <c r="K261" s="25">
        <f>0+'táj.2.'!K261</f>
        <v>0</v>
      </c>
      <c r="L261" s="25">
        <f>0+'táj.2.'!L261</f>
        <v>0</v>
      </c>
      <c r="M261" s="25">
        <f>0+'táj.2.'!M261</f>
        <v>0</v>
      </c>
      <c r="N261" s="25">
        <f>0+'táj.2.'!N261</f>
        <v>0</v>
      </c>
      <c r="O261" s="25">
        <f>0+'táj.2.'!O261</f>
        <v>0</v>
      </c>
      <c r="P261" s="25">
        <f>0+'táj.2.'!P261</f>
        <v>0</v>
      </c>
      <c r="Q261" s="25">
        <f t="shared" si="16"/>
        <v>1000</v>
      </c>
    </row>
    <row r="262" spans="1:17" ht="13.5" customHeight="1">
      <c r="A262" s="23"/>
      <c r="B262" s="23"/>
      <c r="C262" s="387"/>
      <c r="D262" s="118" t="s">
        <v>226</v>
      </c>
      <c r="E262" s="185">
        <v>1</v>
      </c>
      <c r="F262" s="658">
        <v>151519</v>
      </c>
      <c r="G262" s="25">
        <f>0+'táj.2.'!G262</f>
        <v>0</v>
      </c>
      <c r="H262" s="25">
        <f>0+'táj.2.'!H262</f>
        <v>0</v>
      </c>
      <c r="I262" s="25">
        <f>1500+'táj.2.'!I262</f>
        <v>1500</v>
      </c>
      <c r="J262" s="25">
        <f>0+'táj.2.'!J262</f>
        <v>0</v>
      </c>
      <c r="K262" s="25">
        <f>0+'táj.2.'!K262</f>
        <v>0</v>
      </c>
      <c r="L262" s="25">
        <f>0+'táj.2.'!L262</f>
        <v>0</v>
      </c>
      <c r="M262" s="25">
        <f>0+'táj.2.'!M262</f>
        <v>0</v>
      </c>
      <c r="N262" s="25">
        <f>0+'táj.2.'!N262</f>
        <v>0</v>
      </c>
      <c r="O262" s="25">
        <f>0+'táj.2.'!O262</f>
        <v>0</v>
      </c>
      <c r="P262" s="25">
        <f>0+'táj.2.'!P262</f>
        <v>0</v>
      </c>
      <c r="Q262" s="25">
        <f t="shared" si="16"/>
        <v>1500</v>
      </c>
    </row>
    <row r="263" spans="1:17" ht="13.5" customHeight="1">
      <c r="A263" s="23"/>
      <c r="B263" s="23"/>
      <c r="C263" s="387"/>
      <c r="D263" s="118" t="s">
        <v>227</v>
      </c>
      <c r="E263" s="185">
        <v>2</v>
      </c>
      <c r="F263" s="658">
        <v>151511</v>
      </c>
      <c r="G263" s="25">
        <f>0+'táj.2.'!G263</f>
        <v>0</v>
      </c>
      <c r="H263" s="25">
        <f>0+'táj.2.'!H263</f>
        <v>0</v>
      </c>
      <c r="I263" s="25">
        <f>3500+'táj.2.'!I263</f>
        <v>3500</v>
      </c>
      <c r="J263" s="25">
        <f>0+'táj.2.'!J263</f>
        <v>0</v>
      </c>
      <c r="K263" s="25">
        <f>0+'táj.2.'!K263</f>
        <v>0</v>
      </c>
      <c r="L263" s="25">
        <f>0+'táj.2.'!L263</f>
        <v>0</v>
      </c>
      <c r="M263" s="25">
        <f>0+'táj.2.'!M263</f>
        <v>0</v>
      </c>
      <c r="N263" s="25">
        <f>0+'táj.2.'!N263</f>
        <v>0</v>
      </c>
      <c r="O263" s="25">
        <f>0+'táj.2.'!O263</f>
        <v>0</v>
      </c>
      <c r="P263" s="25">
        <f>0+'táj.2.'!P263</f>
        <v>0</v>
      </c>
      <c r="Q263" s="25">
        <f t="shared" si="16"/>
        <v>3500</v>
      </c>
    </row>
    <row r="264" spans="1:17" ht="13.5" customHeight="1">
      <c r="A264" s="23"/>
      <c r="B264" s="23"/>
      <c r="C264" s="387"/>
      <c r="D264" s="118" t="s">
        <v>1218</v>
      </c>
      <c r="E264" s="528">
        <v>2</v>
      </c>
      <c r="F264" s="658">
        <v>151514</v>
      </c>
      <c r="G264" s="25">
        <f>0+'táj.2.'!G264</f>
        <v>0</v>
      </c>
      <c r="H264" s="25">
        <f>0+'táj.2.'!H264</f>
        <v>0</v>
      </c>
      <c r="I264" s="25">
        <f>1300+'táj.2.'!I264</f>
        <v>1734</v>
      </c>
      <c r="J264" s="25">
        <f>0+'táj.2.'!J264</f>
        <v>0</v>
      </c>
      <c r="K264" s="25">
        <f>0+'táj.2.'!K264</f>
        <v>0</v>
      </c>
      <c r="L264" s="25">
        <f>0+'táj.2.'!L264</f>
        <v>0</v>
      </c>
      <c r="M264" s="25">
        <f>0+'táj.2.'!M264</f>
        <v>0</v>
      </c>
      <c r="N264" s="25">
        <f>0+'táj.2.'!N264</f>
        <v>0</v>
      </c>
      <c r="O264" s="25">
        <f>0+'táj.2.'!O264</f>
        <v>0</v>
      </c>
      <c r="P264" s="25">
        <f>0+'táj.2.'!P264</f>
        <v>0</v>
      </c>
      <c r="Q264" s="25">
        <f t="shared" si="16"/>
        <v>1734</v>
      </c>
    </row>
    <row r="265" spans="1:17" ht="13.5" customHeight="1">
      <c r="A265" s="23"/>
      <c r="B265" s="23"/>
      <c r="C265" s="387"/>
      <c r="D265" s="118" t="s">
        <v>1219</v>
      </c>
      <c r="E265" s="528">
        <v>2</v>
      </c>
      <c r="F265" s="658">
        <v>151515</v>
      </c>
      <c r="G265" s="25">
        <f>0+'táj.2.'!G265</f>
        <v>0</v>
      </c>
      <c r="H265" s="25">
        <f>0+'táj.2.'!H265</f>
        <v>0</v>
      </c>
      <c r="I265" s="25">
        <f>800+'táj.2.'!I265</f>
        <v>800</v>
      </c>
      <c r="J265" s="25">
        <f>0+'táj.2.'!J265</f>
        <v>0</v>
      </c>
      <c r="K265" s="25">
        <f>0+'táj.2.'!K265</f>
        <v>0</v>
      </c>
      <c r="L265" s="25">
        <f>0+'táj.2.'!L265</f>
        <v>0</v>
      </c>
      <c r="M265" s="25">
        <f>0+'táj.2.'!M265</f>
        <v>0</v>
      </c>
      <c r="N265" s="25">
        <f>0+'táj.2.'!N265</f>
        <v>0</v>
      </c>
      <c r="O265" s="25">
        <f>0+'táj.2.'!O265</f>
        <v>0</v>
      </c>
      <c r="P265" s="25">
        <f>0+'táj.2.'!P265</f>
        <v>0</v>
      </c>
      <c r="Q265" s="25">
        <f t="shared" si="16"/>
        <v>800</v>
      </c>
    </row>
    <row r="266" spans="1:17" ht="13.5" customHeight="1">
      <c r="A266" s="23"/>
      <c r="B266" s="23"/>
      <c r="C266" s="387"/>
      <c r="D266" s="118" t="s">
        <v>228</v>
      </c>
      <c r="E266" s="528">
        <v>1</v>
      </c>
      <c r="F266" s="658">
        <v>151513</v>
      </c>
      <c r="G266" s="25">
        <f>0+'táj.2.'!G266</f>
        <v>0</v>
      </c>
      <c r="H266" s="25">
        <f>0+'táj.2.'!H266</f>
        <v>0</v>
      </c>
      <c r="I266" s="25">
        <f>17592+'táj.2.'!I266</f>
        <v>16092</v>
      </c>
      <c r="J266" s="25">
        <f>0+'táj.2.'!J266</f>
        <v>0</v>
      </c>
      <c r="K266" s="25">
        <f>0+'táj.2.'!K266</f>
        <v>0</v>
      </c>
      <c r="L266" s="25">
        <f>0+'táj.2.'!L266</f>
        <v>0</v>
      </c>
      <c r="M266" s="25">
        <f>0+'táj.2.'!M266</f>
        <v>0</v>
      </c>
      <c r="N266" s="25">
        <f>0+'táj.2.'!N266</f>
        <v>0</v>
      </c>
      <c r="O266" s="25">
        <f>0+'táj.2.'!O266</f>
        <v>0</v>
      </c>
      <c r="P266" s="25">
        <f>0+'táj.2.'!P266</f>
        <v>0</v>
      </c>
      <c r="Q266" s="25">
        <f t="shared" si="16"/>
        <v>16092</v>
      </c>
    </row>
    <row r="267" spans="1:17" ht="13.5" customHeight="1">
      <c r="A267" s="23"/>
      <c r="B267" s="23"/>
      <c r="C267" s="387"/>
      <c r="D267" s="24" t="s">
        <v>358</v>
      </c>
      <c r="E267" s="78"/>
      <c r="F267" s="658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>
        <f t="shared" si="16"/>
        <v>0</v>
      </c>
    </row>
    <row r="268" spans="1:17" ht="13.5" customHeight="1">
      <c r="A268" s="23"/>
      <c r="B268" s="23"/>
      <c r="C268" s="387"/>
      <c r="D268" s="24" t="s">
        <v>706</v>
      </c>
      <c r="E268" s="185">
        <v>1</v>
      </c>
      <c r="F268" s="658">
        <v>151401</v>
      </c>
      <c r="G268" s="25">
        <f>0+'táj.2.'!G268</f>
        <v>0</v>
      </c>
      <c r="H268" s="25">
        <f>0+'táj.2.'!H268</f>
        <v>0</v>
      </c>
      <c r="I268" s="25">
        <f>89125+'táj.2.'!I268</f>
        <v>89100</v>
      </c>
      <c r="J268" s="25">
        <f>0+'táj.2.'!J268</f>
        <v>25</v>
      </c>
      <c r="K268" s="25">
        <f>0+'táj.2.'!K268</f>
        <v>0</v>
      </c>
      <c r="L268" s="25">
        <f>0+'táj.2.'!L268</f>
        <v>0</v>
      </c>
      <c r="M268" s="25">
        <f>0+'táj.2.'!M268</f>
        <v>0</v>
      </c>
      <c r="N268" s="25">
        <f>0+'táj.2.'!N268</f>
        <v>0</v>
      </c>
      <c r="O268" s="25">
        <f>0+'táj.2.'!O268</f>
        <v>0</v>
      </c>
      <c r="P268" s="25">
        <f>0+'táj.2.'!P268</f>
        <v>0</v>
      </c>
      <c r="Q268" s="25">
        <f t="shared" si="16"/>
        <v>89125</v>
      </c>
    </row>
    <row r="269" spans="1:17" ht="13.5" customHeight="1">
      <c r="A269" s="23"/>
      <c r="B269" s="23"/>
      <c r="C269" s="387"/>
      <c r="D269" s="24" t="s">
        <v>1220</v>
      </c>
      <c r="E269" s="78">
        <v>1</v>
      </c>
      <c r="F269" s="658">
        <v>151402</v>
      </c>
      <c r="G269" s="25">
        <f>0+'táj.2.'!G269</f>
        <v>0</v>
      </c>
      <c r="H269" s="25">
        <f>0+'táj.2.'!H269</f>
        <v>0</v>
      </c>
      <c r="I269" s="25">
        <f>34591+'táj.2.'!I269</f>
        <v>34591</v>
      </c>
      <c r="J269" s="25">
        <f>0+'táj.2.'!J269</f>
        <v>0</v>
      </c>
      <c r="K269" s="25">
        <f>0+'táj.2.'!K269</f>
        <v>0</v>
      </c>
      <c r="L269" s="25">
        <f>0+'táj.2.'!L269</f>
        <v>0</v>
      </c>
      <c r="M269" s="25">
        <f>0+'táj.2.'!M269</f>
        <v>0</v>
      </c>
      <c r="N269" s="25">
        <f>0+'táj.2.'!N269</f>
        <v>0</v>
      </c>
      <c r="O269" s="25">
        <f>0+'táj.2.'!O269</f>
        <v>0</v>
      </c>
      <c r="P269" s="25">
        <f>0+'táj.2.'!P269</f>
        <v>0</v>
      </c>
      <c r="Q269" s="25">
        <f t="shared" si="16"/>
        <v>34591</v>
      </c>
    </row>
    <row r="270" spans="1:17" ht="13.5" customHeight="1">
      <c r="A270" s="23"/>
      <c r="B270" s="23"/>
      <c r="C270" s="387"/>
      <c r="D270" s="24" t="s">
        <v>1221</v>
      </c>
      <c r="E270" s="78">
        <v>2</v>
      </c>
      <c r="F270" s="658">
        <v>151406</v>
      </c>
      <c r="G270" s="25">
        <f>0+'táj.2.'!G270</f>
        <v>0</v>
      </c>
      <c r="H270" s="25">
        <f>0+'táj.2.'!H270</f>
        <v>0</v>
      </c>
      <c r="I270" s="25">
        <f>1000+'táj.2.'!I270</f>
        <v>305</v>
      </c>
      <c r="J270" s="25">
        <f>0+'táj.2.'!J270</f>
        <v>0</v>
      </c>
      <c r="K270" s="25">
        <f>0+'táj.2.'!K270</f>
        <v>0</v>
      </c>
      <c r="L270" s="25">
        <f>0+'táj.2.'!L270</f>
        <v>0</v>
      </c>
      <c r="M270" s="25">
        <f>0+'táj.2.'!M270</f>
        <v>0</v>
      </c>
      <c r="N270" s="25">
        <f>0+'táj.2.'!N270</f>
        <v>0</v>
      </c>
      <c r="O270" s="25">
        <f>0+'táj.2.'!O270</f>
        <v>0</v>
      </c>
      <c r="P270" s="25">
        <f>0+'táj.2.'!P270</f>
        <v>0</v>
      </c>
      <c r="Q270" s="25">
        <f t="shared" si="16"/>
        <v>305</v>
      </c>
    </row>
    <row r="271" spans="1:17" ht="13.5" customHeight="1">
      <c r="A271" s="23"/>
      <c r="B271" s="23"/>
      <c r="C271" s="387"/>
      <c r="D271" s="24" t="s">
        <v>1222</v>
      </c>
      <c r="E271" s="78">
        <v>2</v>
      </c>
      <c r="F271" s="658">
        <v>151407</v>
      </c>
      <c r="G271" s="25">
        <f>0+'táj.2.'!G271</f>
        <v>0</v>
      </c>
      <c r="H271" s="25">
        <f>0+'táj.2.'!H271</f>
        <v>0</v>
      </c>
      <c r="I271" s="25">
        <f>1000+'táj.2.'!I271</f>
        <v>1695</v>
      </c>
      <c r="J271" s="25">
        <f>0+'táj.2.'!J271</f>
        <v>0</v>
      </c>
      <c r="K271" s="25">
        <f>0+'táj.2.'!K271</f>
        <v>0</v>
      </c>
      <c r="L271" s="25">
        <f>0+'táj.2.'!L271</f>
        <v>0</v>
      </c>
      <c r="M271" s="25">
        <f>0+'táj.2.'!M271</f>
        <v>0</v>
      </c>
      <c r="N271" s="25">
        <f>0+'táj.2.'!N271</f>
        <v>0</v>
      </c>
      <c r="O271" s="25">
        <f>0+'táj.2.'!O271</f>
        <v>0</v>
      </c>
      <c r="P271" s="25">
        <f>0+'táj.2.'!P271</f>
        <v>0</v>
      </c>
      <c r="Q271" s="25">
        <f t="shared" si="16"/>
        <v>1695</v>
      </c>
    </row>
    <row r="272" spans="1:17" ht="13.5" customHeight="1">
      <c r="A272" s="23"/>
      <c r="B272" s="23"/>
      <c r="C272" s="387"/>
      <c r="D272" s="24" t="s">
        <v>229</v>
      </c>
      <c r="E272" s="78">
        <v>1</v>
      </c>
      <c r="F272" s="658">
        <v>151403</v>
      </c>
      <c r="G272" s="25">
        <f>0+'táj.2.'!G272</f>
        <v>0</v>
      </c>
      <c r="H272" s="25">
        <f>0+'táj.2.'!H272</f>
        <v>0</v>
      </c>
      <c r="I272" s="25">
        <f>1800+'táj.2.'!I272</f>
        <v>1800</v>
      </c>
      <c r="J272" s="25">
        <f>0+'táj.2.'!J272</f>
        <v>0</v>
      </c>
      <c r="K272" s="25">
        <f>0+'táj.2.'!K272</f>
        <v>0</v>
      </c>
      <c r="L272" s="25">
        <f>0+'táj.2.'!L272</f>
        <v>0</v>
      </c>
      <c r="M272" s="25">
        <f>0+'táj.2.'!M272</f>
        <v>0</v>
      </c>
      <c r="N272" s="25">
        <f>0+'táj.2.'!N272</f>
        <v>0</v>
      </c>
      <c r="O272" s="25">
        <f>0+'táj.2.'!O272</f>
        <v>0</v>
      </c>
      <c r="P272" s="25">
        <f>0+'táj.2.'!P272</f>
        <v>0</v>
      </c>
      <c r="Q272" s="25">
        <f t="shared" si="16"/>
        <v>1800</v>
      </c>
    </row>
    <row r="273" spans="1:17" ht="13.5" customHeight="1">
      <c r="A273" s="23"/>
      <c r="B273" s="23"/>
      <c r="C273" s="387"/>
      <c r="D273" s="24" t="s">
        <v>230</v>
      </c>
      <c r="E273" s="78">
        <v>2</v>
      </c>
      <c r="F273" s="658">
        <v>151404</v>
      </c>
      <c r="G273" s="25">
        <f>0+'táj.2.'!G273</f>
        <v>0</v>
      </c>
      <c r="H273" s="25">
        <f>0+'táj.2.'!H273</f>
        <v>0</v>
      </c>
      <c r="I273" s="25">
        <f>0+'táj.2.'!I273</f>
        <v>0</v>
      </c>
      <c r="J273" s="25">
        <f>0+'táj.2.'!J273</f>
        <v>0</v>
      </c>
      <c r="K273" s="25">
        <f>0+'táj.2.'!K273</f>
        <v>0</v>
      </c>
      <c r="L273" s="25">
        <f>0+'táj.2.'!L273</f>
        <v>0</v>
      </c>
      <c r="M273" s="25">
        <f>0+'táj.2.'!M273</f>
        <v>0</v>
      </c>
      <c r="N273" s="25">
        <f>0+'táj.2.'!N273</f>
        <v>0</v>
      </c>
      <c r="O273" s="25">
        <f>0+'táj.2.'!O273</f>
        <v>0</v>
      </c>
      <c r="P273" s="25">
        <f>0+'táj.2.'!P273</f>
        <v>0</v>
      </c>
      <c r="Q273" s="25">
        <f t="shared" si="16"/>
        <v>0</v>
      </c>
    </row>
    <row r="274" spans="1:17" ht="13.5" customHeight="1">
      <c r="A274" s="23"/>
      <c r="B274" s="23"/>
      <c r="C274" s="387"/>
      <c r="D274" s="118" t="s">
        <v>1072</v>
      </c>
      <c r="E274" s="78"/>
      <c r="F274" s="658"/>
      <c r="G274" s="25"/>
      <c r="H274" s="388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13.5" customHeight="1">
      <c r="A275" s="25"/>
      <c r="B275" s="25"/>
      <c r="C275" s="25"/>
      <c r="D275" s="24" t="s">
        <v>1223</v>
      </c>
      <c r="E275" s="185">
        <v>1</v>
      </c>
      <c r="F275" s="658">
        <v>151102</v>
      </c>
      <c r="G275" s="25">
        <f>0+'táj.2.'!G275</f>
        <v>0</v>
      </c>
      <c r="H275" s="25">
        <f>0+'táj.2.'!H275</f>
        <v>0</v>
      </c>
      <c r="I275" s="25">
        <f>2600+'táj.2.'!I275</f>
        <v>2600</v>
      </c>
      <c r="J275" s="25">
        <f>0+'táj.2.'!J275</f>
        <v>0</v>
      </c>
      <c r="K275" s="25">
        <f>0+'táj.2.'!K275</f>
        <v>0</v>
      </c>
      <c r="L275" s="25">
        <f>0+'táj.2.'!L275</f>
        <v>0</v>
      </c>
      <c r="M275" s="25">
        <f>0+'táj.2.'!M275</f>
        <v>0</v>
      </c>
      <c r="N275" s="25">
        <f>0+'táj.2.'!N275</f>
        <v>0</v>
      </c>
      <c r="O275" s="25">
        <f>0+'táj.2.'!O275</f>
        <v>0</v>
      </c>
      <c r="P275" s="25">
        <f>0+'táj.2.'!P275</f>
        <v>0</v>
      </c>
      <c r="Q275" s="25">
        <f>SUM(G275:P275)</f>
        <v>2600</v>
      </c>
    </row>
    <row r="276" spans="1:17" ht="13.5" customHeight="1">
      <c r="A276" s="23"/>
      <c r="B276" s="23"/>
      <c r="C276" s="387"/>
      <c r="D276" s="24" t="s">
        <v>1224</v>
      </c>
      <c r="E276" s="185">
        <v>1</v>
      </c>
      <c r="F276" s="658">
        <v>151103</v>
      </c>
      <c r="G276" s="25">
        <f>0+'táj.2.'!G276</f>
        <v>0</v>
      </c>
      <c r="H276" s="25">
        <f>0+'táj.2.'!H276</f>
        <v>0</v>
      </c>
      <c r="I276" s="25">
        <f>4138+'táj.2.'!I276</f>
        <v>4138</v>
      </c>
      <c r="J276" s="25">
        <f>0+'táj.2.'!J276</f>
        <v>0</v>
      </c>
      <c r="K276" s="25">
        <f>0+'táj.2.'!K276</f>
        <v>0</v>
      </c>
      <c r="L276" s="25">
        <f>0+'táj.2.'!L276</f>
        <v>0</v>
      </c>
      <c r="M276" s="25">
        <f>0+'táj.2.'!M276</f>
        <v>0</v>
      </c>
      <c r="N276" s="25">
        <f>0+'táj.2.'!N276</f>
        <v>0</v>
      </c>
      <c r="O276" s="25">
        <f>0+'táj.2.'!O276</f>
        <v>0</v>
      </c>
      <c r="P276" s="25">
        <f>0+'táj.2.'!P276</f>
        <v>0</v>
      </c>
      <c r="Q276" s="25">
        <f>SUM(G276:P276)</f>
        <v>4138</v>
      </c>
    </row>
    <row r="277" spans="1:17" ht="13.5" customHeight="1">
      <c r="A277" s="23"/>
      <c r="B277" s="23"/>
      <c r="C277" s="387"/>
      <c r="D277" s="24" t="s">
        <v>791</v>
      </c>
      <c r="E277" s="78"/>
      <c r="F277" s="658"/>
      <c r="G277" s="25"/>
      <c r="H277" s="388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ht="13.5" customHeight="1">
      <c r="A278" s="23"/>
      <c r="B278" s="23"/>
      <c r="C278" s="387"/>
      <c r="D278" s="118" t="s">
        <v>236</v>
      </c>
      <c r="E278" s="78">
        <v>1</v>
      </c>
      <c r="F278" s="658">
        <v>151301</v>
      </c>
      <c r="G278" s="25">
        <f>0+'táj.2.'!G278</f>
        <v>0</v>
      </c>
      <c r="H278" s="25">
        <f>0+'táj.2.'!H278</f>
        <v>0</v>
      </c>
      <c r="I278" s="25">
        <f>15000+'táj.2.'!I278</f>
        <v>15000</v>
      </c>
      <c r="J278" s="25">
        <f>0+'táj.2.'!J278</f>
        <v>0</v>
      </c>
      <c r="K278" s="25">
        <f>0+'táj.2.'!K278</f>
        <v>0</v>
      </c>
      <c r="L278" s="25">
        <f>0+'táj.2.'!L278</f>
        <v>0</v>
      </c>
      <c r="M278" s="25">
        <f>0+'táj.2.'!M278</f>
        <v>0</v>
      </c>
      <c r="N278" s="25">
        <f>0+'táj.2.'!N278</f>
        <v>0</v>
      </c>
      <c r="O278" s="25">
        <f>0+'táj.2.'!O278</f>
        <v>0</v>
      </c>
      <c r="P278" s="25">
        <f>0+'táj.2.'!P278</f>
        <v>0</v>
      </c>
      <c r="Q278" s="25">
        <f aca="true" t="shared" si="17" ref="Q278:Q305">SUM(G278:P278)</f>
        <v>15000</v>
      </c>
    </row>
    <row r="279" spans="1:17" ht="25.5" customHeight="1">
      <c r="A279" s="23"/>
      <c r="B279" s="23"/>
      <c r="C279" s="387"/>
      <c r="D279" s="202" t="s">
        <v>1225</v>
      </c>
      <c r="E279" s="78">
        <v>1</v>
      </c>
      <c r="F279" s="658">
        <v>151305</v>
      </c>
      <c r="G279" s="25">
        <f>0+'táj.2.'!G279</f>
        <v>0</v>
      </c>
      <c r="H279" s="25">
        <f>0+'táj.2.'!H279</f>
        <v>0</v>
      </c>
      <c r="I279" s="25">
        <f>42028+'táj.2.'!I279</f>
        <v>55485</v>
      </c>
      <c r="J279" s="25">
        <f>0+'táj.2.'!J279</f>
        <v>0</v>
      </c>
      <c r="K279" s="25">
        <f>0+'táj.2.'!K279</f>
        <v>0</v>
      </c>
      <c r="L279" s="25">
        <f>0+'táj.2.'!L279</f>
        <v>0</v>
      </c>
      <c r="M279" s="25">
        <f>0+'táj.2.'!M279</f>
        <v>0</v>
      </c>
      <c r="N279" s="25">
        <f>0+'táj.2.'!N279</f>
        <v>0</v>
      </c>
      <c r="O279" s="25">
        <f>0+'táj.2.'!O279</f>
        <v>0</v>
      </c>
      <c r="P279" s="25">
        <f>0+'táj.2.'!P279</f>
        <v>0</v>
      </c>
      <c r="Q279" s="25">
        <f t="shared" si="17"/>
        <v>55485</v>
      </c>
    </row>
    <row r="280" spans="1:17" ht="25.5" customHeight="1">
      <c r="A280" s="23"/>
      <c r="B280" s="23"/>
      <c r="C280" s="387"/>
      <c r="D280" s="202" t="s">
        <v>376</v>
      </c>
      <c r="E280" s="78">
        <v>1</v>
      </c>
      <c r="F280" s="658">
        <v>151306</v>
      </c>
      <c r="G280" s="25">
        <f>0+'táj.2.'!G280</f>
        <v>0</v>
      </c>
      <c r="H280" s="25">
        <f>0+'táj.2.'!H280</f>
        <v>0</v>
      </c>
      <c r="I280" s="25">
        <f>35500+'táj.2.'!I280</f>
        <v>35500</v>
      </c>
      <c r="J280" s="25">
        <f>0+'táj.2.'!J280</f>
        <v>0</v>
      </c>
      <c r="K280" s="25">
        <f>0+'táj.2.'!K280</f>
        <v>0</v>
      </c>
      <c r="L280" s="25">
        <f>0+'táj.2.'!L280</f>
        <v>0</v>
      </c>
      <c r="M280" s="25">
        <f>0+'táj.2.'!M280</f>
        <v>0</v>
      </c>
      <c r="N280" s="25">
        <f>0+'táj.2.'!N280</f>
        <v>0</v>
      </c>
      <c r="O280" s="25">
        <f>0+'táj.2.'!O280</f>
        <v>0</v>
      </c>
      <c r="P280" s="25">
        <f>0+'táj.2.'!P280</f>
        <v>0</v>
      </c>
      <c r="Q280" s="25">
        <f t="shared" si="17"/>
        <v>35500</v>
      </c>
    </row>
    <row r="281" spans="1:17" ht="24" customHeight="1">
      <c r="A281" s="23"/>
      <c r="B281" s="23"/>
      <c r="C281" s="387"/>
      <c r="D281" s="202" t="s">
        <v>240</v>
      </c>
      <c r="E281" s="78">
        <v>1</v>
      </c>
      <c r="F281" s="658">
        <v>151308</v>
      </c>
      <c r="G281" s="25">
        <f>0+'táj.2.'!G281</f>
        <v>0</v>
      </c>
      <c r="H281" s="25">
        <f>0+'táj.2.'!H281</f>
        <v>0</v>
      </c>
      <c r="I281" s="25">
        <f>2435+'táj.2.'!I281</f>
        <v>2435</v>
      </c>
      <c r="J281" s="25">
        <f>0+'táj.2.'!J281</f>
        <v>0</v>
      </c>
      <c r="K281" s="25">
        <f>0+'táj.2.'!K281</f>
        <v>0</v>
      </c>
      <c r="L281" s="25">
        <f>0+'táj.2.'!L281</f>
        <v>0</v>
      </c>
      <c r="M281" s="25">
        <f>0+'táj.2.'!M281</f>
        <v>0</v>
      </c>
      <c r="N281" s="25">
        <f>0+'táj.2.'!N281</f>
        <v>0</v>
      </c>
      <c r="O281" s="25">
        <f>0+'táj.2.'!O281</f>
        <v>0</v>
      </c>
      <c r="P281" s="25">
        <f>0+'táj.2.'!P281</f>
        <v>0</v>
      </c>
      <c r="Q281" s="25">
        <f t="shared" si="17"/>
        <v>2435</v>
      </c>
    </row>
    <row r="282" spans="1:17" ht="24" customHeight="1">
      <c r="A282" s="23"/>
      <c r="B282" s="23"/>
      <c r="C282" s="387"/>
      <c r="D282" s="202" t="s">
        <v>241</v>
      </c>
      <c r="E282" s="529">
        <v>1</v>
      </c>
      <c r="F282" s="661">
        <v>151311</v>
      </c>
      <c r="G282" s="25">
        <f>0+'táj.2.'!G282</f>
        <v>0</v>
      </c>
      <c r="H282" s="25">
        <f>0+'táj.2.'!H282</f>
        <v>0</v>
      </c>
      <c r="I282" s="25">
        <f>1800+'táj.2.'!I282</f>
        <v>1800</v>
      </c>
      <c r="J282" s="25">
        <f>0+'táj.2.'!J282</f>
        <v>0</v>
      </c>
      <c r="K282" s="25">
        <f>0+'táj.2.'!K282</f>
        <v>0</v>
      </c>
      <c r="L282" s="25">
        <f>0+'táj.2.'!L282</f>
        <v>0</v>
      </c>
      <c r="M282" s="25">
        <f>0+'táj.2.'!M282</f>
        <v>0</v>
      </c>
      <c r="N282" s="25">
        <f>0+'táj.2.'!N282</f>
        <v>0</v>
      </c>
      <c r="O282" s="25">
        <f>0+'táj.2.'!O282</f>
        <v>0</v>
      </c>
      <c r="P282" s="25">
        <f>0+'táj.2.'!P282</f>
        <v>0</v>
      </c>
      <c r="Q282" s="25">
        <f t="shared" si="17"/>
        <v>1800</v>
      </c>
    </row>
    <row r="283" spans="1:17" ht="12" customHeight="1">
      <c r="A283" s="23"/>
      <c r="B283" s="23"/>
      <c r="C283" s="387"/>
      <c r="D283" s="24" t="s">
        <v>242</v>
      </c>
      <c r="E283" s="78">
        <v>1</v>
      </c>
      <c r="F283" s="658">
        <v>151312</v>
      </c>
      <c r="G283" s="25">
        <f>0+'táj.2.'!G283</f>
        <v>0</v>
      </c>
      <c r="H283" s="25">
        <f>0+'táj.2.'!H283</f>
        <v>0</v>
      </c>
      <c r="I283" s="25">
        <f>1800+'táj.2.'!I283</f>
        <v>952</v>
      </c>
      <c r="J283" s="25">
        <f>0+'táj.2.'!J283</f>
        <v>0</v>
      </c>
      <c r="K283" s="25">
        <f>0+'táj.2.'!K283</f>
        <v>0</v>
      </c>
      <c r="L283" s="25">
        <f>0+'táj.2.'!L283</f>
        <v>0</v>
      </c>
      <c r="M283" s="25">
        <f>0+'táj.2.'!M283</f>
        <v>0</v>
      </c>
      <c r="N283" s="25">
        <f>0+'táj.2.'!N283</f>
        <v>0</v>
      </c>
      <c r="O283" s="25">
        <f>0+'táj.2.'!O283</f>
        <v>0</v>
      </c>
      <c r="P283" s="25">
        <f>0+'táj.2.'!P283</f>
        <v>0</v>
      </c>
      <c r="Q283" s="25">
        <f t="shared" si="17"/>
        <v>952</v>
      </c>
    </row>
    <row r="284" spans="1:17" ht="12" customHeight="1">
      <c r="A284" s="23"/>
      <c r="B284" s="23"/>
      <c r="C284" s="387"/>
      <c r="D284" s="24" t="s">
        <v>1226</v>
      </c>
      <c r="E284" s="78">
        <v>1</v>
      </c>
      <c r="F284" s="658">
        <v>151302</v>
      </c>
      <c r="G284" s="25">
        <f>0+'táj.2.'!G284</f>
        <v>0</v>
      </c>
      <c r="H284" s="25">
        <f>0+'táj.2.'!H284</f>
        <v>0</v>
      </c>
      <c r="I284" s="25">
        <f>900+'táj.2.'!I284</f>
        <v>0</v>
      </c>
      <c r="J284" s="25">
        <f>0+'táj.2.'!J284</f>
        <v>0</v>
      </c>
      <c r="K284" s="25">
        <f>0+'táj.2.'!K284</f>
        <v>0</v>
      </c>
      <c r="L284" s="25">
        <f>0+'táj.2.'!L284</f>
        <v>0</v>
      </c>
      <c r="M284" s="25">
        <f>0+'táj.2.'!M284</f>
        <v>0</v>
      </c>
      <c r="N284" s="25">
        <f>0+'táj.2.'!N284</f>
        <v>0</v>
      </c>
      <c r="O284" s="25">
        <f>0+'táj.2.'!O284</f>
        <v>0</v>
      </c>
      <c r="P284" s="25">
        <f>0+'táj.2.'!P284</f>
        <v>0</v>
      </c>
      <c r="Q284" s="25">
        <f t="shared" si="17"/>
        <v>0</v>
      </c>
    </row>
    <row r="285" spans="1:17" ht="25.5" customHeight="1">
      <c r="A285" s="23"/>
      <c r="B285" s="23"/>
      <c r="C285" s="387"/>
      <c r="D285" s="203" t="s">
        <v>243</v>
      </c>
      <c r="E285" s="78">
        <v>1</v>
      </c>
      <c r="F285" s="658">
        <v>151303</v>
      </c>
      <c r="G285" s="25">
        <f>0+'táj.2.'!G285</f>
        <v>0</v>
      </c>
      <c r="H285" s="25">
        <f>0+'táj.2.'!H285</f>
        <v>0</v>
      </c>
      <c r="I285" s="25">
        <f>2500+'táj.2.'!I285</f>
        <v>0</v>
      </c>
      <c r="J285" s="25">
        <f>0+'táj.2.'!J285</f>
        <v>0</v>
      </c>
      <c r="K285" s="25">
        <f>0+'táj.2.'!K285</f>
        <v>0</v>
      </c>
      <c r="L285" s="25">
        <f>0+'táj.2.'!L285</f>
        <v>0</v>
      </c>
      <c r="M285" s="25">
        <f>0+'táj.2.'!M285</f>
        <v>0</v>
      </c>
      <c r="N285" s="25">
        <f>0+'táj.2.'!N285</f>
        <v>0</v>
      </c>
      <c r="O285" s="25">
        <f>0+'táj.2.'!O285</f>
        <v>0</v>
      </c>
      <c r="P285" s="25">
        <f>0+'táj.2.'!P285</f>
        <v>0</v>
      </c>
      <c r="Q285" s="25">
        <f t="shared" si="17"/>
        <v>0</v>
      </c>
    </row>
    <row r="286" spans="1:17" ht="24" customHeight="1">
      <c r="A286" s="23"/>
      <c r="B286" s="23"/>
      <c r="C286" s="387"/>
      <c r="D286" s="202" t="s">
        <v>1227</v>
      </c>
      <c r="E286" s="529">
        <v>2</v>
      </c>
      <c r="F286" s="661">
        <v>151315</v>
      </c>
      <c r="G286" s="25">
        <f>0+'táj.2.'!G286</f>
        <v>0</v>
      </c>
      <c r="H286" s="25">
        <f>0+'táj.2.'!H286</f>
        <v>0</v>
      </c>
      <c r="I286" s="25">
        <f>900+'táj.2.'!I286</f>
        <v>157</v>
      </c>
      <c r="J286" s="25">
        <f>0+'táj.2.'!J286</f>
        <v>0</v>
      </c>
      <c r="K286" s="25">
        <f>0+'táj.2.'!K286</f>
        <v>0</v>
      </c>
      <c r="L286" s="25">
        <f>0+'táj.2.'!L286</f>
        <v>0</v>
      </c>
      <c r="M286" s="25">
        <f>0+'táj.2.'!M286</f>
        <v>0</v>
      </c>
      <c r="N286" s="25">
        <f>0+'táj.2.'!N286</f>
        <v>0</v>
      </c>
      <c r="O286" s="25">
        <f>0+'táj.2.'!O286</f>
        <v>0</v>
      </c>
      <c r="P286" s="25">
        <f>0+'táj.2.'!P286</f>
        <v>0</v>
      </c>
      <c r="Q286" s="25">
        <f t="shared" si="17"/>
        <v>157</v>
      </c>
    </row>
    <row r="287" spans="1:17" ht="24.75" customHeight="1">
      <c r="A287" s="23"/>
      <c r="B287" s="23"/>
      <c r="C287" s="387"/>
      <c r="D287" s="202" t="s">
        <v>1237</v>
      </c>
      <c r="E287" s="529"/>
      <c r="F287" s="661"/>
      <c r="G287" s="25"/>
      <c r="H287" s="388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3.5" customHeight="1">
      <c r="A288" s="23"/>
      <c r="B288" s="23"/>
      <c r="C288" s="387"/>
      <c r="D288" s="24" t="s">
        <v>244</v>
      </c>
      <c r="E288" s="185">
        <v>1</v>
      </c>
      <c r="F288" s="658">
        <v>151703</v>
      </c>
      <c r="G288" s="25">
        <f>0+'táj.2.'!G288</f>
        <v>0</v>
      </c>
      <c r="H288" s="25">
        <f>0+'táj.2.'!H288</f>
        <v>0</v>
      </c>
      <c r="I288" s="25">
        <f>1000+'táj.2.'!I288</f>
        <v>1000</v>
      </c>
      <c r="J288" s="25">
        <f>0+'táj.2.'!J288</f>
        <v>0</v>
      </c>
      <c r="K288" s="25">
        <f>0+'táj.2.'!K288</f>
        <v>0</v>
      </c>
      <c r="L288" s="25">
        <f>0+'táj.2.'!L288</f>
        <v>0</v>
      </c>
      <c r="M288" s="25">
        <f>0+'táj.2.'!M288</f>
        <v>0</v>
      </c>
      <c r="N288" s="25">
        <f>0+'táj.2.'!N288</f>
        <v>0</v>
      </c>
      <c r="O288" s="25">
        <f>0+'táj.2.'!O288</f>
        <v>0</v>
      </c>
      <c r="P288" s="25">
        <f>0+'táj.2.'!P288</f>
        <v>0</v>
      </c>
      <c r="Q288" s="25">
        <f t="shared" si="17"/>
        <v>1000</v>
      </c>
    </row>
    <row r="289" spans="1:17" ht="13.5" customHeight="1">
      <c r="A289" s="23"/>
      <c r="B289" s="23"/>
      <c r="C289" s="387"/>
      <c r="D289" s="118" t="s">
        <v>359</v>
      </c>
      <c r="E289" s="78"/>
      <c r="F289" s="658"/>
      <c r="G289" s="25"/>
      <c r="H289" s="388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13.5" customHeight="1">
      <c r="A290" s="23"/>
      <c r="B290" s="23"/>
      <c r="C290" s="387"/>
      <c r="D290" s="24" t="s">
        <v>245</v>
      </c>
      <c r="E290" s="185">
        <v>1</v>
      </c>
      <c r="F290" s="658">
        <v>151601</v>
      </c>
      <c r="G290" s="25">
        <f>0+'táj.2.'!G290</f>
        <v>0</v>
      </c>
      <c r="H290" s="25">
        <f>0+'táj.2.'!H290</f>
        <v>0</v>
      </c>
      <c r="I290" s="25">
        <f>9671+'táj.2.'!I290</f>
        <v>9235</v>
      </c>
      <c r="J290" s="25">
        <f>0+'táj.2.'!J290</f>
        <v>25</v>
      </c>
      <c r="K290" s="25">
        <f>0+'táj.2.'!K290</f>
        <v>0</v>
      </c>
      <c r="L290" s="25">
        <f>913+'táj.2.'!L290</f>
        <v>913</v>
      </c>
      <c r="M290" s="25">
        <f>0+'táj.2.'!M290</f>
        <v>0</v>
      </c>
      <c r="N290" s="25">
        <f>0+'táj.2.'!N290</f>
        <v>0</v>
      </c>
      <c r="O290" s="25">
        <f>0+'táj.2.'!O290</f>
        <v>0</v>
      </c>
      <c r="P290" s="25">
        <f>0+'táj.2.'!P290</f>
        <v>0</v>
      </c>
      <c r="Q290" s="25">
        <f t="shared" si="17"/>
        <v>10173</v>
      </c>
    </row>
    <row r="291" spans="1:17" ht="13.5" customHeight="1">
      <c r="A291" s="23"/>
      <c r="B291" s="23"/>
      <c r="C291" s="387"/>
      <c r="D291" s="16" t="s">
        <v>246</v>
      </c>
      <c r="E291" s="14">
        <v>1</v>
      </c>
      <c r="F291" s="650">
        <v>151602</v>
      </c>
      <c r="G291" s="25">
        <f>0+'táj.2.'!G291</f>
        <v>0</v>
      </c>
      <c r="H291" s="25">
        <f>0+'táj.2.'!H291</f>
        <v>0</v>
      </c>
      <c r="I291" s="25">
        <f>0+'táj.2.'!I291</f>
        <v>0</v>
      </c>
      <c r="J291" s="25">
        <f>0+'táj.2.'!J291</f>
        <v>0</v>
      </c>
      <c r="K291" s="25">
        <f>18000+'táj.2.'!K291</f>
        <v>18000</v>
      </c>
      <c r="L291" s="25">
        <f>0+'táj.2.'!L291</f>
        <v>0</v>
      </c>
      <c r="M291" s="25">
        <f>0+'táj.2.'!M291</f>
        <v>0</v>
      </c>
      <c r="N291" s="25">
        <f>0+'táj.2.'!N291</f>
        <v>0</v>
      </c>
      <c r="O291" s="25">
        <f>0+'táj.2.'!O291</f>
        <v>0</v>
      </c>
      <c r="P291" s="25">
        <f>0+'táj.2.'!P291</f>
        <v>0</v>
      </c>
      <c r="Q291" s="25">
        <f t="shared" si="17"/>
        <v>18000</v>
      </c>
    </row>
    <row r="292" spans="1:17" ht="13.5" customHeight="1">
      <c r="A292" s="23"/>
      <c r="B292" s="23"/>
      <c r="C292" s="387"/>
      <c r="D292" s="24" t="s">
        <v>1073</v>
      </c>
      <c r="E292" s="185">
        <v>1</v>
      </c>
      <c r="F292" s="658">
        <v>151607</v>
      </c>
      <c r="G292" s="25">
        <f>0+'táj.2.'!G292</f>
        <v>0</v>
      </c>
      <c r="H292" s="25">
        <f>0+'táj.2.'!H292</f>
        <v>0</v>
      </c>
      <c r="I292" s="25">
        <f>20392+'táj.2.'!I292</f>
        <v>20843</v>
      </c>
      <c r="J292" s="25">
        <f>0+'táj.2.'!J292</f>
        <v>0</v>
      </c>
      <c r="K292" s="25">
        <f>0+'táj.2.'!K292</f>
        <v>0</v>
      </c>
      <c r="L292" s="25">
        <f>0+'táj.2.'!L292</f>
        <v>0</v>
      </c>
      <c r="M292" s="25">
        <f>0+'táj.2.'!M292</f>
        <v>0</v>
      </c>
      <c r="N292" s="25">
        <f>0+'táj.2.'!N292</f>
        <v>0</v>
      </c>
      <c r="O292" s="25">
        <f>0+'táj.2.'!O292</f>
        <v>0</v>
      </c>
      <c r="P292" s="25">
        <f>0+'táj.2.'!P292</f>
        <v>0</v>
      </c>
      <c r="Q292" s="25">
        <f t="shared" si="17"/>
        <v>20843</v>
      </c>
    </row>
    <row r="293" spans="1:17" ht="21" customHeight="1">
      <c r="A293" s="23"/>
      <c r="B293" s="23"/>
      <c r="C293" s="387"/>
      <c r="D293" s="178" t="s">
        <v>166</v>
      </c>
      <c r="E293" s="185">
        <v>2</v>
      </c>
      <c r="F293" s="650">
        <v>151629</v>
      </c>
      <c r="G293" s="25">
        <f>0+'táj.2.'!G293</f>
        <v>0</v>
      </c>
      <c r="H293" s="25">
        <f>0+'táj.2.'!H293</f>
        <v>0</v>
      </c>
      <c r="I293" s="25">
        <f>0+'táj.2.'!I293</f>
        <v>1500</v>
      </c>
      <c r="J293" s="25">
        <f>0+'táj.2.'!J293</f>
        <v>0</v>
      </c>
      <c r="K293" s="25">
        <f>0+'táj.2.'!K293</f>
        <v>0</v>
      </c>
      <c r="L293" s="25">
        <f>0+'táj.2.'!L293</f>
        <v>0</v>
      </c>
      <c r="M293" s="25">
        <f>0+'táj.2.'!M293</f>
        <v>0</v>
      </c>
      <c r="N293" s="25">
        <f>0+'táj.2.'!N293</f>
        <v>0</v>
      </c>
      <c r="O293" s="25">
        <f>0+'táj.2.'!O293</f>
        <v>0</v>
      </c>
      <c r="P293" s="25">
        <f>0+'táj.2.'!P293</f>
        <v>0</v>
      </c>
      <c r="Q293" s="25">
        <f t="shared" si="17"/>
        <v>1500</v>
      </c>
    </row>
    <row r="294" spans="1:17" ht="19.5" customHeight="1">
      <c r="A294" s="23"/>
      <c r="B294" s="23"/>
      <c r="C294" s="387"/>
      <c r="D294" s="178" t="s">
        <v>167</v>
      </c>
      <c r="E294" s="185">
        <v>2</v>
      </c>
      <c r="F294" s="650">
        <v>151630</v>
      </c>
      <c r="G294" s="25">
        <f>0+'táj.2.'!G294</f>
        <v>0</v>
      </c>
      <c r="H294" s="25">
        <f>0+'táj.2.'!H294</f>
        <v>0</v>
      </c>
      <c r="I294" s="25">
        <f>0+'táj.2.'!I294</f>
        <v>1500</v>
      </c>
      <c r="J294" s="25">
        <f>0+'táj.2.'!J294</f>
        <v>0</v>
      </c>
      <c r="K294" s="25">
        <f>0+'táj.2.'!K294</f>
        <v>0</v>
      </c>
      <c r="L294" s="25">
        <f>0+'táj.2.'!L294</f>
        <v>0</v>
      </c>
      <c r="M294" s="25">
        <f>0+'táj.2.'!M294</f>
        <v>0</v>
      </c>
      <c r="N294" s="25">
        <f>0+'táj.2.'!N294</f>
        <v>0</v>
      </c>
      <c r="O294" s="25">
        <f>0+'táj.2.'!O294</f>
        <v>0</v>
      </c>
      <c r="P294" s="25">
        <f>0+'táj.2.'!P294</f>
        <v>0</v>
      </c>
      <c r="Q294" s="25">
        <f t="shared" si="17"/>
        <v>1500</v>
      </c>
    </row>
    <row r="295" spans="1:17" ht="13.5" customHeight="1">
      <c r="A295" s="23"/>
      <c r="B295" s="23"/>
      <c r="C295" s="387"/>
      <c r="D295" s="24" t="s">
        <v>1228</v>
      </c>
      <c r="E295" s="185">
        <v>2</v>
      </c>
      <c r="F295" s="658">
        <v>151610</v>
      </c>
      <c r="G295" s="25">
        <f>111+'táj.2.'!G295</f>
        <v>420</v>
      </c>
      <c r="H295" s="25">
        <f>0+'táj.2.'!H295</f>
        <v>96</v>
      </c>
      <c r="I295" s="25">
        <f>1359+'táj.2.'!I295</f>
        <v>934</v>
      </c>
      <c r="J295" s="25">
        <f>0+'táj.2.'!J295</f>
        <v>0</v>
      </c>
      <c r="K295" s="25">
        <f>210+'táj.2.'!K295</f>
        <v>230</v>
      </c>
      <c r="L295" s="25">
        <f>120+'táj.2.'!L295</f>
        <v>120</v>
      </c>
      <c r="M295" s="25">
        <f>0+'táj.2.'!M295</f>
        <v>0</v>
      </c>
      <c r="N295" s="25">
        <f>0+'táj.2.'!N295</f>
        <v>0</v>
      </c>
      <c r="O295" s="25">
        <f>0+'táj.2.'!O295</f>
        <v>0</v>
      </c>
      <c r="P295" s="25">
        <f>0+'táj.2.'!P295</f>
        <v>0</v>
      </c>
      <c r="Q295" s="25">
        <f t="shared" si="17"/>
        <v>1800</v>
      </c>
    </row>
    <row r="296" spans="1:17" ht="13.5" customHeight="1">
      <c r="A296" s="23" t="s">
        <v>1366</v>
      </c>
      <c r="B296" s="23"/>
      <c r="C296" s="387"/>
      <c r="D296" s="24" t="s">
        <v>1229</v>
      </c>
      <c r="E296" s="78">
        <v>2</v>
      </c>
      <c r="F296" s="658">
        <v>151619</v>
      </c>
      <c r="G296" s="25">
        <f>0+'táj.2.'!G296</f>
        <v>0</v>
      </c>
      <c r="H296" s="25">
        <f>0+'táj.2.'!H296</f>
        <v>0</v>
      </c>
      <c r="I296" s="25">
        <f>15000+'táj.2.'!I296</f>
        <v>14586</v>
      </c>
      <c r="J296" s="25">
        <f>0+'táj.2.'!J296</f>
        <v>0</v>
      </c>
      <c r="K296" s="25">
        <f>0+'táj.2.'!K296</f>
        <v>0</v>
      </c>
      <c r="L296" s="25">
        <f>0+'táj.2.'!L296</f>
        <v>0</v>
      </c>
      <c r="M296" s="25">
        <f>0+'táj.2.'!M296</f>
        <v>0</v>
      </c>
      <c r="N296" s="25">
        <f>0+'táj.2.'!N296</f>
        <v>0</v>
      </c>
      <c r="O296" s="25">
        <f>0+'táj.2.'!O296</f>
        <v>0</v>
      </c>
      <c r="P296" s="25">
        <f>0+'táj.2.'!P296</f>
        <v>0</v>
      </c>
      <c r="Q296" s="25">
        <f t="shared" si="17"/>
        <v>14586</v>
      </c>
    </row>
    <row r="297" spans="1:17" ht="13.5" customHeight="1">
      <c r="A297" s="23"/>
      <c r="B297" s="23"/>
      <c r="C297" s="387"/>
      <c r="D297" s="118" t="s">
        <v>247</v>
      </c>
      <c r="E297" s="528">
        <v>2</v>
      </c>
      <c r="F297" s="658">
        <v>151626</v>
      </c>
      <c r="G297" s="25">
        <f>0+'táj.2.'!G297</f>
        <v>0</v>
      </c>
      <c r="H297" s="25">
        <f>0+'táj.2.'!H297</f>
        <v>0</v>
      </c>
      <c r="I297" s="25">
        <f>800+'táj.2.'!I297</f>
        <v>800</v>
      </c>
      <c r="J297" s="25">
        <f>0+'táj.2.'!J297</f>
        <v>0</v>
      </c>
      <c r="K297" s="25">
        <f>0+'táj.2.'!K297</f>
        <v>0</v>
      </c>
      <c r="L297" s="25">
        <f>0+'táj.2.'!L297</f>
        <v>0</v>
      </c>
      <c r="M297" s="25">
        <f>0+'táj.2.'!M297</f>
        <v>0</v>
      </c>
      <c r="N297" s="25">
        <f>0+'táj.2.'!N297</f>
        <v>0</v>
      </c>
      <c r="O297" s="25">
        <f>0+'táj.2.'!O297</f>
        <v>0</v>
      </c>
      <c r="P297" s="25">
        <f>0+'táj.2.'!P297</f>
        <v>0</v>
      </c>
      <c r="Q297" s="25">
        <f t="shared" si="17"/>
        <v>800</v>
      </c>
    </row>
    <row r="298" spans="1:17" ht="24.75" customHeight="1">
      <c r="A298" s="23"/>
      <c r="B298" s="23"/>
      <c r="C298" s="387"/>
      <c r="D298" s="203" t="s">
        <v>1230</v>
      </c>
      <c r="E298" s="530">
        <v>2</v>
      </c>
      <c r="F298" s="661">
        <v>151627</v>
      </c>
      <c r="G298" s="25">
        <f>0+'táj.2.'!G298</f>
        <v>0</v>
      </c>
      <c r="H298" s="25">
        <f>0+'táj.2.'!H298</f>
        <v>0</v>
      </c>
      <c r="I298" s="25">
        <f>1500+'táj.2.'!I298</f>
        <v>1500</v>
      </c>
      <c r="J298" s="25">
        <f>0+'táj.2.'!J298</f>
        <v>0</v>
      </c>
      <c r="K298" s="25">
        <f>0+'táj.2.'!K298</f>
        <v>0</v>
      </c>
      <c r="L298" s="25">
        <f>0+'táj.2.'!L298</f>
        <v>0</v>
      </c>
      <c r="M298" s="25">
        <f>0+'táj.2.'!M298</f>
        <v>0</v>
      </c>
      <c r="N298" s="25">
        <f>0+'táj.2.'!N298</f>
        <v>0</v>
      </c>
      <c r="O298" s="25">
        <f>0+'táj.2.'!O298</f>
        <v>0</v>
      </c>
      <c r="P298" s="25">
        <f>0+'táj.2.'!P298</f>
        <v>0</v>
      </c>
      <c r="Q298" s="25">
        <f t="shared" si="17"/>
        <v>1500</v>
      </c>
    </row>
    <row r="299" spans="1:17" ht="13.5" customHeight="1">
      <c r="A299" s="23"/>
      <c r="B299" s="23"/>
      <c r="C299" s="387"/>
      <c r="D299" s="24" t="s">
        <v>248</v>
      </c>
      <c r="E299" s="185">
        <v>1</v>
      </c>
      <c r="F299" s="658">
        <v>151603</v>
      </c>
      <c r="G299" s="25">
        <f>0+'táj.2.'!G299</f>
        <v>0</v>
      </c>
      <c r="H299" s="25">
        <f>0+'táj.2.'!H299</f>
        <v>0</v>
      </c>
      <c r="I299" s="25">
        <f>52482+'táj.2.'!I299</f>
        <v>52482</v>
      </c>
      <c r="J299" s="25">
        <f>0+'táj.2.'!J299</f>
        <v>0</v>
      </c>
      <c r="K299" s="25">
        <f>0+'táj.2.'!K299</f>
        <v>0</v>
      </c>
      <c r="L299" s="25">
        <f>0+'táj.2.'!L299</f>
        <v>0</v>
      </c>
      <c r="M299" s="25">
        <f>0+'táj.2.'!M299</f>
        <v>0</v>
      </c>
      <c r="N299" s="25">
        <f>0+'táj.2.'!N299</f>
        <v>0</v>
      </c>
      <c r="O299" s="25">
        <f>0+'táj.2.'!O299</f>
        <v>0</v>
      </c>
      <c r="P299" s="25">
        <f>0+'táj.2.'!P299</f>
        <v>0</v>
      </c>
      <c r="Q299" s="25">
        <f t="shared" si="17"/>
        <v>52482</v>
      </c>
    </row>
    <row r="300" spans="1:17" ht="13.5" customHeight="1">
      <c r="A300" s="23"/>
      <c r="B300" s="23"/>
      <c r="C300" s="387"/>
      <c r="D300" s="24" t="s">
        <v>249</v>
      </c>
      <c r="E300" s="185">
        <v>1</v>
      </c>
      <c r="F300" s="658">
        <v>151605</v>
      </c>
      <c r="G300" s="25">
        <f>0+'táj.2.'!G300</f>
        <v>0</v>
      </c>
      <c r="H300" s="25">
        <f>0+'táj.2.'!H300</f>
        <v>0</v>
      </c>
      <c r="I300" s="25">
        <f>97246+'táj.2.'!I300</f>
        <v>97246</v>
      </c>
      <c r="J300" s="25">
        <f>0+'táj.2.'!J300</f>
        <v>0</v>
      </c>
      <c r="K300" s="25">
        <f>0+'táj.2.'!K300</f>
        <v>0</v>
      </c>
      <c r="L300" s="25">
        <f>0+'táj.2.'!L300</f>
        <v>0</v>
      </c>
      <c r="M300" s="25">
        <f>0+'táj.2.'!M300</f>
        <v>0</v>
      </c>
      <c r="N300" s="25">
        <f>0+'táj.2.'!N300</f>
        <v>0</v>
      </c>
      <c r="O300" s="25">
        <f>0+'táj.2.'!O300</f>
        <v>0</v>
      </c>
      <c r="P300" s="25">
        <f>0+'táj.2.'!P300</f>
        <v>0</v>
      </c>
      <c r="Q300" s="25">
        <f t="shared" si="17"/>
        <v>97246</v>
      </c>
    </row>
    <row r="301" spans="1:17" ht="13.5" customHeight="1">
      <c r="A301" s="23"/>
      <c r="B301" s="23"/>
      <c r="C301" s="387"/>
      <c r="D301" s="24" t="s">
        <v>250</v>
      </c>
      <c r="E301" s="185">
        <v>1</v>
      </c>
      <c r="F301" s="658">
        <v>151608</v>
      </c>
      <c r="G301" s="25">
        <f>0+'táj.2.'!G301</f>
        <v>0</v>
      </c>
      <c r="H301" s="25">
        <f>0+'táj.2.'!H301</f>
        <v>0</v>
      </c>
      <c r="I301" s="25">
        <f>67589+'táj.2.'!I301</f>
        <v>67589</v>
      </c>
      <c r="J301" s="25">
        <f>0+'táj.2.'!J301</f>
        <v>0</v>
      </c>
      <c r="K301" s="25">
        <f>0+'táj.2.'!K301</f>
        <v>0</v>
      </c>
      <c r="L301" s="25">
        <f>0+'táj.2.'!L301</f>
        <v>0</v>
      </c>
      <c r="M301" s="25">
        <f>0+'táj.2.'!M301</f>
        <v>0</v>
      </c>
      <c r="N301" s="25">
        <f>0+'táj.2.'!N301</f>
        <v>0</v>
      </c>
      <c r="O301" s="25">
        <f>0+'táj.2.'!O301</f>
        <v>0</v>
      </c>
      <c r="P301" s="25">
        <f>0+'táj.2.'!P301</f>
        <v>0</v>
      </c>
      <c r="Q301" s="25">
        <f t="shared" si="17"/>
        <v>67589</v>
      </c>
    </row>
    <row r="302" spans="1:17" ht="13.5" customHeight="1">
      <c r="A302" s="23"/>
      <c r="B302" s="23"/>
      <c r="C302" s="387"/>
      <c r="D302" s="24" t="s">
        <v>1231</v>
      </c>
      <c r="E302" s="185">
        <v>2</v>
      </c>
      <c r="F302" s="658">
        <v>151624</v>
      </c>
      <c r="G302" s="25">
        <f>0+'táj.2.'!G302</f>
        <v>0</v>
      </c>
      <c r="H302" s="25">
        <f>0+'táj.2.'!H302</f>
        <v>0</v>
      </c>
      <c r="I302" s="25">
        <f>0+'táj.2.'!I302</f>
        <v>0</v>
      </c>
      <c r="J302" s="25">
        <f>0+'táj.2.'!J302</f>
        <v>0</v>
      </c>
      <c r="K302" s="25">
        <f>1800+'táj.2.'!K302</f>
        <v>1800</v>
      </c>
      <c r="L302" s="25">
        <f>275+'táj.2.'!L302</f>
        <v>275</v>
      </c>
      <c r="M302" s="25">
        <f>0+'táj.2.'!M302</f>
        <v>0</v>
      </c>
      <c r="N302" s="25">
        <f>0+'táj.2.'!N302</f>
        <v>0</v>
      </c>
      <c r="O302" s="25">
        <f>0+'táj.2.'!O302</f>
        <v>0</v>
      </c>
      <c r="P302" s="25">
        <f>0+'táj.2.'!P302</f>
        <v>0</v>
      </c>
      <c r="Q302" s="25">
        <f t="shared" si="17"/>
        <v>2075</v>
      </c>
    </row>
    <row r="303" spans="1:17" ht="13.5" customHeight="1">
      <c r="A303" s="23"/>
      <c r="B303" s="23"/>
      <c r="C303" s="387"/>
      <c r="D303" s="24" t="s">
        <v>251</v>
      </c>
      <c r="E303" s="185">
        <v>2</v>
      </c>
      <c r="F303" s="658">
        <v>151621</v>
      </c>
      <c r="G303" s="25">
        <f>0+'táj.2.'!G303</f>
        <v>0</v>
      </c>
      <c r="H303" s="25">
        <f>0+'táj.2.'!H303</f>
        <v>0</v>
      </c>
      <c r="I303" s="25">
        <f>1000+'táj.2.'!I303</f>
        <v>1000</v>
      </c>
      <c r="J303" s="25">
        <f>0+'táj.2.'!J303</f>
        <v>0</v>
      </c>
      <c r="K303" s="25">
        <f>0+'táj.2.'!K303</f>
        <v>0</v>
      </c>
      <c r="L303" s="25">
        <f>0+'táj.2.'!L303</f>
        <v>0</v>
      </c>
      <c r="M303" s="25">
        <f>0+'táj.2.'!M303</f>
        <v>0</v>
      </c>
      <c r="N303" s="25">
        <f>0+'táj.2.'!N303</f>
        <v>0</v>
      </c>
      <c r="O303" s="25">
        <f>0+'táj.2.'!O303</f>
        <v>0</v>
      </c>
      <c r="P303" s="25">
        <f>0+'táj.2.'!P303</f>
        <v>0</v>
      </c>
      <c r="Q303" s="25">
        <f t="shared" si="17"/>
        <v>1000</v>
      </c>
    </row>
    <row r="304" spans="1:17" ht="13.5" customHeight="1">
      <c r="A304" s="23"/>
      <c r="B304" s="23"/>
      <c r="C304" s="387"/>
      <c r="D304" s="24" t="s">
        <v>589</v>
      </c>
      <c r="E304" s="185">
        <v>2</v>
      </c>
      <c r="F304" s="650">
        <v>151618</v>
      </c>
      <c r="G304" s="25"/>
      <c r="H304" s="25"/>
      <c r="I304" s="25">
        <f>650+'táj.2.'!I304</f>
        <v>650</v>
      </c>
      <c r="J304" s="25"/>
      <c r="K304" s="25">
        <f>0+'táj.2.'!K304</f>
        <v>0</v>
      </c>
      <c r="L304" s="25"/>
      <c r="M304" s="25"/>
      <c r="N304" s="25"/>
      <c r="O304" s="25"/>
      <c r="P304" s="25"/>
      <c r="Q304" s="25">
        <f t="shared" si="17"/>
        <v>650</v>
      </c>
    </row>
    <row r="305" spans="1:17" ht="21" customHeight="1">
      <c r="A305" s="23"/>
      <c r="B305" s="23"/>
      <c r="C305" s="387"/>
      <c r="D305" s="732" t="s">
        <v>377</v>
      </c>
      <c r="E305" s="185"/>
      <c r="F305" s="650">
        <v>151706</v>
      </c>
      <c r="G305" s="25"/>
      <c r="H305" s="25"/>
      <c r="I305" s="25"/>
      <c r="J305" s="25"/>
      <c r="K305" s="25">
        <f>1000+'táj.2.'!K305</f>
        <v>1000</v>
      </c>
      <c r="L305" s="25"/>
      <c r="M305" s="25"/>
      <c r="N305" s="25"/>
      <c r="O305" s="25"/>
      <c r="P305" s="25"/>
      <c r="Q305" s="25">
        <f t="shared" si="17"/>
        <v>1000</v>
      </c>
    </row>
    <row r="306" spans="1:17" ht="12.75" customHeight="1">
      <c r="A306" s="23"/>
      <c r="B306" s="23"/>
      <c r="C306" s="387"/>
      <c r="D306" s="389" t="s">
        <v>252</v>
      </c>
      <c r="E306" s="185"/>
      <c r="F306" s="658"/>
      <c r="G306" s="25"/>
      <c r="H306" s="388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ht="12.75" customHeight="1">
      <c r="A307" s="23"/>
      <c r="B307" s="23"/>
      <c r="C307" s="387"/>
      <c r="D307" s="24" t="s">
        <v>253</v>
      </c>
      <c r="E307" s="185">
        <v>1</v>
      </c>
      <c r="F307" s="658">
        <v>151505</v>
      </c>
      <c r="G307" s="25">
        <f>0+'táj.2.'!G307</f>
        <v>0</v>
      </c>
      <c r="H307" s="25">
        <f>0+'táj.2.'!H307</f>
        <v>0</v>
      </c>
      <c r="I307" s="25">
        <f>8000+'táj.2.'!I307</f>
        <v>8000</v>
      </c>
      <c r="J307" s="25">
        <f>0+'táj.2.'!J307</f>
        <v>0</v>
      </c>
      <c r="K307" s="25">
        <f>0+'táj.2.'!K307</f>
        <v>0</v>
      </c>
      <c r="L307" s="25">
        <f>0+'táj.2.'!L307</f>
        <v>0</v>
      </c>
      <c r="M307" s="25">
        <f>0+'táj.2.'!M307</f>
        <v>0</v>
      </c>
      <c r="N307" s="25">
        <f>0+'táj.2.'!N307</f>
        <v>0</v>
      </c>
      <c r="O307" s="25">
        <f>0+'táj.2.'!O307</f>
        <v>0</v>
      </c>
      <c r="P307" s="25">
        <f>0+'táj.2.'!P307</f>
        <v>0</v>
      </c>
      <c r="Q307" s="25">
        <f>SUM(G307:P307)</f>
        <v>8000</v>
      </c>
    </row>
    <row r="308" spans="1:17" ht="12.75" customHeight="1">
      <c r="A308" s="23"/>
      <c r="B308" s="23"/>
      <c r="C308" s="387"/>
      <c r="D308" s="118" t="s">
        <v>1308</v>
      </c>
      <c r="E308" s="78"/>
      <c r="F308" s="658"/>
      <c r="G308" s="25"/>
      <c r="H308" s="388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13.5" customHeight="1">
      <c r="A309" s="23"/>
      <c r="B309" s="23"/>
      <c r="C309" s="23"/>
      <c r="D309" s="24" t="s">
        <v>1309</v>
      </c>
      <c r="E309" s="185">
        <v>2</v>
      </c>
      <c r="F309" s="658">
        <v>151906</v>
      </c>
      <c r="G309" s="25">
        <f>0+'táj.2.'!G309</f>
        <v>0</v>
      </c>
      <c r="H309" s="25">
        <f>0+'táj.2.'!H309</f>
        <v>0</v>
      </c>
      <c r="I309" s="25">
        <f>121920+'táj.2.'!I309</f>
        <v>121920</v>
      </c>
      <c r="J309" s="25">
        <f>0+'táj.2.'!J309</f>
        <v>0</v>
      </c>
      <c r="K309" s="25">
        <f>0+'táj.2.'!K309</f>
        <v>0</v>
      </c>
      <c r="L309" s="25">
        <f>0+'táj.2.'!L309</f>
        <v>0</v>
      </c>
      <c r="M309" s="25">
        <f>0+'táj.2.'!M309</f>
        <v>0</v>
      </c>
      <c r="N309" s="25">
        <f>0+'táj.2.'!N309</f>
        <v>0</v>
      </c>
      <c r="O309" s="25">
        <f>0+'táj.2.'!O309</f>
        <v>0</v>
      </c>
      <c r="P309" s="25">
        <f>0+'táj.2.'!P309</f>
        <v>0</v>
      </c>
      <c r="Q309" s="25">
        <f>SUM(G309:P309)</f>
        <v>121920</v>
      </c>
    </row>
    <row r="310" spans="1:17" ht="13.5" customHeight="1">
      <c r="A310" s="23"/>
      <c r="B310" s="23"/>
      <c r="C310" s="387"/>
      <c r="D310" s="24" t="s">
        <v>254</v>
      </c>
      <c r="E310" s="185">
        <v>2</v>
      </c>
      <c r="F310" s="658">
        <v>151915</v>
      </c>
      <c r="G310" s="25">
        <f>0+'táj.2.'!G310</f>
        <v>0</v>
      </c>
      <c r="H310" s="25">
        <f>0+'táj.2.'!H310</f>
        <v>0</v>
      </c>
      <c r="I310" s="25">
        <f>2668+'táj.2.'!I310</f>
        <v>2668</v>
      </c>
      <c r="J310" s="25">
        <f>0+'táj.2.'!J310</f>
        <v>0</v>
      </c>
      <c r="K310" s="25">
        <f>0+'táj.2.'!K310</f>
        <v>0</v>
      </c>
      <c r="L310" s="25">
        <f>0+'táj.2.'!L310</f>
        <v>0</v>
      </c>
      <c r="M310" s="25">
        <f>0+'táj.2.'!M310</f>
        <v>0</v>
      </c>
      <c r="N310" s="25">
        <f>0+'táj.2.'!N310</f>
        <v>0</v>
      </c>
      <c r="O310" s="25">
        <f>0+'táj.2.'!O310</f>
        <v>0</v>
      </c>
      <c r="P310" s="25">
        <f>0+'táj.2.'!P310</f>
        <v>0</v>
      </c>
      <c r="Q310" s="25">
        <f>SUM(G310:P310)</f>
        <v>2668</v>
      </c>
    </row>
    <row r="311" spans="1:17" ht="13.5" customHeight="1">
      <c r="A311" s="23"/>
      <c r="B311" s="23"/>
      <c r="C311" s="387"/>
      <c r="D311" s="24" t="s">
        <v>1310</v>
      </c>
      <c r="E311" s="185">
        <v>2</v>
      </c>
      <c r="F311" s="658">
        <v>151907</v>
      </c>
      <c r="G311" s="25">
        <f>0+'táj.2.'!G311</f>
        <v>0</v>
      </c>
      <c r="H311" s="25">
        <f>0+'táj.2.'!H311</f>
        <v>0</v>
      </c>
      <c r="I311" s="25">
        <f>204970+'táj.2.'!I311</f>
        <v>194023</v>
      </c>
      <c r="J311" s="25">
        <f>0+'táj.2.'!J311</f>
        <v>0</v>
      </c>
      <c r="K311" s="25">
        <f>0+'táj.2.'!K311</f>
        <v>0</v>
      </c>
      <c r="L311" s="25">
        <f>0+'táj.2.'!L311</f>
        <v>0</v>
      </c>
      <c r="M311" s="25">
        <f>0+'táj.2.'!M311</f>
        <v>0</v>
      </c>
      <c r="N311" s="25">
        <f>0+'táj.2.'!N311</f>
        <v>0</v>
      </c>
      <c r="O311" s="25">
        <f>0+'táj.2.'!O311</f>
        <v>0</v>
      </c>
      <c r="P311" s="25">
        <f>0+'táj.2.'!P311</f>
        <v>0</v>
      </c>
      <c r="Q311" s="25">
        <f>SUM(G311:P311)</f>
        <v>194023</v>
      </c>
    </row>
    <row r="312" spans="1:17" ht="13.5" customHeight="1">
      <c r="A312" s="23"/>
      <c r="B312" s="23"/>
      <c r="C312" s="387"/>
      <c r="D312" s="24" t="s">
        <v>255</v>
      </c>
      <c r="E312" s="185">
        <v>2</v>
      </c>
      <c r="F312" s="658">
        <v>151914</v>
      </c>
      <c r="G312" s="25">
        <f>0+'táj.2.'!G312</f>
        <v>0</v>
      </c>
      <c r="H312" s="25">
        <f>0+'táj.2.'!H312</f>
        <v>0</v>
      </c>
      <c r="I312" s="25">
        <f>673+'táj.2.'!I312</f>
        <v>673</v>
      </c>
      <c r="J312" s="25">
        <f>0+'táj.2.'!J312</f>
        <v>0</v>
      </c>
      <c r="K312" s="25">
        <f>0+'táj.2.'!K312</f>
        <v>0</v>
      </c>
      <c r="L312" s="25">
        <f>1407+'táj.2.'!L312</f>
        <v>1407</v>
      </c>
      <c r="M312" s="25">
        <f>0+'táj.2.'!M312</f>
        <v>0</v>
      </c>
      <c r="N312" s="25">
        <f>0+'táj.2.'!N312</f>
        <v>0</v>
      </c>
      <c r="O312" s="25">
        <f>0+'táj.2.'!O312</f>
        <v>0</v>
      </c>
      <c r="P312" s="25">
        <f>0+'táj.2.'!P312</f>
        <v>0</v>
      </c>
      <c r="Q312" s="25">
        <f>SUM(G312:P312)</f>
        <v>2080</v>
      </c>
    </row>
    <row r="313" spans="1:17" ht="13.5" customHeight="1">
      <c r="A313" s="23"/>
      <c r="B313" s="23"/>
      <c r="C313" s="387"/>
      <c r="D313" s="16" t="s">
        <v>173</v>
      </c>
      <c r="E313" s="751">
        <v>2</v>
      </c>
      <c r="F313" s="688">
        <v>151909</v>
      </c>
      <c r="G313" s="25">
        <f>0+'táj.2.'!G313</f>
        <v>0</v>
      </c>
      <c r="H313" s="25">
        <f>0+'táj.2.'!H313</f>
        <v>0</v>
      </c>
      <c r="I313" s="25">
        <f>0+'táj.2.'!I313</f>
        <v>0</v>
      </c>
      <c r="J313" s="25">
        <f>0+'táj.2.'!J313</f>
        <v>0</v>
      </c>
      <c r="K313" s="25">
        <f>0+'táj.2.'!K313</f>
        <v>2657</v>
      </c>
      <c r="L313" s="25">
        <f>0+'táj.2.'!L313</f>
        <v>0</v>
      </c>
      <c r="M313" s="25">
        <f>0+'táj.2.'!M313</f>
        <v>0</v>
      </c>
      <c r="N313" s="25">
        <f>0+'táj.2.'!N313</f>
        <v>0</v>
      </c>
      <c r="O313" s="25">
        <f>0+'táj.2.'!O313</f>
        <v>0</v>
      </c>
      <c r="P313" s="25">
        <f>0+'táj.2.'!P313</f>
        <v>0</v>
      </c>
      <c r="Q313" s="25">
        <f>SUM(G313:P313)</f>
        <v>2657</v>
      </c>
    </row>
    <row r="314" spans="1:17" ht="13.5" customHeight="1">
      <c r="A314" s="23"/>
      <c r="B314" s="23"/>
      <c r="C314" s="387"/>
      <c r="D314" s="118" t="s">
        <v>342</v>
      </c>
      <c r="E314" s="78"/>
      <c r="F314" s="65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13.5" customHeight="1">
      <c r="A315" s="23"/>
      <c r="B315" s="23"/>
      <c r="C315" s="387"/>
      <c r="D315" s="118" t="s">
        <v>1232</v>
      </c>
      <c r="E315" s="78">
        <v>1</v>
      </c>
      <c r="F315" s="658">
        <v>151801</v>
      </c>
      <c r="G315" s="25">
        <f>0+'táj.2.'!G315</f>
        <v>0</v>
      </c>
      <c r="H315" s="25">
        <f>0+'táj.2.'!H315</f>
        <v>0</v>
      </c>
      <c r="I315" s="25">
        <f>0+'táj.2.'!I315</f>
        <v>1076</v>
      </c>
      <c r="J315" s="25">
        <f>0+'táj.2.'!J315</f>
        <v>0</v>
      </c>
      <c r="K315" s="25">
        <f>17462+'táj.2.'!K315</f>
        <v>22400</v>
      </c>
      <c r="L315" s="25">
        <f>0+'táj.2.'!L315</f>
        <v>0</v>
      </c>
      <c r="M315" s="25">
        <f>0+'táj.2.'!M315</f>
        <v>0</v>
      </c>
      <c r="N315" s="25">
        <f>0+'táj.2.'!N315</f>
        <v>0</v>
      </c>
      <c r="O315" s="25">
        <f>0+'táj.2.'!O315</f>
        <v>0</v>
      </c>
      <c r="P315" s="25">
        <f>0+'táj.2.'!P315</f>
        <v>0</v>
      </c>
      <c r="Q315" s="25">
        <f aca="true" t="shared" si="18" ref="Q315:Q324">SUM(G315:P315)</f>
        <v>23476</v>
      </c>
    </row>
    <row r="316" spans="1:17" ht="13.5" customHeight="1">
      <c r="A316" s="23"/>
      <c r="B316" s="23"/>
      <c r="C316" s="387"/>
      <c r="D316" s="118" t="s">
        <v>256</v>
      </c>
      <c r="E316" s="78">
        <v>1</v>
      </c>
      <c r="F316" s="658">
        <v>151803</v>
      </c>
      <c r="G316" s="25">
        <f>0+'táj.2.'!G316</f>
        <v>0</v>
      </c>
      <c r="H316" s="25">
        <f>0+'táj.2.'!H316</f>
        <v>0</v>
      </c>
      <c r="I316" s="25">
        <f>500+'táj.2.'!I316</f>
        <v>0</v>
      </c>
      <c r="J316" s="25">
        <f>0+'táj.2.'!J316</f>
        <v>0</v>
      </c>
      <c r="K316" s="25">
        <f>0+'táj.2.'!K316</f>
        <v>0</v>
      </c>
      <c r="L316" s="25">
        <f>0+'táj.2.'!L316</f>
        <v>0</v>
      </c>
      <c r="M316" s="25">
        <f>0+'táj.2.'!M316</f>
        <v>0</v>
      </c>
      <c r="N316" s="25">
        <f>0+'táj.2.'!N316</f>
        <v>0</v>
      </c>
      <c r="O316" s="25">
        <f>0+'táj.2.'!O316</f>
        <v>0</v>
      </c>
      <c r="P316" s="25">
        <f>0+'táj.2.'!P316</f>
        <v>0</v>
      </c>
      <c r="Q316" s="25">
        <f t="shared" si="18"/>
        <v>0</v>
      </c>
    </row>
    <row r="317" spans="1:17" ht="13.5" customHeight="1">
      <c r="A317" s="23"/>
      <c r="B317" s="23"/>
      <c r="C317" s="387"/>
      <c r="D317" s="118" t="s">
        <v>1233</v>
      </c>
      <c r="E317" s="78">
        <v>1</v>
      </c>
      <c r="F317" s="658">
        <v>151802</v>
      </c>
      <c r="G317" s="25">
        <f>0+'táj.2.'!G317</f>
        <v>0</v>
      </c>
      <c r="H317" s="25">
        <f>0+'táj.2.'!H317</f>
        <v>0</v>
      </c>
      <c r="I317" s="25">
        <f>1000+'táj.2.'!I317</f>
        <v>1000</v>
      </c>
      <c r="J317" s="25">
        <f>0+'táj.2.'!J317</f>
        <v>0</v>
      </c>
      <c r="K317" s="25">
        <f>0+'táj.2.'!K317</f>
        <v>0</v>
      </c>
      <c r="L317" s="25">
        <f>0+'táj.2.'!L317</f>
        <v>0</v>
      </c>
      <c r="M317" s="25">
        <f>0+'táj.2.'!M317</f>
        <v>0</v>
      </c>
      <c r="N317" s="25">
        <f>0+'táj.2.'!N317</f>
        <v>0</v>
      </c>
      <c r="O317" s="25">
        <f>0+'táj.2.'!O317</f>
        <v>0</v>
      </c>
      <c r="P317" s="25">
        <f>0+'táj.2.'!P317</f>
        <v>0</v>
      </c>
      <c r="Q317" s="25">
        <f t="shared" si="18"/>
        <v>1000</v>
      </c>
    </row>
    <row r="318" spans="1:17" ht="13.5" customHeight="1">
      <c r="A318" s="23"/>
      <c r="B318" s="23"/>
      <c r="C318" s="387"/>
      <c r="D318" s="118" t="s">
        <v>1074</v>
      </c>
      <c r="E318" s="78"/>
      <c r="F318" s="658"/>
      <c r="G318" s="25"/>
      <c r="H318" s="388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13.5" customHeight="1">
      <c r="A319" s="23"/>
      <c r="B319" s="23"/>
      <c r="C319" s="387"/>
      <c r="D319" s="118" t="s">
        <v>257</v>
      </c>
      <c r="E319" s="185">
        <v>1</v>
      </c>
      <c r="F319" s="658">
        <v>151201</v>
      </c>
      <c r="G319" s="25">
        <f>0+'táj.2.'!G319</f>
        <v>0</v>
      </c>
      <c r="H319" s="25">
        <f>0+'táj.2.'!H319</f>
        <v>0</v>
      </c>
      <c r="I319" s="25">
        <f>177275+'táj.2.'!I319</f>
        <v>177275</v>
      </c>
      <c r="J319" s="25">
        <f>0+'táj.2.'!J319</f>
        <v>0</v>
      </c>
      <c r="K319" s="25">
        <f>0+'táj.2.'!K319</f>
        <v>0</v>
      </c>
      <c r="L319" s="25">
        <f>0+'táj.2.'!L319</f>
        <v>0</v>
      </c>
      <c r="M319" s="25">
        <f>0+'táj.2.'!M319</f>
        <v>0</v>
      </c>
      <c r="N319" s="25">
        <f>0+'táj.2.'!N319</f>
        <v>0</v>
      </c>
      <c r="O319" s="25">
        <f>0+'táj.2.'!O319</f>
        <v>0</v>
      </c>
      <c r="P319" s="25">
        <f>0+'táj.2.'!P319</f>
        <v>0</v>
      </c>
      <c r="Q319" s="25">
        <f t="shared" si="18"/>
        <v>177275</v>
      </c>
    </row>
    <row r="320" spans="1:17" ht="13.5" customHeight="1">
      <c r="A320" s="23"/>
      <c r="B320" s="23"/>
      <c r="C320" s="387"/>
      <c r="D320" s="118" t="s">
        <v>258</v>
      </c>
      <c r="E320" s="185">
        <v>2</v>
      </c>
      <c r="F320" s="658">
        <v>151203</v>
      </c>
      <c r="G320" s="25">
        <f>0+'táj.2.'!G320</f>
        <v>0</v>
      </c>
      <c r="H320" s="25">
        <f>0+'táj.2.'!H320</f>
        <v>0</v>
      </c>
      <c r="I320" s="25">
        <f>7356+'táj.2.'!I320</f>
        <v>6962</v>
      </c>
      <c r="J320" s="25">
        <f>0+'táj.2.'!J320</f>
        <v>0</v>
      </c>
      <c r="K320" s="25">
        <f>0+'táj.2.'!K320</f>
        <v>0</v>
      </c>
      <c r="L320" s="25">
        <f>0+'táj.2.'!L320</f>
        <v>394</v>
      </c>
      <c r="M320" s="25">
        <f>0+'táj.2.'!M320</f>
        <v>0</v>
      </c>
      <c r="N320" s="25">
        <f>0+'táj.2.'!N320</f>
        <v>0</v>
      </c>
      <c r="O320" s="25">
        <f>0+'táj.2.'!O320</f>
        <v>0</v>
      </c>
      <c r="P320" s="25">
        <f>0+'táj.2.'!P320</f>
        <v>0</v>
      </c>
      <c r="Q320" s="25">
        <f t="shared" si="18"/>
        <v>7356</v>
      </c>
    </row>
    <row r="321" spans="1:17" ht="13.5" customHeight="1">
      <c r="A321" s="23"/>
      <c r="B321" s="23"/>
      <c r="C321" s="387"/>
      <c r="D321" s="118" t="s">
        <v>1234</v>
      </c>
      <c r="E321" s="78">
        <v>1</v>
      </c>
      <c r="F321" s="658">
        <v>151204</v>
      </c>
      <c r="G321" s="25">
        <f>0+'táj.2.'!G321</f>
        <v>0</v>
      </c>
      <c r="H321" s="25">
        <f>0+'táj.2.'!H321</f>
        <v>0</v>
      </c>
      <c r="I321" s="25">
        <f>1207+'táj.2.'!I321</f>
        <v>1207</v>
      </c>
      <c r="J321" s="25">
        <f>0+'táj.2.'!J321</f>
        <v>0</v>
      </c>
      <c r="K321" s="25">
        <f>0+'táj.2.'!K321</f>
        <v>0</v>
      </c>
      <c r="L321" s="25">
        <f>0+'táj.2.'!L321</f>
        <v>0</v>
      </c>
      <c r="M321" s="25">
        <f>0+'táj.2.'!M321</f>
        <v>0</v>
      </c>
      <c r="N321" s="25">
        <f>0+'táj.2.'!N321</f>
        <v>0</v>
      </c>
      <c r="O321" s="25">
        <f>0+'táj.2.'!O321</f>
        <v>0</v>
      </c>
      <c r="P321" s="25">
        <f>0+'táj.2.'!P321</f>
        <v>0</v>
      </c>
      <c r="Q321" s="25">
        <f t="shared" si="18"/>
        <v>1207</v>
      </c>
    </row>
    <row r="322" spans="1:17" ht="13.5" customHeight="1">
      <c r="A322" s="23"/>
      <c r="B322" s="23"/>
      <c r="C322" s="387"/>
      <c r="D322" s="118" t="s">
        <v>259</v>
      </c>
      <c r="E322" s="78">
        <v>1</v>
      </c>
      <c r="F322" s="658">
        <v>151202</v>
      </c>
      <c r="G322" s="25">
        <f>0+'táj.2.'!G322</f>
        <v>0</v>
      </c>
      <c r="H322" s="25">
        <f>0+'táj.2.'!H322</f>
        <v>0</v>
      </c>
      <c r="I322" s="25">
        <f>29455+'táj.2.'!I322</f>
        <v>29455</v>
      </c>
      <c r="J322" s="25">
        <f>0+'táj.2.'!J322</f>
        <v>0</v>
      </c>
      <c r="K322" s="25">
        <f>0+'táj.2.'!K322</f>
        <v>0</v>
      </c>
      <c r="L322" s="25">
        <f>0+'táj.2.'!L322</f>
        <v>0</v>
      </c>
      <c r="M322" s="25">
        <f>0+'táj.2.'!M322</f>
        <v>0</v>
      </c>
      <c r="N322" s="25">
        <f>0+'táj.2.'!N322</f>
        <v>0</v>
      </c>
      <c r="O322" s="25">
        <f>0+'táj.2.'!O322</f>
        <v>0</v>
      </c>
      <c r="P322" s="25">
        <f>0+'táj.2.'!P322</f>
        <v>0</v>
      </c>
      <c r="Q322" s="25">
        <f t="shared" si="18"/>
        <v>29455</v>
      </c>
    </row>
    <row r="323" spans="1:17" ht="13.5" customHeight="1">
      <c r="A323" s="23"/>
      <c r="B323" s="23"/>
      <c r="C323" s="387"/>
      <c r="D323" s="118" t="s">
        <v>1235</v>
      </c>
      <c r="E323" s="78">
        <v>1</v>
      </c>
      <c r="F323" s="658">
        <v>151205</v>
      </c>
      <c r="G323" s="25">
        <f>0+'táj.2.'!G323</f>
        <v>0</v>
      </c>
      <c r="H323" s="25">
        <f>0+'táj.2.'!H323</f>
        <v>0</v>
      </c>
      <c r="I323" s="25">
        <f>1000+'táj.2.'!I323</f>
        <v>1000</v>
      </c>
      <c r="J323" s="25">
        <f>0+'táj.2.'!J323</f>
        <v>0</v>
      </c>
      <c r="K323" s="25">
        <f>0+'táj.2.'!K323</f>
        <v>0</v>
      </c>
      <c r="L323" s="25">
        <f>0+'táj.2.'!L323</f>
        <v>0</v>
      </c>
      <c r="M323" s="25">
        <f>0+'táj.2.'!M323</f>
        <v>0</v>
      </c>
      <c r="N323" s="25">
        <f>0+'táj.2.'!N323</f>
        <v>0</v>
      </c>
      <c r="O323" s="25">
        <f>0+'táj.2.'!O323</f>
        <v>0</v>
      </c>
      <c r="P323" s="25">
        <f>0+'táj.2.'!P323</f>
        <v>0</v>
      </c>
      <c r="Q323" s="25">
        <f t="shared" si="18"/>
        <v>1000</v>
      </c>
    </row>
    <row r="324" spans="1:17" ht="13.5" customHeight="1">
      <c r="A324" s="23"/>
      <c r="B324" s="23"/>
      <c r="C324" s="387"/>
      <c r="D324" s="118" t="s">
        <v>369</v>
      </c>
      <c r="E324" s="78">
        <v>1</v>
      </c>
      <c r="F324" s="658">
        <v>151902</v>
      </c>
      <c r="G324" s="25">
        <f>1500+'táj.2.'!G324</f>
        <v>1500</v>
      </c>
      <c r="H324" s="25">
        <f>400+'táj.2.'!H324</f>
        <v>400</v>
      </c>
      <c r="I324" s="25">
        <f>4075+'táj.2.'!I324</f>
        <v>4575</v>
      </c>
      <c r="J324" s="25">
        <f>0+'táj.2.'!J324</f>
        <v>0</v>
      </c>
      <c r="K324" s="25">
        <f>2700+'táj.2.'!K324</f>
        <v>2700</v>
      </c>
      <c r="L324" s="25">
        <f>125+'táj.2.'!L324</f>
        <v>125</v>
      </c>
      <c r="M324" s="25">
        <f>0+'táj.2.'!M324</f>
        <v>0</v>
      </c>
      <c r="N324" s="25">
        <f>0+'táj.2.'!N324</f>
        <v>0</v>
      </c>
      <c r="O324" s="25">
        <f>0+'táj.2.'!O324</f>
        <v>0</v>
      </c>
      <c r="P324" s="25">
        <f>0+'táj.2.'!P324</f>
        <v>0</v>
      </c>
      <c r="Q324" s="25">
        <f t="shared" si="18"/>
        <v>9300</v>
      </c>
    </row>
    <row r="325" spans="1:17" ht="15" customHeight="1">
      <c r="A325" s="23"/>
      <c r="B325" s="23"/>
      <c r="C325" s="387"/>
      <c r="D325" s="178" t="s">
        <v>1315</v>
      </c>
      <c r="E325" s="531"/>
      <c r="F325" s="662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ht="24.75" customHeight="1">
      <c r="A326" s="23"/>
      <c r="B326" s="23"/>
      <c r="C326" s="387"/>
      <c r="D326" s="178" t="s">
        <v>260</v>
      </c>
      <c r="E326" s="532">
        <v>2</v>
      </c>
      <c r="F326" s="662">
        <v>151910</v>
      </c>
      <c r="G326" s="25">
        <f>0+'táj.2.'!G326</f>
        <v>0</v>
      </c>
      <c r="H326" s="25">
        <f>0+'táj.2.'!H326</f>
        <v>0</v>
      </c>
      <c r="I326" s="25">
        <f>116332+'táj.2.'!I326</f>
        <v>123952</v>
      </c>
      <c r="J326" s="25">
        <f>0+'táj.2.'!J326</f>
        <v>0</v>
      </c>
      <c r="K326" s="25">
        <f>0+'táj.2.'!K326</f>
        <v>0</v>
      </c>
      <c r="L326" s="25">
        <f>0+'táj.2.'!L326</f>
        <v>0</v>
      </c>
      <c r="M326" s="25">
        <f>0+'táj.2.'!M326</f>
        <v>0</v>
      </c>
      <c r="N326" s="25">
        <f>0+'táj.2.'!N326</f>
        <v>0</v>
      </c>
      <c r="O326" s="25">
        <f>0+'táj.2.'!O326</f>
        <v>0</v>
      </c>
      <c r="P326" s="25">
        <f>0+'táj.2.'!P326</f>
        <v>0</v>
      </c>
      <c r="Q326" s="25">
        <f>SUM(G326:P326)</f>
        <v>123952</v>
      </c>
    </row>
    <row r="327" spans="1:17" ht="15" customHeight="1">
      <c r="A327" s="23"/>
      <c r="B327" s="23"/>
      <c r="C327" s="387"/>
      <c r="D327" s="178" t="s">
        <v>1358</v>
      </c>
      <c r="E327" s="532"/>
      <c r="F327" s="662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ht="24.75" customHeight="1">
      <c r="A328" s="23"/>
      <c r="B328" s="23"/>
      <c r="C328" s="387"/>
      <c r="D328" s="178" t="s">
        <v>261</v>
      </c>
      <c r="E328" s="532">
        <v>1</v>
      </c>
      <c r="F328" s="662">
        <v>152915</v>
      </c>
      <c r="G328" s="25">
        <f>0+'táj.2.'!G328</f>
        <v>0</v>
      </c>
      <c r="H328" s="25">
        <f>0+'táj.2.'!H328</f>
        <v>0</v>
      </c>
      <c r="I328" s="25">
        <f>6200+'táj.2.'!I328</f>
        <v>6455</v>
      </c>
      <c r="J328" s="25">
        <f>0+'táj.2.'!J328</f>
        <v>0</v>
      </c>
      <c r="K328" s="25">
        <f>0+'táj.2.'!K328</f>
        <v>0</v>
      </c>
      <c r="L328" s="25">
        <f>0+'táj.2.'!L328</f>
        <v>0</v>
      </c>
      <c r="M328" s="25">
        <f>0+'táj.2.'!M328</f>
        <v>0</v>
      </c>
      <c r="N328" s="25">
        <f>0+'táj.2.'!N328</f>
        <v>0</v>
      </c>
      <c r="O328" s="25">
        <f>0+'táj.2.'!O328</f>
        <v>0</v>
      </c>
      <c r="P328" s="25">
        <f>0+'táj.2.'!P328</f>
        <v>0</v>
      </c>
      <c r="Q328" s="25">
        <f>SUM(G328:P328)</f>
        <v>6455</v>
      </c>
    </row>
    <row r="329" spans="1:17" ht="13.5" customHeight="1">
      <c r="A329" s="23"/>
      <c r="B329" s="23"/>
      <c r="C329" s="387"/>
      <c r="D329" s="118" t="s">
        <v>262</v>
      </c>
      <c r="E329" s="78"/>
      <c r="F329" s="658"/>
      <c r="G329" s="25"/>
      <c r="H329" s="388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ht="13.5" customHeight="1">
      <c r="A330" s="23"/>
      <c r="B330" s="23"/>
      <c r="C330" s="387"/>
      <c r="D330" s="118" t="s">
        <v>263</v>
      </c>
      <c r="E330" s="185">
        <v>1</v>
      </c>
      <c r="F330" s="658">
        <v>151704</v>
      </c>
      <c r="G330" s="25">
        <f>0+'táj.2.'!G330</f>
        <v>0</v>
      </c>
      <c r="H330" s="25">
        <f>0+'táj.2.'!H330</f>
        <v>0</v>
      </c>
      <c r="I330" s="25">
        <f>0+'táj.2.'!I330</f>
        <v>0</v>
      </c>
      <c r="J330" s="25">
        <f>0+'táj.2.'!J330</f>
        <v>0</v>
      </c>
      <c r="K330" s="25">
        <f>250+'táj.2.'!K330</f>
        <v>250</v>
      </c>
      <c r="L330" s="25">
        <f>0+'táj.2.'!L330</f>
        <v>0</v>
      </c>
      <c r="M330" s="25">
        <f>0+'táj.2.'!M330</f>
        <v>0</v>
      </c>
      <c r="N330" s="25">
        <f>0+'táj.2.'!N330</f>
        <v>0</v>
      </c>
      <c r="O330" s="25">
        <f>0+'táj.2.'!O330</f>
        <v>0</v>
      </c>
      <c r="P330" s="25">
        <f>0+'táj.2.'!P330</f>
        <v>0</v>
      </c>
      <c r="Q330" s="25">
        <f>SUM(G330:P330)</f>
        <v>250</v>
      </c>
    </row>
    <row r="331" spans="1:17" ht="13.5" customHeight="1">
      <c r="A331" s="23"/>
      <c r="B331" s="23"/>
      <c r="C331" s="387"/>
      <c r="D331" s="118" t="s">
        <v>359</v>
      </c>
      <c r="E331" s="185"/>
      <c r="F331" s="658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ht="13.5" customHeight="1">
      <c r="A332" s="23"/>
      <c r="B332" s="23"/>
      <c r="C332" s="387"/>
      <c r="D332" s="16" t="s">
        <v>181</v>
      </c>
      <c r="E332" s="185"/>
      <c r="F332" s="658">
        <v>151804</v>
      </c>
      <c r="G332" s="25">
        <f>0+'táj.2.'!G332</f>
        <v>0</v>
      </c>
      <c r="H332" s="25">
        <f>0+'táj.2.'!H332</f>
        <v>0</v>
      </c>
      <c r="I332" s="25">
        <f>0+'táj.2.'!I332</f>
        <v>1314</v>
      </c>
      <c r="J332" s="25">
        <f>0+'táj.2.'!J332</f>
        <v>0</v>
      </c>
      <c r="K332" s="25">
        <f>0+'táj.2.'!K332</f>
        <v>0</v>
      </c>
      <c r="L332" s="25">
        <f>0+'táj.2.'!L332</f>
        <v>0</v>
      </c>
      <c r="M332" s="25">
        <f>0+'táj.2.'!M332</f>
        <v>0</v>
      </c>
      <c r="N332" s="25">
        <f>0+'táj.2.'!N332</f>
        <v>0</v>
      </c>
      <c r="O332" s="25">
        <f>0+'táj.2.'!O332</f>
        <v>0</v>
      </c>
      <c r="P332" s="25">
        <f>0+'táj.2.'!P332</f>
        <v>0</v>
      </c>
      <c r="Q332" s="25">
        <f>SUM(G332:P332)</f>
        <v>1314</v>
      </c>
    </row>
    <row r="333" spans="1:17" ht="13.5" customHeight="1">
      <c r="A333" s="23"/>
      <c r="B333" s="23"/>
      <c r="C333" s="387"/>
      <c r="D333" s="16" t="s">
        <v>36</v>
      </c>
      <c r="E333" s="185">
        <v>2</v>
      </c>
      <c r="F333" s="658">
        <v>151606</v>
      </c>
      <c r="G333" s="25">
        <f>0+'táj.2.'!G333</f>
        <v>0</v>
      </c>
      <c r="H333" s="25">
        <f>0+'táj.2.'!H333</f>
        <v>0</v>
      </c>
      <c r="I333" s="25">
        <f>0+'táj.2.'!I333</f>
        <v>0</v>
      </c>
      <c r="J333" s="25">
        <f>0+'táj.2.'!J333</f>
        <v>0</v>
      </c>
      <c r="K333" s="25">
        <f>1980+'táj.2.'!K333</f>
        <v>1780</v>
      </c>
      <c r="L333" s="25">
        <f>0+'táj.2.'!L333</f>
        <v>0</v>
      </c>
      <c r="M333" s="25">
        <f>0+'táj.2.'!M333</f>
        <v>0</v>
      </c>
      <c r="N333" s="25">
        <f>0+'táj.2.'!N333</f>
        <v>200</v>
      </c>
      <c r="O333" s="25">
        <f>0+'táj.2.'!O333</f>
        <v>0</v>
      </c>
      <c r="P333" s="25">
        <f>0+'táj.2.'!P333</f>
        <v>0</v>
      </c>
      <c r="Q333" s="25">
        <f>SUM(G333:P333)</f>
        <v>1980</v>
      </c>
    </row>
    <row r="334" spans="1:17" ht="12.75" customHeight="1">
      <c r="A334" s="17"/>
      <c r="B334" s="17"/>
      <c r="C334" s="346"/>
      <c r="D334" s="390" t="s">
        <v>264</v>
      </c>
      <c r="E334" s="347"/>
      <c r="F334" s="649"/>
      <c r="G334" s="19">
        <f>SUM(G251:G333)</f>
        <v>1920</v>
      </c>
      <c r="H334" s="19">
        <f aca="true" t="shared" si="19" ref="H334:Q334">SUM(H251:H333)</f>
        <v>496</v>
      </c>
      <c r="I334" s="19">
        <f t="shared" si="19"/>
        <v>1378194</v>
      </c>
      <c r="J334" s="19">
        <f t="shared" si="19"/>
        <v>50</v>
      </c>
      <c r="K334" s="19">
        <f t="shared" si="19"/>
        <v>50817</v>
      </c>
      <c r="L334" s="19">
        <f t="shared" si="19"/>
        <v>3324</v>
      </c>
      <c r="M334" s="19">
        <f t="shared" si="19"/>
        <v>0</v>
      </c>
      <c r="N334" s="19">
        <f t="shared" si="19"/>
        <v>200</v>
      </c>
      <c r="O334" s="19">
        <f t="shared" si="19"/>
        <v>0</v>
      </c>
      <c r="P334" s="19">
        <f t="shared" si="19"/>
        <v>0</v>
      </c>
      <c r="Q334" s="19">
        <f t="shared" si="19"/>
        <v>1435001</v>
      </c>
    </row>
    <row r="335" spans="1:17" ht="12.75" customHeight="1">
      <c r="A335" s="391"/>
      <c r="B335" s="391"/>
      <c r="C335" s="391"/>
      <c r="D335" s="533" t="s">
        <v>1402</v>
      </c>
      <c r="E335" s="185"/>
      <c r="F335" s="658"/>
      <c r="G335" s="374"/>
      <c r="H335" s="374"/>
      <c r="I335" s="374"/>
      <c r="J335" s="374"/>
      <c r="K335" s="374"/>
      <c r="L335" s="375"/>
      <c r="M335" s="375"/>
      <c r="N335" s="375"/>
      <c r="O335" s="374"/>
      <c r="P335" s="374"/>
      <c r="Q335" s="375"/>
    </row>
    <row r="336" spans="1:17" ht="12.75" customHeight="1">
      <c r="A336" s="391"/>
      <c r="B336" s="391"/>
      <c r="C336" s="391" t="s">
        <v>562</v>
      </c>
      <c r="D336" s="145" t="s">
        <v>507</v>
      </c>
      <c r="E336" s="185"/>
      <c r="F336" s="658"/>
      <c r="G336" s="374"/>
      <c r="H336" s="374"/>
      <c r="I336" s="374"/>
      <c r="J336" s="374"/>
      <c r="K336" s="374"/>
      <c r="L336" s="375"/>
      <c r="M336" s="375"/>
      <c r="N336" s="375"/>
      <c r="O336" s="374"/>
      <c r="P336" s="374"/>
      <c r="Q336" s="375"/>
    </row>
    <row r="337" spans="1:17" ht="15" customHeight="1">
      <c r="A337" s="391"/>
      <c r="B337" s="391"/>
      <c r="C337" s="182" t="s">
        <v>623</v>
      </c>
      <c r="D337" s="392" t="s">
        <v>762</v>
      </c>
      <c r="E337" s="185"/>
      <c r="F337" s="658">
        <v>152116</v>
      </c>
      <c r="G337" s="375">
        <f>0+'táj.2.'!G337</f>
        <v>0</v>
      </c>
      <c r="H337" s="375">
        <f>0+'táj.2.'!H337</f>
        <v>0</v>
      </c>
      <c r="I337" s="375">
        <f>0+'táj.2.'!I337</f>
        <v>0</v>
      </c>
      <c r="J337" s="375">
        <f>0+'táj.2.'!J337</f>
        <v>0</v>
      </c>
      <c r="K337" s="375">
        <f>0+'táj.2.'!K337</f>
        <v>0</v>
      </c>
      <c r="L337" s="375">
        <f>2000+'táj.2.'!L337</f>
        <v>2000</v>
      </c>
      <c r="M337" s="375">
        <f>0+'táj.2.'!M337</f>
        <v>0</v>
      </c>
      <c r="N337" s="375">
        <f>0+'táj.2.'!N337</f>
        <v>0</v>
      </c>
      <c r="O337" s="375">
        <f>0+'táj.2.'!O337</f>
        <v>0</v>
      </c>
      <c r="P337" s="375">
        <f>0+'táj.2.'!P337</f>
        <v>0</v>
      </c>
      <c r="Q337" s="375">
        <f aca="true" t="shared" si="20" ref="Q337:Q347">SUM(G337:P337)</f>
        <v>2000</v>
      </c>
    </row>
    <row r="338" spans="1:17" ht="21.75" customHeight="1">
      <c r="A338" s="391"/>
      <c r="B338" s="391"/>
      <c r="C338" s="182" t="s">
        <v>624</v>
      </c>
      <c r="D338" s="393" t="s">
        <v>265</v>
      </c>
      <c r="E338" s="185"/>
      <c r="F338" s="658">
        <v>152122</v>
      </c>
      <c r="G338" s="375">
        <f>0+'táj.2.'!G338</f>
        <v>0</v>
      </c>
      <c r="H338" s="375">
        <f>0+'táj.2.'!H338</f>
        <v>0</v>
      </c>
      <c r="I338" s="375">
        <f>0+'táj.2.'!I338</f>
        <v>0</v>
      </c>
      <c r="J338" s="375">
        <f>0+'táj.2.'!J338</f>
        <v>0</v>
      </c>
      <c r="K338" s="375">
        <f>0+'táj.2.'!K338</f>
        <v>0</v>
      </c>
      <c r="L338" s="375">
        <f>1500+'táj.2.'!L338</f>
        <v>1500</v>
      </c>
      <c r="M338" s="375">
        <f>0+'táj.2.'!M338</f>
        <v>0</v>
      </c>
      <c r="N338" s="375">
        <f>0+'táj.2.'!N338</f>
        <v>0</v>
      </c>
      <c r="O338" s="375">
        <f>0+'táj.2.'!O338</f>
        <v>0</v>
      </c>
      <c r="P338" s="375">
        <f>0+'táj.2.'!P338</f>
        <v>0</v>
      </c>
      <c r="Q338" s="375">
        <f t="shared" si="20"/>
        <v>1500</v>
      </c>
    </row>
    <row r="339" spans="1:17" ht="24.75" customHeight="1">
      <c r="A339" s="391"/>
      <c r="B339" s="391"/>
      <c r="C339" s="182" t="s">
        <v>625</v>
      </c>
      <c r="D339" s="393" t="s">
        <v>266</v>
      </c>
      <c r="E339" s="185"/>
      <c r="F339" s="658">
        <v>152114</v>
      </c>
      <c r="G339" s="375">
        <f>0+'táj.2.'!G339</f>
        <v>0</v>
      </c>
      <c r="H339" s="375">
        <f>0+'táj.2.'!H339</f>
        <v>0</v>
      </c>
      <c r="I339" s="375">
        <f>0+'táj.2.'!I339</f>
        <v>0</v>
      </c>
      <c r="J339" s="375">
        <f>0+'táj.2.'!J339</f>
        <v>0</v>
      </c>
      <c r="K339" s="375">
        <f>0+'táj.2.'!K339</f>
        <v>0</v>
      </c>
      <c r="L339" s="375">
        <f>1150+'táj.2.'!L339</f>
        <v>1150</v>
      </c>
      <c r="M339" s="375">
        <f>0+'táj.2.'!M339</f>
        <v>0</v>
      </c>
      <c r="N339" s="375">
        <f>0+'táj.2.'!N339</f>
        <v>0</v>
      </c>
      <c r="O339" s="375">
        <f>0+'táj.2.'!O339</f>
        <v>0</v>
      </c>
      <c r="P339" s="375">
        <f>0+'táj.2.'!P339</f>
        <v>0</v>
      </c>
      <c r="Q339" s="375">
        <f t="shared" si="20"/>
        <v>1150</v>
      </c>
    </row>
    <row r="340" spans="1:17" ht="12.75" customHeight="1">
      <c r="A340" s="391"/>
      <c r="B340" s="391"/>
      <c r="C340" s="182" t="s">
        <v>612</v>
      </c>
      <c r="D340" s="394" t="s">
        <v>276</v>
      </c>
      <c r="E340" s="185"/>
      <c r="F340" s="658">
        <v>152109</v>
      </c>
      <c r="G340" s="375">
        <f>0+'táj.2.'!G340</f>
        <v>0</v>
      </c>
      <c r="H340" s="375">
        <f>0+'táj.2.'!H340</f>
        <v>0</v>
      </c>
      <c r="I340" s="375">
        <f>0+'táj.2.'!I340</f>
        <v>0</v>
      </c>
      <c r="J340" s="375">
        <f>0+'táj.2.'!J340</f>
        <v>0</v>
      </c>
      <c r="K340" s="375">
        <f>0+'táj.2.'!K340</f>
        <v>0</v>
      </c>
      <c r="L340" s="375">
        <f>2000+'táj.2.'!L340</f>
        <v>2000</v>
      </c>
      <c r="M340" s="375">
        <f>0+'táj.2.'!M340</f>
        <v>0</v>
      </c>
      <c r="N340" s="375">
        <f>0+'táj.2.'!N340</f>
        <v>0</v>
      </c>
      <c r="O340" s="375">
        <f>0+'táj.2.'!O340</f>
        <v>0</v>
      </c>
      <c r="P340" s="375">
        <f>0+'táj.2.'!P340</f>
        <v>0</v>
      </c>
      <c r="Q340" s="375">
        <f t="shared" si="20"/>
        <v>2000</v>
      </c>
    </row>
    <row r="341" spans="1:17" ht="12.75" customHeight="1">
      <c r="A341" s="391"/>
      <c r="B341" s="391"/>
      <c r="C341" s="182" t="s">
        <v>613</v>
      </c>
      <c r="D341" s="199" t="s">
        <v>752</v>
      </c>
      <c r="E341" s="185"/>
      <c r="F341" s="658">
        <v>152103</v>
      </c>
      <c r="G341" s="375">
        <f>0+'táj.2.'!G341</f>
        <v>0</v>
      </c>
      <c r="H341" s="375">
        <f>0+'táj.2.'!H341</f>
        <v>0</v>
      </c>
      <c r="I341" s="375">
        <f>0+'táj.2.'!I341</f>
        <v>0</v>
      </c>
      <c r="J341" s="375">
        <f>0+'táj.2.'!J341</f>
        <v>0</v>
      </c>
      <c r="K341" s="375">
        <f>0+'táj.2.'!K341</f>
        <v>0</v>
      </c>
      <c r="L341" s="375">
        <f>2000+'táj.2.'!L341</f>
        <v>0</v>
      </c>
      <c r="M341" s="375">
        <f>0+'táj.2.'!M341</f>
        <v>0</v>
      </c>
      <c r="N341" s="375">
        <f>0+'táj.2.'!N341</f>
        <v>0</v>
      </c>
      <c r="O341" s="375">
        <f>0+'táj.2.'!O341</f>
        <v>0</v>
      </c>
      <c r="P341" s="375">
        <f>0+'táj.2.'!P341</f>
        <v>0</v>
      </c>
      <c r="Q341" s="375">
        <f t="shared" si="20"/>
        <v>0</v>
      </c>
    </row>
    <row r="342" spans="1:17" ht="12.75" customHeight="1">
      <c r="A342" s="391"/>
      <c r="B342" s="391"/>
      <c r="C342" s="182" t="s">
        <v>287</v>
      </c>
      <c r="D342" s="199" t="s">
        <v>267</v>
      </c>
      <c r="E342" s="185"/>
      <c r="F342" s="658">
        <v>152123</v>
      </c>
      <c r="G342" s="375">
        <f>0+'táj.2.'!G342</f>
        <v>0</v>
      </c>
      <c r="H342" s="375">
        <f>0+'táj.2.'!H342</f>
        <v>0</v>
      </c>
      <c r="I342" s="375">
        <f>0+'táj.2.'!I342</f>
        <v>0</v>
      </c>
      <c r="J342" s="375">
        <f>0+'táj.2.'!J342</f>
        <v>0</v>
      </c>
      <c r="K342" s="375">
        <f>0+'táj.2.'!K342</f>
        <v>0</v>
      </c>
      <c r="L342" s="375">
        <f>3000+'táj.2.'!L342</f>
        <v>2333</v>
      </c>
      <c r="M342" s="375">
        <f>0+'táj.2.'!M342</f>
        <v>0</v>
      </c>
      <c r="N342" s="375">
        <f>0+'táj.2.'!N342</f>
        <v>0</v>
      </c>
      <c r="O342" s="375">
        <f>0+'táj.2.'!O342</f>
        <v>0</v>
      </c>
      <c r="P342" s="375">
        <f>0+'táj.2.'!P342</f>
        <v>0</v>
      </c>
      <c r="Q342" s="375">
        <f t="shared" si="20"/>
        <v>2333</v>
      </c>
    </row>
    <row r="343" spans="1:17" ht="24.75" customHeight="1">
      <c r="A343" s="391"/>
      <c r="B343" s="391"/>
      <c r="C343" s="182" t="s">
        <v>288</v>
      </c>
      <c r="D343" s="395" t="s">
        <v>268</v>
      </c>
      <c r="E343" s="185"/>
      <c r="F343" s="658">
        <v>154114</v>
      </c>
      <c r="G343" s="375">
        <f>0+'táj.2.'!G343</f>
        <v>0</v>
      </c>
      <c r="H343" s="375">
        <f>0+'táj.2.'!H343</f>
        <v>0</v>
      </c>
      <c r="I343" s="375">
        <f>0+'táj.2.'!I343</f>
        <v>0</v>
      </c>
      <c r="J343" s="375">
        <f>0+'táj.2.'!J343</f>
        <v>0</v>
      </c>
      <c r="K343" s="375">
        <f>0+'táj.2.'!K343</f>
        <v>0</v>
      </c>
      <c r="L343" s="375">
        <f>0+'táj.2.'!L343</f>
        <v>0</v>
      </c>
      <c r="M343" s="375">
        <f>4000+'táj.2.'!M343</f>
        <v>0</v>
      </c>
      <c r="N343" s="375">
        <f>0+'táj.2.'!N343</f>
        <v>0</v>
      </c>
      <c r="O343" s="375">
        <f>0+'táj.2.'!O343</f>
        <v>0</v>
      </c>
      <c r="P343" s="375">
        <f>0+'táj.2.'!P343</f>
        <v>0</v>
      </c>
      <c r="Q343" s="375">
        <f t="shared" si="20"/>
        <v>0</v>
      </c>
    </row>
    <row r="344" spans="1:17" ht="21.75" customHeight="1">
      <c r="A344" s="391"/>
      <c r="B344" s="391"/>
      <c r="C344" s="182" t="s">
        <v>284</v>
      </c>
      <c r="D344" s="396" t="s">
        <v>1247</v>
      </c>
      <c r="E344" s="185"/>
      <c r="F344" s="658">
        <v>154112</v>
      </c>
      <c r="G344" s="375">
        <f>0+'táj.2.'!G344</f>
        <v>0</v>
      </c>
      <c r="H344" s="375">
        <f>0+'táj.2.'!H344</f>
        <v>0</v>
      </c>
      <c r="I344" s="375">
        <f>0+'táj.2.'!I344</f>
        <v>0</v>
      </c>
      <c r="J344" s="375">
        <f>0+'táj.2.'!J344</f>
        <v>0</v>
      </c>
      <c r="K344" s="375">
        <f>0+'táj.2.'!K344</f>
        <v>0</v>
      </c>
      <c r="L344" s="375">
        <f>0+'táj.2.'!L344</f>
        <v>0</v>
      </c>
      <c r="M344" s="375">
        <f>2000+'táj.2.'!M344</f>
        <v>2000</v>
      </c>
      <c r="N344" s="375">
        <f>0+'táj.2.'!N344</f>
        <v>0</v>
      </c>
      <c r="O344" s="375">
        <f>0+'táj.2.'!O344</f>
        <v>0</v>
      </c>
      <c r="P344" s="375">
        <f>0+'táj.2.'!P344</f>
        <v>0</v>
      </c>
      <c r="Q344" s="25">
        <f t="shared" si="20"/>
        <v>2000</v>
      </c>
    </row>
    <row r="345" spans="1:17" ht="12.75" customHeight="1">
      <c r="A345" s="391"/>
      <c r="B345" s="391"/>
      <c r="C345" s="182" t="s">
        <v>761</v>
      </c>
      <c r="D345" s="392" t="s">
        <v>269</v>
      </c>
      <c r="E345" s="185"/>
      <c r="F345" s="658">
        <v>154115</v>
      </c>
      <c r="G345" s="375">
        <f>0+'táj.2.'!G345</f>
        <v>0</v>
      </c>
      <c r="H345" s="375">
        <f>0+'táj.2.'!H345</f>
        <v>0</v>
      </c>
      <c r="I345" s="375">
        <f>0+'táj.2.'!I345</f>
        <v>0</v>
      </c>
      <c r="J345" s="375">
        <f>0+'táj.2.'!J345</f>
        <v>0</v>
      </c>
      <c r="K345" s="375">
        <f>0+'táj.2.'!K345</f>
        <v>0</v>
      </c>
      <c r="L345" s="375">
        <f>0+'táj.2.'!L345</f>
        <v>0</v>
      </c>
      <c r="M345" s="375">
        <f>4000+'táj.2.'!M345</f>
        <v>4000</v>
      </c>
      <c r="N345" s="375">
        <f>0+'táj.2.'!N345</f>
        <v>0</v>
      </c>
      <c r="O345" s="375">
        <f>0+'táj.2.'!O345</f>
        <v>0</v>
      </c>
      <c r="P345" s="375">
        <f>0+'táj.2.'!P345</f>
        <v>0</v>
      </c>
      <c r="Q345" s="25">
        <f t="shared" si="20"/>
        <v>4000</v>
      </c>
    </row>
    <row r="346" spans="1:17" ht="22.5" customHeight="1">
      <c r="A346" s="391"/>
      <c r="B346" s="391"/>
      <c r="C346" s="182" t="s">
        <v>413</v>
      </c>
      <c r="D346" s="392" t="s">
        <v>270</v>
      </c>
      <c r="E346" s="185"/>
      <c r="F346" s="658">
        <v>154113</v>
      </c>
      <c r="G346" s="375">
        <f>0+'táj.2.'!G346</f>
        <v>0</v>
      </c>
      <c r="H346" s="375">
        <f>0+'táj.2.'!H346</f>
        <v>0</v>
      </c>
      <c r="I346" s="375">
        <f>0+'táj.2.'!I346</f>
        <v>0</v>
      </c>
      <c r="J346" s="375">
        <f>0+'táj.2.'!J346</f>
        <v>0</v>
      </c>
      <c r="K346" s="375">
        <f>0+'táj.2.'!K346</f>
        <v>0</v>
      </c>
      <c r="L346" s="375">
        <f>0+'táj.2.'!L346</f>
        <v>0</v>
      </c>
      <c r="M346" s="375">
        <f>2000+'táj.2.'!M346</f>
        <v>2000</v>
      </c>
      <c r="N346" s="375">
        <f>0+'táj.2.'!N346</f>
        <v>0</v>
      </c>
      <c r="O346" s="375">
        <f>0+'táj.2.'!O346</f>
        <v>0</v>
      </c>
      <c r="P346" s="375">
        <f>0+'táj.2.'!P346</f>
        <v>0</v>
      </c>
      <c r="Q346" s="25">
        <f t="shared" si="20"/>
        <v>2000</v>
      </c>
    </row>
    <row r="347" spans="1:17" ht="24" customHeight="1">
      <c r="A347" s="391"/>
      <c r="B347" s="391"/>
      <c r="C347" s="182" t="s">
        <v>379</v>
      </c>
      <c r="D347" s="395" t="s">
        <v>795</v>
      </c>
      <c r="E347" s="185"/>
      <c r="F347" s="658">
        <v>154116</v>
      </c>
      <c r="G347" s="375">
        <f>0+'táj.2.'!G347</f>
        <v>0</v>
      </c>
      <c r="H347" s="375">
        <f>0+'táj.2.'!H347</f>
        <v>0</v>
      </c>
      <c r="I347" s="375">
        <f>0+'táj.2.'!I347</f>
        <v>0</v>
      </c>
      <c r="J347" s="375">
        <f>0+'táj.2.'!J347</f>
        <v>0</v>
      </c>
      <c r="K347" s="375">
        <f>0+'táj.2.'!K347</f>
        <v>0</v>
      </c>
      <c r="L347" s="375">
        <f>0+'táj.2.'!L347</f>
        <v>0</v>
      </c>
      <c r="M347" s="375">
        <f>10000+'táj.2.'!M347</f>
        <v>10000</v>
      </c>
      <c r="N347" s="375">
        <f>0+'táj.2.'!N347</f>
        <v>0</v>
      </c>
      <c r="O347" s="375">
        <f>0+'táj.2.'!O347</f>
        <v>0</v>
      </c>
      <c r="P347" s="375">
        <f>0+'táj.2.'!P347</f>
        <v>0</v>
      </c>
      <c r="Q347" s="375">
        <f t="shared" si="20"/>
        <v>10000</v>
      </c>
    </row>
    <row r="348" spans="1:17" ht="12.75" customHeight="1">
      <c r="A348" s="391"/>
      <c r="B348" s="391"/>
      <c r="C348" s="182"/>
      <c r="D348" s="24" t="s">
        <v>198</v>
      </c>
      <c r="E348" s="185"/>
      <c r="F348" s="658"/>
      <c r="G348" s="375"/>
      <c r="H348" s="374"/>
      <c r="I348" s="374"/>
      <c r="J348" s="374"/>
      <c r="K348" s="374"/>
      <c r="L348" s="375"/>
      <c r="M348" s="375"/>
      <c r="N348" s="375"/>
      <c r="O348" s="374"/>
      <c r="P348" s="374"/>
      <c r="Q348" s="375"/>
    </row>
    <row r="349" spans="1:17" ht="15.75" customHeight="1">
      <c r="A349" s="391"/>
      <c r="B349" s="391"/>
      <c r="C349" s="182" t="s">
        <v>496</v>
      </c>
      <c r="D349" s="118" t="s">
        <v>1201</v>
      </c>
      <c r="E349" s="185"/>
      <c r="F349" s="658">
        <v>152120</v>
      </c>
      <c r="G349" s="375">
        <f>0+'táj.2.'!G349</f>
        <v>0</v>
      </c>
      <c r="H349" s="375">
        <f>0+'táj.2.'!H349</f>
        <v>0</v>
      </c>
      <c r="I349" s="375">
        <f>0+'táj.2.'!I349</f>
        <v>3174</v>
      </c>
      <c r="J349" s="375">
        <f>0+'táj.2.'!J349</f>
        <v>0</v>
      </c>
      <c r="K349" s="375">
        <f>0+'táj.2.'!K349</f>
        <v>0</v>
      </c>
      <c r="L349" s="375">
        <f>15250+'táj.2.'!L349</f>
        <v>12076</v>
      </c>
      <c r="M349" s="375">
        <f>0+'táj.2.'!M349</f>
        <v>0</v>
      </c>
      <c r="N349" s="375">
        <f>0+'táj.2.'!N349</f>
        <v>0</v>
      </c>
      <c r="O349" s="375">
        <f>0+'táj.2.'!O349</f>
        <v>0</v>
      </c>
      <c r="P349" s="375">
        <f>0+'táj.2.'!P349</f>
        <v>0</v>
      </c>
      <c r="Q349" s="375">
        <f aca="true" t="shared" si="21" ref="Q349:Q356">SUM(G349:P349)</f>
        <v>15250</v>
      </c>
    </row>
    <row r="350" spans="1:17" ht="15" customHeight="1">
      <c r="A350" s="391"/>
      <c r="B350" s="391"/>
      <c r="C350" s="182" t="s">
        <v>534</v>
      </c>
      <c r="D350" s="118" t="s">
        <v>362</v>
      </c>
      <c r="E350" s="185"/>
      <c r="F350" s="658">
        <v>152121</v>
      </c>
      <c r="G350" s="375">
        <f>0+'táj.2.'!G350</f>
        <v>0</v>
      </c>
      <c r="H350" s="375">
        <f>0+'táj.2.'!H350</f>
        <v>0</v>
      </c>
      <c r="I350" s="375">
        <f>0+'táj.2.'!I350</f>
        <v>0</v>
      </c>
      <c r="J350" s="375">
        <f>0+'táj.2.'!J350</f>
        <v>0</v>
      </c>
      <c r="K350" s="375">
        <f>0+'táj.2.'!K350</f>
        <v>0</v>
      </c>
      <c r="L350" s="375">
        <f>991+'táj.2.'!L350</f>
        <v>991</v>
      </c>
      <c r="M350" s="375">
        <f>0+'táj.2.'!M350</f>
        <v>0</v>
      </c>
      <c r="N350" s="375">
        <f>0+'táj.2.'!N350</f>
        <v>0</v>
      </c>
      <c r="O350" s="375">
        <f>0+'táj.2.'!O350</f>
        <v>0</v>
      </c>
      <c r="P350" s="375">
        <f>0+'táj.2.'!P350</f>
        <v>0</v>
      </c>
      <c r="Q350" s="375">
        <f t="shared" si="21"/>
        <v>991</v>
      </c>
    </row>
    <row r="351" spans="1:17" ht="25.5" customHeight="1">
      <c r="A351" s="391"/>
      <c r="B351" s="391"/>
      <c r="C351" s="182" t="s">
        <v>535</v>
      </c>
      <c r="D351" s="539" t="s">
        <v>763</v>
      </c>
      <c r="E351" s="185"/>
      <c r="F351" s="658">
        <v>152105</v>
      </c>
      <c r="G351" s="375">
        <f>0+'táj.2.'!G351</f>
        <v>0</v>
      </c>
      <c r="H351" s="375">
        <f>0+'táj.2.'!H351</f>
        <v>0</v>
      </c>
      <c r="I351" s="375">
        <f>0+'táj.2.'!I351</f>
        <v>0</v>
      </c>
      <c r="J351" s="375">
        <f>0+'táj.2.'!J351</f>
        <v>0</v>
      </c>
      <c r="K351" s="375">
        <f>0+'táj.2.'!K351</f>
        <v>0</v>
      </c>
      <c r="L351" s="375">
        <f>18326+'táj.2.'!L351</f>
        <v>18326</v>
      </c>
      <c r="M351" s="375">
        <f>0+'táj.2.'!M351</f>
        <v>0</v>
      </c>
      <c r="N351" s="375">
        <f>0+'táj.2.'!N351</f>
        <v>0</v>
      </c>
      <c r="O351" s="375">
        <f>0+'táj.2.'!O351</f>
        <v>0</v>
      </c>
      <c r="P351" s="375">
        <f>0+'táj.2.'!P351</f>
        <v>0</v>
      </c>
      <c r="Q351" s="375">
        <f t="shared" si="21"/>
        <v>18326</v>
      </c>
    </row>
    <row r="352" spans="1:17" ht="16.5" customHeight="1">
      <c r="A352" s="391"/>
      <c r="B352" s="391"/>
      <c r="C352" s="182" t="s">
        <v>536</v>
      </c>
      <c r="D352" s="534" t="s">
        <v>457</v>
      </c>
      <c r="E352" s="185"/>
      <c r="F352" s="658">
        <v>154108</v>
      </c>
      <c r="G352" s="375">
        <f>0+'táj.2.'!G352</f>
        <v>0</v>
      </c>
      <c r="H352" s="375">
        <f>0+'táj.2.'!H352</f>
        <v>0</v>
      </c>
      <c r="I352" s="375">
        <f>0+'táj.2.'!I352</f>
        <v>0</v>
      </c>
      <c r="J352" s="375">
        <f>0+'táj.2.'!J352</f>
        <v>0</v>
      </c>
      <c r="K352" s="375">
        <f>0+'táj.2.'!K352</f>
        <v>0</v>
      </c>
      <c r="L352" s="375">
        <f>2000+'táj.2.'!L352</f>
        <v>2000</v>
      </c>
      <c r="M352" s="375">
        <f>0+'táj.2.'!M352</f>
        <v>0</v>
      </c>
      <c r="N352" s="375">
        <f>0+'táj.2.'!N352</f>
        <v>0</v>
      </c>
      <c r="O352" s="375">
        <f>0+'táj.2.'!O352</f>
        <v>0</v>
      </c>
      <c r="P352" s="375">
        <f>0+'táj.2.'!P352</f>
        <v>0</v>
      </c>
      <c r="Q352" s="375">
        <f t="shared" si="21"/>
        <v>2000</v>
      </c>
    </row>
    <row r="353" spans="1:17" ht="16.5" customHeight="1">
      <c r="A353" s="391"/>
      <c r="B353" s="391"/>
      <c r="C353" s="182" t="s">
        <v>425</v>
      </c>
      <c r="D353" s="535" t="s">
        <v>456</v>
      </c>
      <c r="E353" s="185"/>
      <c r="F353" s="658">
        <v>154107</v>
      </c>
      <c r="G353" s="375">
        <f>0+'táj.2.'!G353</f>
        <v>0</v>
      </c>
      <c r="H353" s="375">
        <f>0+'táj.2.'!H353</f>
        <v>0</v>
      </c>
      <c r="I353" s="375">
        <f>0+'táj.2.'!I353</f>
        <v>0</v>
      </c>
      <c r="J353" s="375">
        <f>0+'táj.2.'!J353</f>
        <v>0</v>
      </c>
      <c r="K353" s="375">
        <f>0+'táj.2.'!K353</f>
        <v>0</v>
      </c>
      <c r="L353" s="375">
        <f>3000+'táj.2.'!L353</f>
        <v>3000</v>
      </c>
      <c r="M353" s="375">
        <f>0+'táj.2.'!M353</f>
        <v>0</v>
      </c>
      <c r="N353" s="375">
        <f>0+'táj.2.'!N353</f>
        <v>0</v>
      </c>
      <c r="O353" s="375">
        <f>0+'táj.2.'!O353</f>
        <v>0</v>
      </c>
      <c r="P353" s="375">
        <f>0+'táj.2.'!P353</f>
        <v>0</v>
      </c>
      <c r="Q353" s="375">
        <f t="shared" si="21"/>
        <v>3000</v>
      </c>
    </row>
    <row r="354" spans="1:17" ht="27" customHeight="1">
      <c r="A354" s="391"/>
      <c r="B354" s="391"/>
      <c r="C354" s="182" t="s">
        <v>426</v>
      </c>
      <c r="D354" s="540" t="s">
        <v>797</v>
      </c>
      <c r="E354" s="185"/>
      <c r="F354" s="658">
        <v>152108</v>
      </c>
      <c r="G354" s="375">
        <f>0+'táj.2.'!G354</f>
        <v>0</v>
      </c>
      <c r="H354" s="375">
        <f>0+'táj.2.'!H354</f>
        <v>0</v>
      </c>
      <c r="I354" s="375">
        <f>0+'táj.2.'!I354</f>
        <v>0</v>
      </c>
      <c r="J354" s="375">
        <f>0+'táj.2.'!J354</f>
        <v>0</v>
      </c>
      <c r="K354" s="375">
        <f>0+'táj.2.'!K354</f>
        <v>0</v>
      </c>
      <c r="L354" s="375">
        <f>6700+'táj.2.'!L354</f>
        <v>4700</v>
      </c>
      <c r="M354" s="375">
        <f>0+'táj.2.'!M354</f>
        <v>0</v>
      </c>
      <c r="N354" s="375">
        <f>0+'táj.2.'!N354</f>
        <v>0</v>
      </c>
      <c r="O354" s="375">
        <f>0+'táj.2.'!O354</f>
        <v>0</v>
      </c>
      <c r="P354" s="375">
        <f>0+'táj.2.'!P354</f>
        <v>0</v>
      </c>
      <c r="Q354" s="25">
        <f t="shared" si="21"/>
        <v>4700</v>
      </c>
    </row>
    <row r="355" spans="1:17" ht="37.5" customHeight="1">
      <c r="A355" s="391"/>
      <c r="B355" s="391"/>
      <c r="C355" s="182" t="s">
        <v>796</v>
      </c>
      <c r="D355" s="203" t="s">
        <v>799</v>
      </c>
      <c r="E355" s="185"/>
      <c r="F355" s="658">
        <v>152117</v>
      </c>
      <c r="G355" s="375">
        <f>0+'táj.2.'!G355</f>
        <v>0</v>
      </c>
      <c r="H355" s="375">
        <f>0+'táj.2.'!H355</f>
        <v>0</v>
      </c>
      <c r="I355" s="375">
        <f>0+'táj.2.'!I355</f>
        <v>0</v>
      </c>
      <c r="J355" s="375">
        <f>0+'táj.2.'!J355</f>
        <v>0</v>
      </c>
      <c r="K355" s="375">
        <f>0+'táj.2.'!K355</f>
        <v>0</v>
      </c>
      <c r="L355" s="375">
        <f>0+'táj.2.'!L355</f>
        <v>0</v>
      </c>
      <c r="M355" s="375">
        <f>323240+'táj.2.'!M355</f>
        <v>323240</v>
      </c>
      <c r="N355" s="375">
        <f>0+'táj.2.'!N355</f>
        <v>0</v>
      </c>
      <c r="O355" s="375">
        <f>0+'táj.2.'!O355</f>
        <v>0</v>
      </c>
      <c r="P355" s="375">
        <f>0+'táj.2.'!P355</f>
        <v>0</v>
      </c>
      <c r="Q355" s="375">
        <f t="shared" si="21"/>
        <v>323240</v>
      </c>
    </row>
    <row r="356" spans="1:17" ht="36" customHeight="1">
      <c r="A356" s="391"/>
      <c r="B356" s="391"/>
      <c r="C356" s="182" t="s">
        <v>798</v>
      </c>
      <c r="D356" s="203" t="s">
        <v>800</v>
      </c>
      <c r="E356" s="185"/>
      <c r="F356" s="658">
        <v>152117</v>
      </c>
      <c r="G356" s="375">
        <f>0+'táj.2.'!G356</f>
        <v>0</v>
      </c>
      <c r="H356" s="375">
        <f>0+'táj.2.'!H356</f>
        <v>0</v>
      </c>
      <c r="I356" s="375">
        <f>0+'táj.2.'!I356</f>
        <v>0</v>
      </c>
      <c r="J356" s="375">
        <f>0+'táj.2.'!J356</f>
        <v>0</v>
      </c>
      <c r="K356" s="375">
        <f>0+'táj.2.'!K356</f>
        <v>0</v>
      </c>
      <c r="L356" s="375">
        <f>0+'táj.2.'!L356</f>
        <v>0</v>
      </c>
      <c r="M356" s="375">
        <f>0+'táj.2.'!M356</f>
        <v>0</v>
      </c>
      <c r="N356" s="375">
        <f>197598+'táj.2.'!N356</f>
        <v>197598</v>
      </c>
      <c r="O356" s="375">
        <f>0+'táj.2.'!O356</f>
        <v>0</v>
      </c>
      <c r="P356" s="375">
        <f>0+'táj.2.'!P356</f>
        <v>0</v>
      </c>
      <c r="Q356" s="375">
        <f t="shared" si="21"/>
        <v>197598</v>
      </c>
    </row>
    <row r="357" spans="1:17" ht="12.75" customHeight="1">
      <c r="A357" s="391"/>
      <c r="B357" s="391"/>
      <c r="C357" s="391">
        <v>2</v>
      </c>
      <c r="D357" s="541" t="s">
        <v>801</v>
      </c>
      <c r="E357" s="185"/>
      <c r="F357" s="658"/>
      <c r="G357" s="375"/>
      <c r="H357" s="374"/>
      <c r="I357" s="374"/>
      <c r="J357" s="374"/>
      <c r="K357" s="374"/>
      <c r="L357" s="375"/>
      <c r="M357" s="375"/>
      <c r="N357" s="375"/>
      <c r="O357" s="374"/>
      <c r="P357" s="374"/>
      <c r="Q357" s="375"/>
    </row>
    <row r="358" spans="1:17" ht="12.75" customHeight="1">
      <c r="A358" s="391"/>
      <c r="B358" s="391"/>
      <c r="C358" s="182" t="s">
        <v>627</v>
      </c>
      <c r="D358" s="392" t="s">
        <v>475</v>
      </c>
      <c r="E358" s="185"/>
      <c r="F358" s="658">
        <v>152201</v>
      </c>
      <c r="G358" s="375">
        <f>0+'táj.2.'!G358</f>
        <v>0</v>
      </c>
      <c r="H358" s="375">
        <f>0+'táj.2.'!H358</f>
        <v>0</v>
      </c>
      <c r="I358" s="375">
        <f>0+'táj.2.'!I358</f>
        <v>0</v>
      </c>
      <c r="J358" s="375">
        <f>0+'táj.2.'!J358</f>
        <v>0</v>
      </c>
      <c r="K358" s="375">
        <f>0+'táj.2.'!K358</f>
        <v>0</v>
      </c>
      <c r="L358" s="375">
        <f>2000+'táj.2.'!L358</f>
        <v>0</v>
      </c>
      <c r="M358" s="375">
        <f>0+'táj.2.'!M358</f>
        <v>0</v>
      </c>
      <c r="N358" s="375">
        <f>0+'táj.2.'!N358</f>
        <v>0</v>
      </c>
      <c r="O358" s="375">
        <f>0+'táj.2.'!O358</f>
        <v>0</v>
      </c>
      <c r="P358" s="375">
        <f>0+'táj.2.'!P358</f>
        <v>0</v>
      </c>
      <c r="Q358" s="375">
        <f>SUM(G358:P358)</f>
        <v>0</v>
      </c>
    </row>
    <row r="359" spans="1:17" ht="12.75" customHeight="1">
      <c r="A359" s="391"/>
      <c r="B359" s="391"/>
      <c r="C359" s="182" t="s">
        <v>474</v>
      </c>
      <c r="D359" s="392" t="s">
        <v>802</v>
      </c>
      <c r="E359" s="185"/>
      <c r="F359" s="658">
        <v>152205</v>
      </c>
      <c r="G359" s="375">
        <f>0+'táj.2.'!G359</f>
        <v>0</v>
      </c>
      <c r="H359" s="375">
        <f>0+'táj.2.'!H359</f>
        <v>0</v>
      </c>
      <c r="I359" s="375">
        <f>0+'táj.2.'!I359</f>
        <v>0</v>
      </c>
      <c r="J359" s="375">
        <f>0+'táj.2.'!J359</f>
        <v>0</v>
      </c>
      <c r="K359" s="375">
        <f>0+'táj.2.'!K359</f>
        <v>0</v>
      </c>
      <c r="L359" s="375">
        <f>19574+'táj.2.'!L359</f>
        <v>20957</v>
      </c>
      <c r="M359" s="375">
        <f>0+'táj.2.'!M359</f>
        <v>0</v>
      </c>
      <c r="N359" s="375">
        <f>0+'táj.2.'!N359</f>
        <v>0</v>
      </c>
      <c r="O359" s="375">
        <f>0+'táj.2.'!O359</f>
        <v>0</v>
      </c>
      <c r="P359" s="375">
        <f>0+'táj.2.'!P359</f>
        <v>0</v>
      </c>
      <c r="Q359" s="375">
        <f>SUM(G359:P359)</f>
        <v>20957</v>
      </c>
    </row>
    <row r="360" spans="1:17" ht="12.75" customHeight="1">
      <c r="A360" s="391"/>
      <c r="B360" s="391"/>
      <c r="C360" s="391"/>
      <c r="D360" s="24" t="s">
        <v>198</v>
      </c>
      <c r="E360" s="185"/>
      <c r="F360" s="658"/>
      <c r="G360" s="375"/>
      <c r="H360" s="374"/>
      <c r="I360" s="374"/>
      <c r="J360" s="374"/>
      <c r="K360" s="374"/>
      <c r="L360" s="375"/>
      <c r="M360" s="375"/>
      <c r="N360" s="375"/>
      <c r="O360" s="374"/>
      <c r="P360" s="374"/>
      <c r="Q360" s="375"/>
    </row>
    <row r="361" spans="1:17" ht="25.5" customHeight="1">
      <c r="A361" s="391"/>
      <c r="B361" s="391"/>
      <c r="C361" s="182" t="s">
        <v>803</v>
      </c>
      <c r="D361" s="203" t="s">
        <v>804</v>
      </c>
      <c r="E361" s="185"/>
      <c r="F361" s="658">
        <v>152203</v>
      </c>
      <c r="G361" s="375">
        <f>0+'táj.2.'!G361</f>
        <v>0</v>
      </c>
      <c r="H361" s="375">
        <f>0+'táj.2.'!H361</f>
        <v>0</v>
      </c>
      <c r="I361" s="375">
        <f>0+'táj.2.'!I361</f>
        <v>0</v>
      </c>
      <c r="J361" s="375">
        <f>0+'táj.2.'!J361</f>
        <v>0</v>
      </c>
      <c r="K361" s="375">
        <f>0+'táj.2.'!K361</f>
        <v>0</v>
      </c>
      <c r="L361" s="375">
        <f>0+'táj.2.'!L361</f>
        <v>0</v>
      </c>
      <c r="M361" s="375">
        <f>0+'táj.2.'!M361</f>
        <v>0</v>
      </c>
      <c r="N361" s="375">
        <f>92577+'táj.2.'!N361</f>
        <v>92577</v>
      </c>
      <c r="O361" s="375">
        <f>0+'táj.2.'!O361</f>
        <v>0</v>
      </c>
      <c r="P361" s="375">
        <f>0+'táj.2.'!P361</f>
        <v>0</v>
      </c>
      <c r="Q361" s="375">
        <f>SUM(G361:P361)</f>
        <v>92577</v>
      </c>
    </row>
    <row r="362" spans="1:17" ht="23.25" customHeight="1">
      <c r="A362" s="391"/>
      <c r="B362" s="391"/>
      <c r="C362" s="182" t="s">
        <v>805</v>
      </c>
      <c r="D362" s="203" t="s">
        <v>703</v>
      </c>
      <c r="E362" s="185"/>
      <c r="F362" s="658">
        <v>152204</v>
      </c>
      <c r="G362" s="375">
        <f>0+'táj.2.'!G362</f>
        <v>0</v>
      </c>
      <c r="H362" s="375">
        <f>0+'táj.2.'!H362</f>
        <v>0</v>
      </c>
      <c r="I362" s="375">
        <f>0+'táj.2.'!I362</f>
        <v>0</v>
      </c>
      <c r="J362" s="375">
        <f>0+'táj.2.'!J362</f>
        <v>0</v>
      </c>
      <c r="K362" s="375">
        <f>0+'táj.2.'!K362</f>
        <v>0</v>
      </c>
      <c r="L362" s="375">
        <f>0+'táj.2.'!L362</f>
        <v>0</v>
      </c>
      <c r="M362" s="375">
        <f>0+'táj.2.'!M362</f>
        <v>0</v>
      </c>
      <c r="N362" s="375">
        <f>341840+'táj.2.'!N362</f>
        <v>341840</v>
      </c>
      <c r="O362" s="375">
        <f>0+'táj.2.'!O362</f>
        <v>0</v>
      </c>
      <c r="P362" s="375">
        <f>0+'táj.2.'!P362</f>
        <v>0</v>
      </c>
      <c r="Q362" s="375">
        <f>SUM(G362:P362)</f>
        <v>341840</v>
      </c>
    </row>
    <row r="363" spans="1:17" ht="12.75" customHeight="1">
      <c r="A363" s="391"/>
      <c r="B363" s="391"/>
      <c r="C363" s="391" t="s">
        <v>628</v>
      </c>
      <c r="D363" s="542" t="s">
        <v>806</v>
      </c>
      <c r="E363" s="185"/>
      <c r="F363" s="658"/>
      <c r="G363" s="375"/>
      <c r="H363" s="374"/>
      <c r="I363" s="374"/>
      <c r="J363" s="374"/>
      <c r="K363" s="374"/>
      <c r="L363" s="375"/>
      <c r="M363" s="375"/>
      <c r="N363" s="375"/>
      <c r="O363" s="374"/>
      <c r="P363" s="374"/>
      <c r="Q363" s="375"/>
    </row>
    <row r="364" spans="1:17" ht="12.75" customHeight="1">
      <c r="A364" s="391"/>
      <c r="B364" s="391"/>
      <c r="C364" s="182" t="s">
        <v>632</v>
      </c>
      <c r="D364" s="396" t="s">
        <v>807</v>
      </c>
      <c r="E364" s="185"/>
      <c r="F364" s="658">
        <v>152316</v>
      </c>
      <c r="G364" s="375">
        <f>0+'táj.2.'!G364</f>
        <v>0</v>
      </c>
      <c r="H364" s="375">
        <f>0+'táj.2.'!H364</f>
        <v>0</v>
      </c>
      <c r="I364" s="375">
        <f>0+'táj.2.'!I364</f>
        <v>0</v>
      </c>
      <c r="J364" s="375">
        <f>0+'táj.2.'!J364</f>
        <v>0</v>
      </c>
      <c r="K364" s="375">
        <f>0+'táj.2.'!K364</f>
        <v>0</v>
      </c>
      <c r="L364" s="375">
        <f>800+'táj.2.'!L364</f>
        <v>800</v>
      </c>
      <c r="M364" s="375">
        <f>0+'táj.2.'!M364</f>
        <v>0</v>
      </c>
      <c r="N364" s="375">
        <f>0+'táj.2.'!N364</f>
        <v>0</v>
      </c>
      <c r="O364" s="375">
        <f>0+'táj.2.'!O364</f>
        <v>0</v>
      </c>
      <c r="P364" s="375">
        <f>0+'táj.2.'!P364</f>
        <v>0</v>
      </c>
      <c r="Q364" s="375">
        <f aca="true" t="shared" si="22" ref="Q364:Q370">SUM(G364:P364)</f>
        <v>800</v>
      </c>
    </row>
    <row r="365" spans="1:17" ht="12.75" customHeight="1">
      <c r="A365" s="391"/>
      <c r="B365" s="391"/>
      <c r="C365" s="182" t="s">
        <v>633</v>
      </c>
      <c r="D365" s="396" t="s">
        <v>808</v>
      </c>
      <c r="E365" s="185"/>
      <c r="F365" s="658">
        <v>152320</v>
      </c>
      <c r="G365" s="375">
        <f>0+'táj.2.'!G365</f>
        <v>0</v>
      </c>
      <c r="H365" s="375">
        <f>0+'táj.2.'!H365</f>
        <v>0</v>
      </c>
      <c r="I365" s="375">
        <f>0+'táj.2.'!I365</f>
        <v>0</v>
      </c>
      <c r="J365" s="375">
        <f>0+'táj.2.'!J365</f>
        <v>0</v>
      </c>
      <c r="K365" s="375">
        <f>0+'táj.2.'!K365</f>
        <v>0</v>
      </c>
      <c r="L365" s="375">
        <f>150+'táj.2.'!L365</f>
        <v>0</v>
      </c>
      <c r="M365" s="375">
        <f>0+'táj.2.'!M365</f>
        <v>0</v>
      </c>
      <c r="N365" s="375">
        <f>0+'táj.2.'!N365</f>
        <v>0</v>
      </c>
      <c r="O365" s="375">
        <f>0+'táj.2.'!O365</f>
        <v>0</v>
      </c>
      <c r="P365" s="375">
        <f>0+'táj.2.'!P365</f>
        <v>0</v>
      </c>
      <c r="Q365" s="375">
        <f t="shared" si="22"/>
        <v>0</v>
      </c>
    </row>
    <row r="366" spans="1:17" ht="12.75" customHeight="1">
      <c r="A366" s="391"/>
      <c r="B366" s="391"/>
      <c r="C366" s="182" t="s">
        <v>673</v>
      </c>
      <c r="D366" s="547" t="s">
        <v>809</v>
      </c>
      <c r="E366" s="185"/>
      <c r="F366" s="658">
        <v>152321</v>
      </c>
      <c r="G366" s="375">
        <f>0+'táj.2.'!G366</f>
        <v>0</v>
      </c>
      <c r="H366" s="375">
        <f>0+'táj.2.'!H366</f>
        <v>0</v>
      </c>
      <c r="I366" s="375">
        <f>0+'táj.2.'!I366</f>
        <v>0</v>
      </c>
      <c r="J366" s="375">
        <f>0+'táj.2.'!J366</f>
        <v>0</v>
      </c>
      <c r="K366" s="375">
        <f>0+'táj.2.'!K366</f>
        <v>0</v>
      </c>
      <c r="L366" s="375">
        <f>800+'táj.2.'!L366</f>
        <v>800</v>
      </c>
      <c r="M366" s="375">
        <f>0+'táj.2.'!M366</f>
        <v>0</v>
      </c>
      <c r="N366" s="375">
        <f>0+'táj.2.'!N366</f>
        <v>0</v>
      </c>
      <c r="O366" s="375">
        <f>0+'táj.2.'!O366</f>
        <v>0</v>
      </c>
      <c r="P366" s="375">
        <f>0+'táj.2.'!P366</f>
        <v>0</v>
      </c>
      <c r="Q366" s="375">
        <f t="shared" si="22"/>
        <v>800</v>
      </c>
    </row>
    <row r="367" spans="1:17" ht="12.75" customHeight="1">
      <c r="A367" s="391"/>
      <c r="B367" s="391"/>
      <c r="C367" s="182" t="s">
        <v>483</v>
      </c>
      <c r="D367" s="548" t="s">
        <v>810</v>
      </c>
      <c r="E367" s="185"/>
      <c r="F367" s="658">
        <v>152322</v>
      </c>
      <c r="G367" s="375">
        <f>0+'táj.2.'!G367</f>
        <v>0</v>
      </c>
      <c r="H367" s="375">
        <f>0+'táj.2.'!H367</f>
        <v>0</v>
      </c>
      <c r="I367" s="375">
        <f>0+'táj.2.'!I367</f>
        <v>0</v>
      </c>
      <c r="J367" s="375">
        <f>0+'táj.2.'!J367</f>
        <v>0</v>
      </c>
      <c r="K367" s="375">
        <f>0+'táj.2.'!K367</f>
        <v>0</v>
      </c>
      <c r="L367" s="375">
        <f>700+'táj.2.'!L367</f>
        <v>700</v>
      </c>
      <c r="M367" s="375">
        <f>0+'táj.2.'!M367</f>
        <v>0</v>
      </c>
      <c r="N367" s="375">
        <f>0+'táj.2.'!N367</f>
        <v>0</v>
      </c>
      <c r="O367" s="375">
        <f>0+'táj.2.'!O367</f>
        <v>0</v>
      </c>
      <c r="P367" s="375">
        <f>0+'táj.2.'!P367</f>
        <v>0</v>
      </c>
      <c r="Q367" s="375">
        <f t="shared" si="22"/>
        <v>700</v>
      </c>
    </row>
    <row r="368" spans="1:17" ht="12.75" customHeight="1">
      <c r="A368" s="391"/>
      <c r="B368" s="391"/>
      <c r="C368" s="182" t="s">
        <v>318</v>
      </c>
      <c r="D368" s="549" t="s">
        <v>811</v>
      </c>
      <c r="E368" s="185"/>
      <c r="F368" s="658">
        <v>152323</v>
      </c>
      <c r="G368" s="375">
        <f>0+'táj.2.'!G368</f>
        <v>0</v>
      </c>
      <c r="H368" s="375">
        <f>0+'táj.2.'!H368</f>
        <v>0</v>
      </c>
      <c r="I368" s="375">
        <f>0+'táj.2.'!I368</f>
        <v>0</v>
      </c>
      <c r="J368" s="375">
        <f>0+'táj.2.'!J368</f>
        <v>0</v>
      </c>
      <c r="K368" s="375">
        <f>0+'táj.2.'!K368</f>
        <v>0</v>
      </c>
      <c r="L368" s="375">
        <f>2800+'táj.2.'!L368</f>
        <v>2800</v>
      </c>
      <c r="M368" s="375">
        <f>0+'táj.2.'!M368</f>
        <v>0</v>
      </c>
      <c r="N368" s="375">
        <f>0+'táj.2.'!N368</f>
        <v>0</v>
      </c>
      <c r="O368" s="375">
        <f>0+'táj.2.'!O368</f>
        <v>0</v>
      </c>
      <c r="P368" s="375">
        <f>0+'táj.2.'!P368</f>
        <v>0</v>
      </c>
      <c r="Q368" s="375">
        <f t="shared" si="22"/>
        <v>2800</v>
      </c>
    </row>
    <row r="369" spans="1:17" ht="12.75" customHeight="1">
      <c r="A369" s="391"/>
      <c r="B369" s="391"/>
      <c r="C369" s="182" t="s">
        <v>319</v>
      </c>
      <c r="D369" s="549" t="s">
        <v>812</v>
      </c>
      <c r="E369" s="185"/>
      <c r="F369" s="658">
        <v>152319</v>
      </c>
      <c r="G369" s="375">
        <f>0+'táj.2.'!G369</f>
        <v>0</v>
      </c>
      <c r="H369" s="375">
        <f>0+'táj.2.'!H369</f>
        <v>0</v>
      </c>
      <c r="I369" s="375">
        <f>0+'táj.2.'!I369</f>
        <v>0</v>
      </c>
      <c r="J369" s="375">
        <f>0+'táj.2.'!J369</f>
        <v>0</v>
      </c>
      <c r="K369" s="375">
        <f>0+'táj.2.'!K369</f>
        <v>0</v>
      </c>
      <c r="L369" s="375">
        <f>691+'táj.2.'!L369</f>
        <v>864</v>
      </c>
      <c r="M369" s="375">
        <f>0+'táj.2.'!M369</f>
        <v>0</v>
      </c>
      <c r="N369" s="375">
        <f>0+'táj.2.'!N369</f>
        <v>0</v>
      </c>
      <c r="O369" s="375">
        <f>0+'táj.2.'!O369</f>
        <v>0</v>
      </c>
      <c r="P369" s="375">
        <f>0+'táj.2.'!P369</f>
        <v>0</v>
      </c>
      <c r="Q369" s="375">
        <f t="shared" si="22"/>
        <v>864</v>
      </c>
    </row>
    <row r="370" spans="1:17" ht="12.75" customHeight="1">
      <c r="A370" s="391"/>
      <c r="B370" s="391"/>
      <c r="C370" s="182" t="s">
        <v>320</v>
      </c>
      <c r="D370" s="549" t="s">
        <v>813</v>
      </c>
      <c r="E370" s="185"/>
      <c r="F370" s="658">
        <v>152324</v>
      </c>
      <c r="G370" s="375">
        <f>0+'táj.2.'!G370</f>
        <v>0</v>
      </c>
      <c r="H370" s="375">
        <f>0+'táj.2.'!H370</f>
        <v>0</v>
      </c>
      <c r="I370" s="375">
        <f>0+'táj.2.'!I370</f>
        <v>0</v>
      </c>
      <c r="J370" s="375">
        <f>0+'táj.2.'!J370</f>
        <v>0</v>
      </c>
      <c r="K370" s="375">
        <f>0+'táj.2.'!K370</f>
        <v>0</v>
      </c>
      <c r="L370" s="375">
        <f>150+'táj.2.'!L370</f>
        <v>150</v>
      </c>
      <c r="M370" s="375">
        <f>0+'táj.2.'!M370</f>
        <v>0</v>
      </c>
      <c r="N370" s="375">
        <f>0+'táj.2.'!N370</f>
        <v>0</v>
      </c>
      <c r="O370" s="375">
        <f>0+'táj.2.'!O370</f>
        <v>0</v>
      </c>
      <c r="P370" s="375">
        <f>0+'táj.2.'!P370</f>
        <v>0</v>
      </c>
      <c r="Q370" s="375">
        <f t="shared" si="22"/>
        <v>150</v>
      </c>
    </row>
    <row r="371" spans="1:17" ht="12.75" customHeight="1">
      <c r="A371" s="391"/>
      <c r="B371" s="391"/>
      <c r="C371" s="391"/>
      <c r="D371" s="24" t="s">
        <v>198</v>
      </c>
      <c r="E371" s="185"/>
      <c r="F371" s="658"/>
      <c r="G371" s="375"/>
      <c r="H371" s="374"/>
      <c r="I371" s="374"/>
      <c r="J371" s="374"/>
      <c r="K371" s="374"/>
      <c r="L371" s="375"/>
      <c r="M371" s="375"/>
      <c r="N371" s="375"/>
      <c r="O371" s="374"/>
      <c r="P371" s="374"/>
      <c r="Q371" s="375"/>
    </row>
    <row r="372" spans="1:17" ht="12.75" customHeight="1">
      <c r="A372" s="391"/>
      <c r="B372" s="391"/>
      <c r="C372" s="182" t="s">
        <v>765</v>
      </c>
      <c r="D372" s="118" t="s">
        <v>764</v>
      </c>
      <c r="E372" s="185"/>
      <c r="F372" s="658">
        <v>152315</v>
      </c>
      <c r="G372" s="375">
        <f>0+'táj.2.'!G372</f>
        <v>0</v>
      </c>
      <c r="H372" s="375">
        <f>0+'táj.2.'!H372</f>
        <v>0</v>
      </c>
      <c r="I372" s="375">
        <f>0+'táj.2.'!I372</f>
        <v>0</v>
      </c>
      <c r="J372" s="375">
        <f>0+'táj.2.'!J372</f>
        <v>0</v>
      </c>
      <c r="K372" s="375">
        <f>0+'táj.2.'!K372</f>
        <v>0</v>
      </c>
      <c r="L372" s="375">
        <f>11765+'táj.2.'!L372</f>
        <v>11765</v>
      </c>
      <c r="M372" s="375">
        <f>0+'táj.2.'!M372</f>
        <v>0</v>
      </c>
      <c r="N372" s="375">
        <f>0+'táj.2.'!N372</f>
        <v>0</v>
      </c>
      <c r="O372" s="375">
        <f>0+'táj.2.'!O372</f>
        <v>0</v>
      </c>
      <c r="P372" s="375">
        <f>0+'táj.2.'!P372</f>
        <v>0</v>
      </c>
      <c r="Q372" s="375">
        <f>SUM(G372:P372)</f>
        <v>11765</v>
      </c>
    </row>
    <row r="373" spans="1:17" ht="12.75" customHeight="1">
      <c r="A373" s="391"/>
      <c r="B373" s="391"/>
      <c r="C373" s="391" t="s">
        <v>629</v>
      </c>
      <c r="D373" s="543" t="s">
        <v>814</v>
      </c>
      <c r="E373" s="185"/>
      <c r="F373" s="658"/>
      <c r="G373" s="375"/>
      <c r="H373" s="374"/>
      <c r="I373" s="374"/>
      <c r="J373" s="374"/>
      <c r="K373" s="374"/>
      <c r="L373" s="375"/>
      <c r="M373" s="375"/>
      <c r="N373" s="375"/>
      <c r="O373" s="374"/>
      <c r="P373" s="374"/>
      <c r="Q373" s="375"/>
    </row>
    <row r="374" spans="1:17" ht="12.75" customHeight="1">
      <c r="A374" s="391"/>
      <c r="B374" s="391"/>
      <c r="C374" s="182" t="s">
        <v>635</v>
      </c>
      <c r="D374" s="395" t="s">
        <v>815</v>
      </c>
      <c r="E374" s="185"/>
      <c r="F374" s="658">
        <v>152443</v>
      </c>
      <c r="G374" s="375">
        <f>0+'táj.2.'!G374</f>
        <v>0</v>
      </c>
      <c r="H374" s="375">
        <f>0+'táj.2.'!H374</f>
        <v>0</v>
      </c>
      <c r="I374" s="375">
        <f>0+'táj.2.'!I374</f>
        <v>0</v>
      </c>
      <c r="J374" s="375">
        <f>0+'táj.2.'!J374</f>
        <v>0</v>
      </c>
      <c r="K374" s="375">
        <f>0+'táj.2.'!K374</f>
        <v>0</v>
      </c>
      <c r="L374" s="375">
        <f>1200+'táj.2.'!L374</f>
        <v>1200</v>
      </c>
      <c r="M374" s="375">
        <f>0+'táj.2.'!M374</f>
        <v>0</v>
      </c>
      <c r="N374" s="375">
        <f>0+'táj.2.'!N374</f>
        <v>0</v>
      </c>
      <c r="O374" s="375">
        <f>0+'táj.2.'!O374</f>
        <v>0</v>
      </c>
      <c r="P374" s="375">
        <f>0+'táj.2.'!P374</f>
        <v>0</v>
      </c>
      <c r="Q374" s="375">
        <f aca="true" t="shared" si="23" ref="Q374:Q424">SUM(G374:P374)</f>
        <v>1200</v>
      </c>
    </row>
    <row r="375" spans="1:17" ht="12.75" customHeight="1">
      <c r="A375" s="391"/>
      <c r="B375" s="391"/>
      <c r="C375" s="182" t="s">
        <v>636</v>
      </c>
      <c r="D375" s="550" t="s">
        <v>1165</v>
      </c>
      <c r="E375" s="185"/>
      <c r="F375" s="658">
        <v>152444</v>
      </c>
      <c r="G375" s="375">
        <f>0+'táj.2.'!G375</f>
        <v>0</v>
      </c>
      <c r="H375" s="375">
        <f>0+'táj.2.'!H375</f>
        <v>0</v>
      </c>
      <c r="I375" s="375">
        <f>0+'táj.2.'!I375</f>
        <v>0</v>
      </c>
      <c r="J375" s="375">
        <f>0+'táj.2.'!J375</f>
        <v>0</v>
      </c>
      <c r="K375" s="375">
        <f>0+'táj.2.'!K375</f>
        <v>0</v>
      </c>
      <c r="L375" s="375">
        <f>2000+'táj.2.'!L375</f>
        <v>2000</v>
      </c>
      <c r="M375" s="375">
        <f>0+'táj.2.'!M375</f>
        <v>0</v>
      </c>
      <c r="N375" s="375">
        <f>0+'táj.2.'!N375</f>
        <v>0</v>
      </c>
      <c r="O375" s="375">
        <f>0+'táj.2.'!O375</f>
        <v>0</v>
      </c>
      <c r="P375" s="375">
        <f>0+'táj.2.'!P375</f>
        <v>0</v>
      </c>
      <c r="Q375" s="375">
        <f t="shared" si="23"/>
        <v>2000</v>
      </c>
    </row>
    <row r="376" spans="1:17" ht="22.5" customHeight="1">
      <c r="A376" s="391"/>
      <c r="B376" s="391"/>
      <c r="C376" s="182" t="s">
        <v>637</v>
      </c>
      <c r="D376" s="392" t="s">
        <v>1300</v>
      </c>
      <c r="E376" s="185"/>
      <c r="F376" s="658">
        <v>152445</v>
      </c>
      <c r="G376" s="375">
        <f>0+'táj.2.'!G376</f>
        <v>0</v>
      </c>
      <c r="H376" s="375">
        <f>0+'táj.2.'!H376</f>
        <v>0</v>
      </c>
      <c r="I376" s="375">
        <f>0+'táj.2.'!I376</f>
        <v>0</v>
      </c>
      <c r="J376" s="375">
        <f>0+'táj.2.'!J376</f>
        <v>0</v>
      </c>
      <c r="K376" s="375">
        <f>0+'táj.2.'!K376</f>
        <v>0</v>
      </c>
      <c r="L376" s="375">
        <f>0+'táj.2.'!L376</f>
        <v>0</v>
      </c>
      <c r="M376" s="375">
        <f>0+'táj.2.'!M376</f>
        <v>0</v>
      </c>
      <c r="N376" s="375">
        <f>10000+'táj.2.'!N376</f>
        <v>10000</v>
      </c>
      <c r="O376" s="375">
        <f>0+'táj.2.'!O376</f>
        <v>0</v>
      </c>
      <c r="P376" s="375">
        <f>0+'táj.2.'!P376</f>
        <v>0</v>
      </c>
      <c r="Q376" s="375">
        <f t="shared" si="23"/>
        <v>10000</v>
      </c>
    </row>
    <row r="377" spans="1:17" ht="12.75" customHeight="1">
      <c r="A377" s="391"/>
      <c r="B377" s="391"/>
      <c r="C377" s="182" t="s">
        <v>638</v>
      </c>
      <c r="D377" s="118" t="s">
        <v>821</v>
      </c>
      <c r="E377" s="185"/>
      <c r="F377" s="658">
        <v>152446</v>
      </c>
      <c r="G377" s="375">
        <f>0+'táj.2.'!G377</f>
        <v>0</v>
      </c>
      <c r="H377" s="375">
        <f>0+'táj.2.'!H377</f>
        <v>0</v>
      </c>
      <c r="I377" s="375">
        <f>0+'táj.2.'!I377</f>
        <v>0</v>
      </c>
      <c r="J377" s="375">
        <f>0+'táj.2.'!J377</f>
        <v>0</v>
      </c>
      <c r="K377" s="375">
        <f>0+'táj.2.'!K377</f>
        <v>0</v>
      </c>
      <c r="L377" s="375">
        <f>9348+'táj.2.'!L377</f>
        <v>9348</v>
      </c>
      <c r="M377" s="375">
        <f>0+'táj.2.'!M377</f>
        <v>0</v>
      </c>
      <c r="N377" s="375">
        <f>0+'táj.2.'!N377</f>
        <v>0</v>
      </c>
      <c r="O377" s="375">
        <f>0+'táj.2.'!O377</f>
        <v>0</v>
      </c>
      <c r="P377" s="375">
        <f>0+'táj.2.'!P377</f>
        <v>0</v>
      </c>
      <c r="Q377" s="375">
        <f t="shared" si="23"/>
        <v>9348</v>
      </c>
    </row>
    <row r="378" spans="1:17" ht="12.75" customHeight="1">
      <c r="A378" s="391"/>
      <c r="B378" s="391"/>
      <c r="C378" s="182" t="s">
        <v>639</v>
      </c>
      <c r="D378" s="551" t="s">
        <v>822</v>
      </c>
      <c r="E378" s="185"/>
      <c r="F378" s="658">
        <v>154401</v>
      </c>
      <c r="G378" s="375">
        <f>0+'táj.2.'!G378</f>
        <v>0</v>
      </c>
      <c r="H378" s="375">
        <f>0+'táj.2.'!H378</f>
        <v>0</v>
      </c>
      <c r="I378" s="375">
        <f>0+'táj.2.'!I378</f>
        <v>0</v>
      </c>
      <c r="J378" s="375">
        <f>0+'táj.2.'!J378</f>
        <v>0</v>
      </c>
      <c r="K378" s="375">
        <f>0+'táj.2.'!K378</f>
        <v>0</v>
      </c>
      <c r="L378" s="375">
        <f>0+'táj.2.'!L378</f>
        <v>0</v>
      </c>
      <c r="M378" s="375">
        <f>6000+'táj.2.'!M378</f>
        <v>6000</v>
      </c>
      <c r="N378" s="375">
        <f>0+'táj.2.'!N378</f>
        <v>0</v>
      </c>
      <c r="O378" s="375">
        <f>0+'táj.2.'!O378</f>
        <v>0</v>
      </c>
      <c r="P378" s="375">
        <f>0+'táj.2.'!P378</f>
        <v>0</v>
      </c>
      <c r="Q378" s="375">
        <f t="shared" si="23"/>
        <v>6000</v>
      </c>
    </row>
    <row r="379" spans="1:17" ht="12.75" customHeight="1">
      <c r="A379" s="391"/>
      <c r="B379" s="391"/>
      <c r="C379" s="182" t="s">
        <v>640</v>
      </c>
      <c r="D379" s="552" t="s">
        <v>823</v>
      </c>
      <c r="E379" s="185"/>
      <c r="F379" s="658">
        <v>154402</v>
      </c>
      <c r="G379" s="375">
        <f>0+'táj.2.'!G379</f>
        <v>0</v>
      </c>
      <c r="H379" s="375">
        <f>0+'táj.2.'!H379</f>
        <v>0</v>
      </c>
      <c r="I379" s="375">
        <f>0+'táj.2.'!I379</f>
        <v>0</v>
      </c>
      <c r="J379" s="375">
        <f>0+'táj.2.'!J379</f>
        <v>0</v>
      </c>
      <c r="K379" s="375">
        <f>0+'táj.2.'!K379</f>
        <v>0</v>
      </c>
      <c r="L379" s="375">
        <f>0+'táj.2.'!L379</f>
        <v>0</v>
      </c>
      <c r="M379" s="375">
        <f>1000+'táj.2.'!M379</f>
        <v>1000</v>
      </c>
      <c r="N379" s="375">
        <f>0+'táj.2.'!N379</f>
        <v>0</v>
      </c>
      <c r="O379" s="375">
        <f>0+'táj.2.'!O379</f>
        <v>0</v>
      </c>
      <c r="P379" s="375">
        <f>0+'táj.2.'!P379</f>
        <v>0</v>
      </c>
      <c r="Q379" s="375">
        <f t="shared" si="23"/>
        <v>1000</v>
      </c>
    </row>
    <row r="380" spans="1:17" ht="12.75" customHeight="1">
      <c r="A380" s="391"/>
      <c r="B380" s="391"/>
      <c r="C380" s="182" t="s">
        <v>641</v>
      </c>
      <c r="D380" s="411" t="s">
        <v>824</v>
      </c>
      <c r="E380" s="185"/>
      <c r="F380" s="658">
        <v>154403</v>
      </c>
      <c r="G380" s="375">
        <f>0+'táj.2.'!G380</f>
        <v>0</v>
      </c>
      <c r="H380" s="375">
        <f>0+'táj.2.'!H380</f>
        <v>0</v>
      </c>
      <c r="I380" s="375">
        <f>0+'táj.2.'!I380</f>
        <v>0</v>
      </c>
      <c r="J380" s="375">
        <f>0+'táj.2.'!J380</f>
        <v>0</v>
      </c>
      <c r="K380" s="375">
        <f>0+'táj.2.'!K380</f>
        <v>0</v>
      </c>
      <c r="L380" s="375">
        <f>0+'táj.2.'!L380</f>
        <v>0</v>
      </c>
      <c r="M380" s="375">
        <f>10000+'táj.2.'!M380</f>
        <v>10000</v>
      </c>
      <c r="N380" s="375">
        <f>0+'táj.2.'!N380</f>
        <v>0</v>
      </c>
      <c r="O380" s="375">
        <f>0+'táj.2.'!O380</f>
        <v>0</v>
      </c>
      <c r="P380" s="375">
        <f>0+'táj.2.'!P380</f>
        <v>0</v>
      </c>
      <c r="Q380" s="375">
        <f t="shared" si="23"/>
        <v>10000</v>
      </c>
    </row>
    <row r="381" spans="1:17" ht="12.75" customHeight="1">
      <c r="A381" s="391"/>
      <c r="B381" s="391"/>
      <c r="C381" s="182" t="s">
        <v>661</v>
      </c>
      <c r="D381" s="552" t="s">
        <v>825</v>
      </c>
      <c r="E381" s="185"/>
      <c r="F381" s="658">
        <v>154404</v>
      </c>
      <c r="G381" s="375">
        <f>0+'táj.2.'!G381</f>
        <v>0</v>
      </c>
      <c r="H381" s="375">
        <f>0+'táj.2.'!H381</f>
        <v>0</v>
      </c>
      <c r="I381" s="375">
        <f>0+'táj.2.'!I381</f>
        <v>0</v>
      </c>
      <c r="J381" s="375">
        <f>0+'táj.2.'!J381</f>
        <v>0</v>
      </c>
      <c r="K381" s="375">
        <f>0+'táj.2.'!K381</f>
        <v>0</v>
      </c>
      <c r="L381" s="375">
        <f>0+'táj.2.'!L381</f>
        <v>0</v>
      </c>
      <c r="M381" s="375">
        <f>1000+'táj.2.'!M381</f>
        <v>1000</v>
      </c>
      <c r="N381" s="375">
        <f>0+'táj.2.'!N381</f>
        <v>0</v>
      </c>
      <c r="O381" s="375">
        <f>0+'táj.2.'!O381</f>
        <v>0</v>
      </c>
      <c r="P381" s="375">
        <f>0+'táj.2.'!P381</f>
        <v>0</v>
      </c>
      <c r="Q381" s="375">
        <f t="shared" si="23"/>
        <v>1000</v>
      </c>
    </row>
    <row r="382" spans="1:17" ht="12.75" customHeight="1">
      <c r="A382" s="391"/>
      <c r="B382" s="391"/>
      <c r="C382" s="182" t="s">
        <v>662</v>
      </c>
      <c r="D382" s="552" t="s">
        <v>826</v>
      </c>
      <c r="E382" s="185"/>
      <c r="F382" s="658">
        <v>154405</v>
      </c>
      <c r="G382" s="375">
        <f>0+'táj.2.'!G382</f>
        <v>0</v>
      </c>
      <c r="H382" s="375">
        <f>0+'táj.2.'!H382</f>
        <v>0</v>
      </c>
      <c r="I382" s="375">
        <f>0+'táj.2.'!I382</f>
        <v>0</v>
      </c>
      <c r="J382" s="375">
        <f>0+'táj.2.'!J382</f>
        <v>0</v>
      </c>
      <c r="K382" s="375">
        <f>0+'táj.2.'!K382</f>
        <v>0</v>
      </c>
      <c r="L382" s="375">
        <f>0+'táj.2.'!L382</f>
        <v>0</v>
      </c>
      <c r="M382" s="375">
        <f>7200+'táj.2.'!M382</f>
        <v>7200</v>
      </c>
      <c r="N382" s="375">
        <f>0+'táj.2.'!N382</f>
        <v>0</v>
      </c>
      <c r="O382" s="375">
        <f>0+'táj.2.'!O382</f>
        <v>0</v>
      </c>
      <c r="P382" s="375">
        <f>0+'táj.2.'!P382</f>
        <v>0</v>
      </c>
      <c r="Q382" s="375">
        <f t="shared" si="23"/>
        <v>7200</v>
      </c>
    </row>
    <row r="383" spans="1:17" ht="12.75" customHeight="1">
      <c r="A383" s="391"/>
      <c r="B383" s="391"/>
      <c r="C383" s="182" t="s">
        <v>663</v>
      </c>
      <c r="D383" s="552" t="s">
        <v>827</v>
      </c>
      <c r="E383" s="185"/>
      <c r="F383" s="658">
        <v>154406</v>
      </c>
      <c r="G383" s="375">
        <f>0+'táj.2.'!G383</f>
        <v>0</v>
      </c>
      <c r="H383" s="375">
        <f>0+'táj.2.'!H383</f>
        <v>0</v>
      </c>
      <c r="I383" s="375">
        <f>0+'táj.2.'!I383</f>
        <v>0</v>
      </c>
      <c r="J383" s="375">
        <f>0+'táj.2.'!J383</f>
        <v>0</v>
      </c>
      <c r="K383" s="375">
        <f>0+'táj.2.'!K383</f>
        <v>0</v>
      </c>
      <c r="L383" s="375">
        <f>0+'táj.2.'!L383</f>
        <v>0</v>
      </c>
      <c r="M383" s="375">
        <f>2000+'táj.2.'!M383</f>
        <v>2000</v>
      </c>
      <c r="N383" s="375">
        <f>0+'táj.2.'!N383</f>
        <v>0</v>
      </c>
      <c r="O383" s="375">
        <f>0+'táj.2.'!O383</f>
        <v>0</v>
      </c>
      <c r="P383" s="375">
        <f>0+'táj.2.'!P383</f>
        <v>0</v>
      </c>
      <c r="Q383" s="375">
        <f t="shared" si="23"/>
        <v>2000</v>
      </c>
    </row>
    <row r="384" spans="1:17" ht="21" customHeight="1">
      <c r="A384" s="391"/>
      <c r="B384" s="391"/>
      <c r="C384" s="182" t="s">
        <v>664</v>
      </c>
      <c r="D384" s="552" t="s">
        <v>828</v>
      </c>
      <c r="E384" s="185"/>
      <c r="F384" s="658">
        <v>154407</v>
      </c>
      <c r="G384" s="375">
        <f>0+'táj.2.'!G384</f>
        <v>0</v>
      </c>
      <c r="H384" s="375">
        <f>0+'táj.2.'!H384</f>
        <v>0</v>
      </c>
      <c r="I384" s="375">
        <f>0+'táj.2.'!I384</f>
        <v>0</v>
      </c>
      <c r="J384" s="375">
        <f>0+'táj.2.'!J384</f>
        <v>0</v>
      </c>
      <c r="K384" s="375">
        <f>0+'táj.2.'!K384</f>
        <v>0</v>
      </c>
      <c r="L384" s="375">
        <f>0+'táj.2.'!L384</f>
        <v>0</v>
      </c>
      <c r="M384" s="375">
        <f>2500+'táj.2.'!M384</f>
        <v>2500</v>
      </c>
      <c r="N384" s="375">
        <f>0+'táj.2.'!N384</f>
        <v>0</v>
      </c>
      <c r="O384" s="375">
        <f>0+'táj.2.'!O384</f>
        <v>0</v>
      </c>
      <c r="P384" s="375">
        <f>0+'táj.2.'!P384</f>
        <v>0</v>
      </c>
      <c r="Q384" s="375">
        <f t="shared" si="23"/>
        <v>2500</v>
      </c>
    </row>
    <row r="385" spans="1:17" ht="12.75" customHeight="1">
      <c r="A385" s="391"/>
      <c r="B385" s="391"/>
      <c r="C385" s="182" t="s">
        <v>665</v>
      </c>
      <c r="D385" s="552" t="s">
        <v>832</v>
      </c>
      <c r="E385" s="185"/>
      <c r="F385" s="658">
        <v>154408</v>
      </c>
      <c r="G385" s="375">
        <f>0+'táj.2.'!G385</f>
        <v>0</v>
      </c>
      <c r="H385" s="375">
        <f>0+'táj.2.'!H385</f>
        <v>0</v>
      </c>
      <c r="I385" s="375">
        <f>0+'táj.2.'!I385</f>
        <v>0</v>
      </c>
      <c r="J385" s="375">
        <f>0+'táj.2.'!J385</f>
        <v>0</v>
      </c>
      <c r="K385" s="375">
        <f>0+'táj.2.'!K385</f>
        <v>0</v>
      </c>
      <c r="L385" s="375">
        <f>0+'táj.2.'!L385</f>
        <v>0</v>
      </c>
      <c r="M385" s="375">
        <f>2000+'táj.2.'!M385</f>
        <v>2000</v>
      </c>
      <c r="N385" s="375">
        <f>0+'táj.2.'!N385</f>
        <v>0</v>
      </c>
      <c r="O385" s="375">
        <f>0+'táj.2.'!O385</f>
        <v>0</v>
      </c>
      <c r="P385" s="375">
        <f>0+'táj.2.'!P385</f>
        <v>0</v>
      </c>
      <c r="Q385" s="375">
        <f t="shared" si="23"/>
        <v>2000</v>
      </c>
    </row>
    <row r="386" spans="1:17" ht="12.75" customHeight="1">
      <c r="A386" s="391"/>
      <c r="B386" s="391"/>
      <c r="C386" s="182" t="s">
        <v>666</v>
      </c>
      <c r="D386" s="552" t="s">
        <v>833</v>
      </c>
      <c r="E386" s="185"/>
      <c r="F386" s="658">
        <v>154409</v>
      </c>
      <c r="G386" s="375">
        <f>0+'táj.2.'!G386</f>
        <v>0</v>
      </c>
      <c r="H386" s="375">
        <f>0+'táj.2.'!H386</f>
        <v>0</v>
      </c>
      <c r="I386" s="375">
        <f>0+'táj.2.'!I386</f>
        <v>0</v>
      </c>
      <c r="J386" s="375">
        <f>0+'táj.2.'!J386</f>
        <v>0</v>
      </c>
      <c r="K386" s="375">
        <f>0+'táj.2.'!K386</f>
        <v>0</v>
      </c>
      <c r="L386" s="375">
        <f>0+'táj.2.'!L386</f>
        <v>0</v>
      </c>
      <c r="M386" s="375">
        <f>3000+'táj.2.'!M386</f>
        <v>3000</v>
      </c>
      <c r="N386" s="375">
        <f>0+'táj.2.'!N386</f>
        <v>0</v>
      </c>
      <c r="O386" s="375">
        <f>0+'táj.2.'!O386</f>
        <v>0</v>
      </c>
      <c r="P386" s="375">
        <f>0+'táj.2.'!P386</f>
        <v>0</v>
      </c>
      <c r="Q386" s="375">
        <f t="shared" si="23"/>
        <v>3000</v>
      </c>
    </row>
    <row r="387" spans="1:17" ht="12.75" customHeight="1">
      <c r="A387" s="391"/>
      <c r="B387" s="391"/>
      <c r="C387" s="182" t="s">
        <v>667</v>
      </c>
      <c r="D387" s="552" t="s">
        <v>560</v>
      </c>
      <c r="E387" s="185"/>
      <c r="F387" s="658">
        <v>154485</v>
      </c>
      <c r="G387" s="375">
        <f>0+'táj.2.'!G387</f>
        <v>0</v>
      </c>
      <c r="H387" s="375">
        <f>0+'táj.2.'!H387</f>
        <v>0</v>
      </c>
      <c r="I387" s="375">
        <f>0+'táj.2.'!I387</f>
        <v>0</v>
      </c>
      <c r="J387" s="375">
        <f>0+'táj.2.'!J387</f>
        <v>0</v>
      </c>
      <c r="K387" s="375">
        <f>0+'táj.2.'!K387</f>
        <v>0</v>
      </c>
      <c r="L387" s="375">
        <f>0+'táj.2.'!L387</f>
        <v>0</v>
      </c>
      <c r="M387" s="375">
        <f>10000+'táj.2.'!M387</f>
        <v>4658</v>
      </c>
      <c r="N387" s="375">
        <f>0+'táj.2.'!N387</f>
        <v>0</v>
      </c>
      <c r="O387" s="375">
        <f>0+'táj.2.'!O387</f>
        <v>0</v>
      </c>
      <c r="P387" s="375">
        <f>0+'táj.2.'!P387</f>
        <v>0</v>
      </c>
      <c r="Q387" s="375">
        <f t="shared" si="23"/>
        <v>4658</v>
      </c>
    </row>
    <row r="388" spans="1:17" ht="12.75" customHeight="1">
      <c r="A388" s="391"/>
      <c r="B388" s="391"/>
      <c r="C388" s="182" t="s">
        <v>668</v>
      </c>
      <c r="D388" s="553" t="s">
        <v>1250</v>
      </c>
      <c r="E388" s="185"/>
      <c r="F388" s="658">
        <v>154492</v>
      </c>
      <c r="G388" s="375">
        <f>0+'táj.2.'!G388</f>
        <v>0</v>
      </c>
      <c r="H388" s="375">
        <f>0+'táj.2.'!H388</f>
        <v>0</v>
      </c>
      <c r="I388" s="375">
        <f>0+'táj.2.'!I388</f>
        <v>0</v>
      </c>
      <c r="J388" s="375">
        <f>0+'táj.2.'!J388</f>
        <v>0</v>
      </c>
      <c r="K388" s="375">
        <f>0+'táj.2.'!K388</f>
        <v>0</v>
      </c>
      <c r="L388" s="375">
        <f>0+'táj.2.'!L388</f>
        <v>0</v>
      </c>
      <c r="M388" s="375">
        <f>4000+'táj.2.'!M388</f>
        <v>6383</v>
      </c>
      <c r="N388" s="375">
        <f>0+'táj.2.'!N388</f>
        <v>0</v>
      </c>
      <c r="O388" s="375">
        <f>0+'táj.2.'!O388</f>
        <v>0</v>
      </c>
      <c r="P388" s="375">
        <f>0+'táj.2.'!P388</f>
        <v>0</v>
      </c>
      <c r="Q388" s="375">
        <f t="shared" si="23"/>
        <v>6383</v>
      </c>
    </row>
    <row r="389" spans="1:17" ht="12.75" customHeight="1">
      <c r="A389" s="391"/>
      <c r="B389" s="391"/>
      <c r="C389" s="182" t="s">
        <v>614</v>
      </c>
      <c r="D389" s="392" t="s">
        <v>834</v>
      </c>
      <c r="E389" s="185"/>
      <c r="F389" s="658">
        <v>154410</v>
      </c>
      <c r="G389" s="375">
        <f>0+'táj.2.'!G389</f>
        <v>0</v>
      </c>
      <c r="H389" s="375">
        <f>0+'táj.2.'!H389</f>
        <v>0</v>
      </c>
      <c r="I389" s="375">
        <f>0+'táj.2.'!I389</f>
        <v>0</v>
      </c>
      <c r="J389" s="375">
        <f>0+'táj.2.'!J389</f>
        <v>0</v>
      </c>
      <c r="K389" s="375">
        <f>0+'táj.2.'!K389</f>
        <v>0</v>
      </c>
      <c r="L389" s="375">
        <f>0+'táj.2.'!L389</f>
        <v>0</v>
      </c>
      <c r="M389" s="375">
        <f>1000+'táj.2.'!M389</f>
        <v>1500</v>
      </c>
      <c r="N389" s="375">
        <f>0+'táj.2.'!N389</f>
        <v>0</v>
      </c>
      <c r="O389" s="375">
        <f>0+'táj.2.'!O389</f>
        <v>0</v>
      </c>
      <c r="P389" s="375">
        <f>0+'táj.2.'!P389</f>
        <v>0</v>
      </c>
      <c r="Q389" s="375">
        <f t="shared" si="23"/>
        <v>1500</v>
      </c>
    </row>
    <row r="390" spans="1:17" ht="12.75" customHeight="1">
      <c r="A390" s="391"/>
      <c r="B390" s="391"/>
      <c r="C390" s="182" t="s">
        <v>615</v>
      </c>
      <c r="D390" s="392" t="s">
        <v>835</v>
      </c>
      <c r="E390" s="185"/>
      <c r="F390" s="658">
        <v>154411</v>
      </c>
      <c r="G390" s="375">
        <f>0+'táj.2.'!G390</f>
        <v>0</v>
      </c>
      <c r="H390" s="375">
        <f>0+'táj.2.'!H390</f>
        <v>0</v>
      </c>
      <c r="I390" s="375">
        <f>0+'táj.2.'!I390</f>
        <v>0</v>
      </c>
      <c r="J390" s="375">
        <f>0+'táj.2.'!J390</f>
        <v>0</v>
      </c>
      <c r="K390" s="375">
        <f>0+'táj.2.'!K390</f>
        <v>0</v>
      </c>
      <c r="L390" s="375">
        <f>0+'táj.2.'!L390</f>
        <v>0</v>
      </c>
      <c r="M390" s="375">
        <f>5000+'táj.2.'!M390</f>
        <v>4923</v>
      </c>
      <c r="N390" s="375">
        <f>0+'táj.2.'!N390</f>
        <v>0</v>
      </c>
      <c r="O390" s="375">
        <f>0+'táj.2.'!O390</f>
        <v>0</v>
      </c>
      <c r="P390" s="375">
        <f>0+'táj.2.'!P390</f>
        <v>0</v>
      </c>
      <c r="Q390" s="375">
        <f t="shared" si="23"/>
        <v>4923</v>
      </c>
    </row>
    <row r="391" spans="1:17" ht="15.75" customHeight="1">
      <c r="A391" s="391"/>
      <c r="B391" s="391"/>
      <c r="C391" s="182" t="s">
        <v>616</v>
      </c>
      <c r="D391" s="552" t="s">
        <v>836</v>
      </c>
      <c r="E391" s="185"/>
      <c r="F391" s="658">
        <v>154412</v>
      </c>
      <c r="G391" s="375">
        <f>0+'táj.2.'!G391</f>
        <v>0</v>
      </c>
      <c r="H391" s="375">
        <f>0+'táj.2.'!H391</f>
        <v>0</v>
      </c>
      <c r="I391" s="375">
        <f>0+'táj.2.'!I391</f>
        <v>0</v>
      </c>
      <c r="J391" s="375">
        <f>0+'táj.2.'!J391</f>
        <v>0</v>
      </c>
      <c r="K391" s="375">
        <f>0+'táj.2.'!K391</f>
        <v>0</v>
      </c>
      <c r="L391" s="375">
        <f>0+'táj.2.'!L391</f>
        <v>0</v>
      </c>
      <c r="M391" s="375">
        <f>10000+'táj.2.'!M391</f>
        <v>7236</v>
      </c>
      <c r="N391" s="375">
        <f>0+'táj.2.'!N391</f>
        <v>0</v>
      </c>
      <c r="O391" s="375">
        <f>0+'táj.2.'!O391</f>
        <v>0</v>
      </c>
      <c r="P391" s="375">
        <f>0+'táj.2.'!P391</f>
        <v>0</v>
      </c>
      <c r="Q391" s="375">
        <f t="shared" si="23"/>
        <v>7236</v>
      </c>
    </row>
    <row r="392" spans="1:17" ht="12.75" customHeight="1">
      <c r="A392" s="391"/>
      <c r="B392" s="391"/>
      <c r="C392" s="182" t="s">
        <v>617</v>
      </c>
      <c r="D392" s="554" t="s">
        <v>1166</v>
      </c>
      <c r="E392" s="185"/>
      <c r="F392" s="658">
        <v>154413</v>
      </c>
      <c r="G392" s="375">
        <f>0+'táj.2.'!G392</f>
        <v>0</v>
      </c>
      <c r="H392" s="375">
        <f>0+'táj.2.'!H392</f>
        <v>0</v>
      </c>
      <c r="I392" s="375">
        <f>0+'táj.2.'!I392</f>
        <v>0</v>
      </c>
      <c r="J392" s="375">
        <f>0+'táj.2.'!J392</f>
        <v>0</v>
      </c>
      <c r="K392" s="375">
        <f>0+'táj.2.'!K392</f>
        <v>0</v>
      </c>
      <c r="L392" s="375">
        <f>0+'táj.2.'!L392</f>
        <v>0</v>
      </c>
      <c r="M392" s="375">
        <f>2000+'táj.2.'!M392</f>
        <v>2000</v>
      </c>
      <c r="N392" s="375">
        <f>0+'táj.2.'!N392</f>
        <v>0</v>
      </c>
      <c r="O392" s="375">
        <f>0+'táj.2.'!O392</f>
        <v>0</v>
      </c>
      <c r="P392" s="375">
        <f>0+'táj.2.'!P392</f>
        <v>0</v>
      </c>
      <c r="Q392" s="375">
        <f t="shared" si="23"/>
        <v>2000</v>
      </c>
    </row>
    <row r="393" spans="1:17" ht="12.75" customHeight="1">
      <c r="A393" s="391"/>
      <c r="B393" s="391"/>
      <c r="C393" s="182" t="s">
        <v>618</v>
      </c>
      <c r="D393" s="554" t="s">
        <v>838</v>
      </c>
      <c r="E393" s="185"/>
      <c r="F393" s="658">
        <v>154414</v>
      </c>
      <c r="G393" s="375">
        <f>0+'táj.2.'!G393</f>
        <v>0</v>
      </c>
      <c r="H393" s="375">
        <f>0+'táj.2.'!H393</f>
        <v>0</v>
      </c>
      <c r="I393" s="375">
        <f>0+'táj.2.'!I393</f>
        <v>0</v>
      </c>
      <c r="J393" s="375">
        <f>0+'táj.2.'!J393</f>
        <v>0</v>
      </c>
      <c r="K393" s="375">
        <f>0+'táj.2.'!K393</f>
        <v>0</v>
      </c>
      <c r="L393" s="375">
        <f>0+'táj.2.'!L393</f>
        <v>0</v>
      </c>
      <c r="M393" s="375">
        <f>500+'táj.2.'!M393</f>
        <v>500</v>
      </c>
      <c r="N393" s="375">
        <f>0+'táj.2.'!N393</f>
        <v>0</v>
      </c>
      <c r="O393" s="375">
        <f>0+'táj.2.'!O393</f>
        <v>0</v>
      </c>
      <c r="P393" s="375">
        <f>0+'táj.2.'!P393</f>
        <v>0</v>
      </c>
      <c r="Q393" s="375">
        <f t="shared" si="23"/>
        <v>500</v>
      </c>
    </row>
    <row r="394" spans="1:17" ht="12.75" customHeight="1">
      <c r="A394" s="391"/>
      <c r="B394" s="391"/>
      <c r="C394" s="182" t="s">
        <v>619</v>
      </c>
      <c r="D394" s="554" t="s">
        <v>839</v>
      </c>
      <c r="E394" s="185"/>
      <c r="F394" s="658">
        <v>154416</v>
      </c>
      <c r="G394" s="375">
        <f>0+'táj.2.'!G394</f>
        <v>0</v>
      </c>
      <c r="H394" s="375">
        <f>0+'táj.2.'!H394</f>
        <v>0</v>
      </c>
      <c r="I394" s="375">
        <f>0+'táj.2.'!I394</f>
        <v>0</v>
      </c>
      <c r="J394" s="375">
        <f>0+'táj.2.'!J394</f>
        <v>0</v>
      </c>
      <c r="K394" s="375">
        <f>0+'táj.2.'!K394</f>
        <v>0</v>
      </c>
      <c r="L394" s="375">
        <f>0+'táj.2.'!L394</f>
        <v>0</v>
      </c>
      <c r="M394" s="375">
        <f>1800+'táj.2.'!M394</f>
        <v>1800</v>
      </c>
      <c r="N394" s="375">
        <f>0+'táj.2.'!N394</f>
        <v>0</v>
      </c>
      <c r="O394" s="375">
        <f>0+'táj.2.'!O394</f>
        <v>0</v>
      </c>
      <c r="P394" s="375">
        <f>0+'táj.2.'!P394</f>
        <v>0</v>
      </c>
      <c r="Q394" s="375">
        <f t="shared" si="23"/>
        <v>1800</v>
      </c>
    </row>
    <row r="395" spans="1:17" ht="12.75" customHeight="1">
      <c r="A395" s="391"/>
      <c r="B395" s="391"/>
      <c r="C395" s="182" t="s">
        <v>620</v>
      </c>
      <c r="D395" s="554" t="s">
        <v>840</v>
      </c>
      <c r="E395" s="185"/>
      <c r="F395" s="658">
        <v>154417</v>
      </c>
      <c r="G395" s="375">
        <f>0+'táj.2.'!G395</f>
        <v>0</v>
      </c>
      <c r="H395" s="375">
        <f>0+'táj.2.'!H395</f>
        <v>0</v>
      </c>
      <c r="I395" s="375">
        <f>0+'táj.2.'!I395</f>
        <v>0</v>
      </c>
      <c r="J395" s="375">
        <f>0+'táj.2.'!J395</f>
        <v>0</v>
      </c>
      <c r="K395" s="375">
        <f>0+'táj.2.'!K395</f>
        <v>0</v>
      </c>
      <c r="L395" s="375">
        <f>0+'táj.2.'!L395</f>
        <v>0</v>
      </c>
      <c r="M395" s="375">
        <f>3500+'táj.2.'!M395</f>
        <v>3500</v>
      </c>
      <c r="N395" s="375">
        <f>0+'táj.2.'!N395</f>
        <v>0</v>
      </c>
      <c r="O395" s="375">
        <f>0+'táj.2.'!O395</f>
        <v>0</v>
      </c>
      <c r="P395" s="375">
        <f>0+'táj.2.'!P395</f>
        <v>0</v>
      </c>
      <c r="Q395" s="375">
        <f t="shared" si="23"/>
        <v>3500</v>
      </c>
    </row>
    <row r="396" spans="1:17" ht="21" customHeight="1">
      <c r="A396" s="391"/>
      <c r="B396" s="391"/>
      <c r="C396" s="182" t="s">
        <v>621</v>
      </c>
      <c r="D396" s="554" t="s">
        <v>841</v>
      </c>
      <c r="E396" s="185"/>
      <c r="F396" s="658">
        <v>154418</v>
      </c>
      <c r="G396" s="375">
        <f>0+'táj.2.'!G396</f>
        <v>0</v>
      </c>
      <c r="H396" s="375">
        <f>0+'táj.2.'!H396</f>
        <v>0</v>
      </c>
      <c r="I396" s="375">
        <f>0+'táj.2.'!I396</f>
        <v>0</v>
      </c>
      <c r="J396" s="375">
        <f>0+'táj.2.'!J396</f>
        <v>0</v>
      </c>
      <c r="K396" s="375">
        <f>0+'táj.2.'!K396</f>
        <v>0</v>
      </c>
      <c r="L396" s="375">
        <f>0+'táj.2.'!L396</f>
        <v>0</v>
      </c>
      <c r="M396" s="375">
        <f>1500+'táj.2.'!M396</f>
        <v>1500</v>
      </c>
      <c r="N396" s="375">
        <f>0+'táj.2.'!N396</f>
        <v>0</v>
      </c>
      <c r="O396" s="375">
        <f>0+'táj.2.'!O396</f>
        <v>0</v>
      </c>
      <c r="P396" s="375">
        <f>0+'táj.2.'!P396</f>
        <v>0</v>
      </c>
      <c r="Q396" s="375">
        <f t="shared" si="23"/>
        <v>1500</v>
      </c>
    </row>
    <row r="397" spans="1:17" ht="12.75" customHeight="1">
      <c r="A397" s="391"/>
      <c r="B397" s="391"/>
      <c r="C397" s="182" t="s">
        <v>622</v>
      </c>
      <c r="D397" s="554" t="s">
        <v>842</v>
      </c>
      <c r="E397" s="185"/>
      <c r="F397" s="658">
        <v>155410</v>
      </c>
      <c r="G397" s="375">
        <f>0+'táj.2.'!G397</f>
        <v>0</v>
      </c>
      <c r="H397" s="375">
        <f>0+'táj.2.'!H397</f>
        <v>0</v>
      </c>
      <c r="I397" s="375">
        <f>0+'táj.2.'!I397</f>
        <v>0</v>
      </c>
      <c r="J397" s="375">
        <f>0+'táj.2.'!J397</f>
        <v>0</v>
      </c>
      <c r="K397" s="375">
        <f>0+'táj.2.'!K397</f>
        <v>0</v>
      </c>
      <c r="L397" s="375">
        <f>0+'táj.2.'!L397</f>
        <v>0</v>
      </c>
      <c r="M397" s="375">
        <f>2000+'táj.2.'!M397</f>
        <v>2000</v>
      </c>
      <c r="N397" s="375">
        <f>0+'táj.2.'!N397</f>
        <v>0</v>
      </c>
      <c r="O397" s="375">
        <f>0+'táj.2.'!O397</f>
        <v>0</v>
      </c>
      <c r="P397" s="375">
        <f>0+'táj.2.'!P397</f>
        <v>0</v>
      </c>
      <c r="Q397" s="375">
        <f t="shared" si="23"/>
        <v>2000</v>
      </c>
    </row>
    <row r="398" spans="1:17" ht="12.75" customHeight="1">
      <c r="A398" s="391"/>
      <c r="B398" s="391"/>
      <c r="C398" s="182" t="s">
        <v>566</v>
      </c>
      <c r="D398" s="554" t="s">
        <v>843</v>
      </c>
      <c r="E398" s="185"/>
      <c r="F398" s="658">
        <v>154419</v>
      </c>
      <c r="G398" s="375">
        <f>0+'táj.2.'!G398</f>
        <v>0</v>
      </c>
      <c r="H398" s="375">
        <f>0+'táj.2.'!H398</f>
        <v>0</v>
      </c>
      <c r="I398" s="375">
        <f>0+'táj.2.'!I398</f>
        <v>0</v>
      </c>
      <c r="J398" s="375">
        <f>0+'táj.2.'!J398</f>
        <v>0</v>
      </c>
      <c r="K398" s="375">
        <f>0+'táj.2.'!K398</f>
        <v>0</v>
      </c>
      <c r="L398" s="375">
        <f>0+'táj.2.'!L398</f>
        <v>0</v>
      </c>
      <c r="M398" s="375">
        <f>3000+'táj.2.'!M398</f>
        <v>0</v>
      </c>
      <c r="N398" s="375">
        <f>0+'táj.2.'!N398</f>
        <v>0</v>
      </c>
      <c r="O398" s="375">
        <f>0+'táj.2.'!O398</f>
        <v>0</v>
      </c>
      <c r="P398" s="375">
        <f>0+'táj.2.'!P398</f>
        <v>0</v>
      </c>
      <c r="Q398" s="375">
        <f t="shared" si="23"/>
        <v>0</v>
      </c>
    </row>
    <row r="399" spans="1:17" ht="12.75" customHeight="1">
      <c r="A399" s="391"/>
      <c r="B399" s="391"/>
      <c r="C399" s="182" t="s">
        <v>569</v>
      </c>
      <c r="D399" s="554" t="s">
        <v>844</v>
      </c>
      <c r="E399" s="185"/>
      <c r="F399" s="658">
        <v>155416</v>
      </c>
      <c r="G399" s="375">
        <f>0+'táj.2.'!G399</f>
        <v>0</v>
      </c>
      <c r="H399" s="375">
        <f>0+'táj.2.'!H399</f>
        <v>0</v>
      </c>
      <c r="I399" s="375">
        <f>0+'táj.2.'!I399</f>
        <v>0</v>
      </c>
      <c r="J399" s="375">
        <f>0+'táj.2.'!J399</f>
        <v>0</v>
      </c>
      <c r="K399" s="375">
        <f>0+'táj.2.'!K399</f>
        <v>0</v>
      </c>
      <c r="L399" s="375">
        <f>0+'táj.2.'!L399</f>
        <v>0</v>
      </c>
      <c r="M399" s="375">
        <f>500+'táj.2.'!M399</f>
        <v>500</v>
      </c>
      <c r="N399" s="375">
        <f>0+'táj.2.'!N399</f>
        <v>0</v>
      </c>
      <c r="O399" s="375">
        <f>0+'táj.2.'!O399</f>
        <v>0</v>
      </c>
      <c r="P399" s="375">
        <f>0+'táj.2.'!P399</f>
        <v>0</v>
      </c>
      <c r="Q399" s="375">
        <f t="shared" si="23"/>
        <v>500</v>
      </c>
    </row>
    <row r="400" spans="1:17" ht="12.75" customHeight="1">
      <c r="A400" s="391"/>
      <c r="B400" s="391"/>
      <c r="C400" s="182" t="s">
        <v>570</v>
      </c>
      <c r="D400" s="554" t="s">
        <v>845</v>
      </c>
      <c r="E400" s="185"/>
      <c r="F400" s="658">
        <v>154420</v>
      </c>
      <c r="G400" s="375">
        <f>0+'táj.2.'!G400</f>
        <v>0</v>
      </c>
      <c r="H400" s="375">
        <f>0+'táj.2.'!H400</f>
        <v>0</v>
      </c>
      <c r="I400" s="375">
        <f>0+'táj.2.'!I400</f>
        <v>0</v>
      </c>
      <c r="J400" s="375">
        <f>0+'táj.2.'!J400</f>
        <v>0</v>
      </c>
      <c r="K400" s="375">
        <f>0+'táj.2.'!K400</f>
        <v>0</v>
      </c>
      <c r="L400" s="375">
        <f>0+'táj.2.'!L400</f>
        <v>0</v>
      </c>
      <c r="M400" s="375">
        <f>1500+'táj.2.'!M400</f>
        <v>1003</v>
      </c>
      <c r="N400" s="375">
        <f>0+'táj.2.'!N400</f>
        <v>0</v>
      </c>
      <c r="O400" s="375">
        <f>0+'táj.2.'!O400</f>
        <v>0</v>
      </c>
      <c r="P400" s="375">
        <f>0+'táj.2.'!P400</f>
        <v>0</v>
      </c>
      <c r="Q400" s="375">
        <f t="shared" si="23"/>
        <v>1003</v>
      </c>
    </row>
    <row r="401" spans="1:17" ht="12.75" customHeight="1">
      <c r="A401" s="391"/>
      <c r="B401" s="391"/>
      <c r="C401" s="182" t="s">
        <v>571</v>
      </c>
      <c r="D401" s="392" t="s">
        <v>846</v>
      </c>
      <c r="E401" s="185"/>
      <c r="F401" s="658">
        <v>155436</v>
      </c>
      <c r="G401" s="375">
        <f>0+'táj.2.'!G401</f>
        <v>0</v>
      </c>
      <c r="H401" s="375">
        <f>0+'táj.2.'!H401</f>
        <v>0</v>
      </c>
      <c r="I401" s="375">
        <f>0+'táj.2.'!I401</f>
        <v>0</v>
      </c>
      <c r="J401" s="375">
        <f>0+'táj.2.'!J401</f>
        <v>0</v>
      </c>
      <c r="K401" s="375">
        <f>0+'táj.2.'!K401</f>
        <v>0</v>
      </c>
      <c r="L401" s="375">
        <f>0+'táj.2.'!L401</f>
        <v>0</v>
      </c>
      <c r="M401" s="375">
        <f>4000+'táj.2.'!M401</f>
        <v>4667</v>
      </c>
      <c r="N401" s="375">
        <f>0+'táj.2.'!N401</f>
        <v>0</v>
      </c>
      <c r="O401" s="375">
        <f>0+'táj.2.'!O401</f>
        <v>0</v>
      </c>
      <c r="P401" s="375">
        <f>0+'táj.2.'!P401</f>
        <v>0</v>
      </c>
      <c r="Q401" s="375">
        <f t="shared" si="23"/>
        <v>4667</v>
      </c>
    </row>
    <row r="402" spans="1:17" ht="21.75" customHeight="1">
      <c r="A402" s="391"/>
      <c r="B402" s="391"/>
      <c r="C402" s="182" t="s">
        <v>572</v>
      </c>
      <c r="D402" s="552" t="s">
        <v>847</v>
      </c>
      <c r="E402" s="185"/>
      <c r="F402" s="658">
        <v>154421</v>
      </c>
      <c r="G402" s="375">
        <f>0+'táj.2.'!G402</f>
        <v>0</v>
      </c>
      <c r="H402" s="375">
        <f>0+'táj.2.'!H402</f>
        <v>0</v>
      </c>
      <c r="I402" s="375">
        <f>0+'táj.2.'!I402</f>
        <v>0</v>
      </c>
      <c r="J402" s="375">
        <f>0+'táj.2.'!J402</f>
        <v>0</v>
      </c>
      <c r="K402" s="375">
        <f>0+'táj.2.'!K402</f>
        <v>0</v>
      </c>
      <c r="L402" s="375">
        <f>0+'táj.2.'!L402</f>
        <v>0</v>
      </c>
      <c r="M402" s="375">
        <f>9500+'táj.2.'!M402</f>
        <v>9500</v>
      </c>
      <c r="N402" s="375">
        <f>0+'táj.2.'!N402</f>
        <v>0</v>
      </c>
      <c r="O402" s="375">
        <f>0+'táj.2.'!O402</f>
        <v>0</v>
      </c>
      <c r="P402" s="375">
        <f>0+'táj.2.'!P402</f>
        <v>0</v>
      </c>
      <c r="Q402" s="375">
        <f t="shared" si="23"/>
        <v>9500</v>
      </c>
    </row>
    <row r="403" spans="1:17" ht="12.75" customHeight="1">
      <c r="A403" s="391"/>
      <c r="B403" s="391"/>
      <c r="C403" s="182" t="s">
        <v>573</v>
      </c>
      <c r="D403" s="552" t="s">
        <v>848</v>
      </c>
      <c r="E403" s="185"/>
      <c r="F403" s="658">
        <v>154476</v>
      </c>
      <c r="G403" s="375">
        <f>0+'táj.2.'!G403</f>
        <v>0</v>
      </c>
      <c r="H403" s="375">
        <f>0+'táj.2.'!H403</f>
        <v>0</v>
      </c>
      <c r="I403" s="375">
        <f>0+'táj.2.'!I403</f>
        <v>0</v>
      </c>
      <c r="J403" s="375">
        <f>0+'táj.2.'!J403</f>
        <v>0</v>
      </c>
      <c r="K403" s="375">
        <f>0+'táj.2.'!K403</f>
        <v>0</v>
      </c>
      <c r="L403" s="375">
        <f>0+'táj.2.'!L403</f>
        <v>0</v>
      </c>
      <c r="M403" s="375">
        <f>4000+'táj.2.'!M403</f>
        <v>6764</v>
      </c>
      <c r="N403" s="375">
        <f>0+'táj.2.'!N403</f>
        <v>0</v>
      </c>
      <c r="O403" s="375">
        <f>0+'táj.2.'!O403</f>
        <v>0</v>
      </c>
      <c r="P403" s="375">
        <f>0+'táj.2.'!P403</f>
        <v>0</v>
      </c>
      <c r="Q403" s="375">
        <f t="shared" si="23"/>
        <v>6764</v>
      </c>
    </row>
    <row r="404" spans="1:17" ht="21.75" customHeight="1">
      <c r="A404" s="391"/>
      <c r="B404" s="391"/>
      <c r="C404" s="182" t="s">
        <v>574</v>
      </c>
      <c r="D404" s="554" t="s">
        <v>849</v>
      </c>
      <c r="E404" s="185"/>
      <c r="F404" s="658">
        <v>154422</v>
      </c>
      <c r="G404" s="375">
        <f>0+'táj.2.'!G404</f>
        <v>0</v>
      </c>
      <c r="H404" s="375">
        <f>0+'táj.2.'!H404</f>
        <v>0</v>
      </c>
      <c r="I404" s="375">
        <f>0+'táj.2.'!I404</f>
        <v>0</v>
      </c>
      <c r="J404" s="375">
        <f>0+'táj.2.'!J404</f>
        <v>0</v>
      </c>
      <c r="K404" s="375">
        <f>0+'táj.2.'!K404</f>
        <v>0</v>
      </c>
      <c r="L404" s="375">
        <f>0+'táj.2.'!L404</f>
        <v>0</v>
      </c>
      <c r="M404" s="375">
        <f>5000+'táj.2.'!M404</f>
        <v>5000</v>
      </c>
      <c r="N404" s="375">
        <f>0+'táj.2.'!N404</f>
        <v>0</v>
      </c>
      <c r="O404" s="375">
        <f>0+'táj.2.'!O404</f>
        <v>0</v>
      </c>
      <c r="P404" s="375">
        <f>0+'táj.2.'!P404</f>
        <v>0</v>
      </c>
      <c r="Q404" s="375">
        <f t="shared" si="23"/>
        <v>5000</v>
      </c>
    </row>
    <row r="405" spans="1:17" ht="12.75" customHeight="1">
      <c r="A405" s="391"/>
      <c r="B405" s="391"/>
      <c r="C405" s="182" t="s">
        <v>575</v>
      </c>
      <c r="D405" s="554" t="s">
        <v>850</v>
      </c>
      <c r="E405" s="185"/>
      <c r="F405" s="658">
        <v>155420</v>
      </c>
      <c r="G405" s="375">
        <f>0+'táj.2.'!G405</f>
        <v>0</v>
      </c>
      <c r="H405" s="375">
        <f>0+'táj.2.'!H405</f>
        <v>0</v>
      </c>
      <c r="I405" s="375">
        <f>0+'táj.2.'!I405</f>
        <v>0</v>
      </c>
      <c r="J405" s="375">
        <f>0+'táj.2.'!J405</f>
        <v>0</v>
      </c>
      <c r="K405" s="375">
        <f>0+'táj.2.'!K405</f>
        <v>0</v>
      </c>
      <c r="L405" s="375">
        <f>0+'táj.2.'!L405</f>
        <v>0</v>
      </c>
      <c r="M405" s="375">
        <f>2000+'táj.2.'!M405</f>
        <v>2000</v>
      </c>
      <c r="N405" s="375">
        <f>0+'táj.2.'!N405</f>
        <v>0</v>
      </c>
      <c r="O405" s="375">
        <f>0+'táj.2.'!O405</f>
        <v>0</v>
      </c>
      <c r="P405" s="375">
        <f>0+'táj.2.'!P405</f>
        <v>0</v>
      </c>
      <c r="Q405" s="375">
        <f t="shared" si="23"/>
        <v>2000</v>
      </c>
    </row>
    <row r="406" spans="1:17" ht="12.75" customHeight="1">
      <c r="A406" s="391"/>
      <c r="B406" s="391"/>
      <c r="C406" s="182" t="s">
        <v>576</v>
      </c>
      <c r="D406" s="554" t="s">
        <v>851</v>
      </c>
      <c r="E406" s="185"/>
      <c r="F406" s="658">
        <v>155428</v>
      </c>
      <c r="G406" s="375">
        <f>0+'táj.2.'!G406</f>
        <v>0</v>
      </c>
      <c r="H406" s="375">
        <f>0+'táj.2.'!H406</f>
        <v>0</v>
      </c>
      <c r="I406" s="375">
        <f>0+'táj.2.'!I406</f>
        <v>0</v>
      </c>
      <c r="J406" s="375">
        <f>0+'táj.2.'!J406</f>
        <v>0</v>
      </c>
      <c r="K406" s="375">
        <f>0+'táj.2.'!K406</f>
        <v>0</v>
      </c>
      <c r="L406" s="375">
        <f>0+'táj.2.'!L406</f>
        <v>0</v>
      </c>
      <c r="M406" s="375">
        <f>2000+'táj.2.'!M406</f>
        <v>200</v>
      </c>
      <c r="N406" s="375">
        <f>0+'táj.2.'!N406</f>
        <v>0</v>
      </c>
      <c r="O406" s="375">
        <f>0+'táj.2.'!O406</f>
        <v>0</v>
      </c>
      <c r="P406" s="375">
        <f>0+'táj.2.'!P406</f>
        <v>0</v>
      </c>
      <c r="Q406" s="375">
        <f t="shared" si="23"/>
        <v>200</v>
      </c>
    </row>
    <row r="407" spans="1:17" ht="21" customHeight="1">
      <c r="A407" s="391"/>
      <c r="B407" s="391"/>
      <c r="C407" s="182" t="s">
        <v>577</v>
      </c>
      <c r="D407" s="554" t="s">
        <v>852</v>
      </c>
      <c r="E407" s="185"/>
      <c r="F407" s="658">
        <v>155432</v>
      </c>
      <c r="G407" s="375">
        <f>0+'táj.2.'!G407</f>
        <v>0</v>
      </c>
      <c r="H407" s="375">
        <f>0+'táj.2.'!H407</f>
        <v>0</v>
      </c>
      <c r="I407" s="375">
        <f>0+'táj.2.'!I407</f>
        <v>0</v>
      </c>
      <c r="J407" s="375">
        <f>0+'táj.2.'!J407</f>
        <v>0</v>
      </c>
      <c r="K407" s="375">
        <f>0+'táj.2.'!K407</f>
        <v>0</v>
      </c>
      <c r="L407" s="375">
        <f>0+'táj.2.'!L407</f>
        <v>0</v>
      </c>
      <c r="M407" s="375">
        <f>1000+'táj.2.'!M407</f>
        <v>2969</v>
      </c>
      <c r="N407" s="375">
        <f>0+'táj.2.'!N407</f>
        <v>0</v>
      </c>
      <c r="O407" s="375">
        <f>0+'táj.2.'!O407</f>
        <v>0</v>
      </c>
      <c r="P407" s="375">
        <f>0+'táj.2.'!P407</f>
        <v>0</v>
      </c>
      <c r="Q407" s="375">
        <f t="shared" si="23"/>
        <v>2969</v>
      </c>
    </row>
    <row r="408" spans="1:17" ht="12.75" customHeight="1">
      <c r="A408" s="391"/>
      <c r="B408" s="391"/>
      <c r="C408" s="182" t="s">
        <v>578</v>
      </c>
      <c r="D408" s="554" t="s">
        <v>853</v>
      </c>
      <c r="E408" s="185"/>
      <c r="F408" s="658">
        <v>155435</v>
      </c>
      <c r="G408" s="375">
        <f>0+'táj.2.'!G408</f>
        <v>0</v>
      </c>
      <c r="H408" s="375">
        <f>0+'táj.2.'!H408</f>
        <v>0</v>
      </c>
      <c r="I408" s="375">
        <f>0+'táj.2.'!I408</f>
        <v>0</v>
      </c>
      <c r="J408" s="375">
        <f>0+'táj.2.'!J408</f>
        <v>0</v>
      </c>
      <c r="K408" s="375">
        <f>0+'táj.2.'!K408</f>
        <v>0</v>
      </c>
      <c r="L408" s="375">
        <f>0+'táj.2.'!L408</f>
        <v>0</v>
      </c>
      <c r="M408" s="375">
        <f>1400+'táj.2.'!M408</f>
        <v>1400</v>
      </c>
      <c r="N408" s="375">
        <f>0+'táj.2.'!N408</f>
        <v>0</v>
      </c>
      <c r="O408" s="375">
        <f>0+'táj.2.'!O408</f>
        <v>0</v>
      </c>
      <c r="P408" s="375">
        <f>0+'táj.2.'!P408</f>
        <v>0</v>
      </c>
      <c r="Q408" s="375">
        <f t="shared" si="23"/>
        <v>1400</v>
      </c>
    </row>
    <row r="409" spans="1:17" ht="24.75" customHeight="1">
      <c r="A409" s="391"/>
      <c r="B409" s="391"/>
      <c r="C409" s="182" t="s">
        <v>579</v>
      </c>
      <c r="D409" s="554" t="s">
        <v>854</v>
      </c>
      <c r="E409" s="185"/>
      <c r="F409" s="658">
        <v>154423</v>
      </c>
      <c r="G409" s="375">
        <f>0+'táj.2.'!G409</f>
        <v>0</v>
      </c>
      <c r="H409" s="375">
        <f>0+'táj.2.'!H409</f>
        <v>0</v>
      </c>
      <c r="I409" s="375">
        <f>0+'táj.2.'!I409</f>
        <v>0</v>
      </c>
      <c r="J409" s="375">
        <f>0+'táj.2.'!J409</f>
        <v>0</v>
      </c>
      <c r="K409" s="375">
        <f>0+'táj.2.'!K409</f>
        <v>0</v>
      </c>
      <c r="L409" s="375">
        <f>0+'táj.2.'!L409</f>
        <v>0</v>
      </c>
      <c r="M409" s="375">
        <f>1500+'táj.2.'!M409</f>
        <v>1500</v>
      </c>
      <c r="N409" s="375">
        <f>0+'táj.2.'!N409</f>
        <v>0</v>
      </c>
      <c r="O409" s="375">
        <f>0+'táj.2.'!O409</f>
        <v>0</v>
      </c>
      <c r="P409" s="375">
        <f>0+'táj.2.'!P409</f>
        <v>0</v>
      </c>
      <c r="Q409" s="375">
        <f t="shared" si="23"/>
        <v>1500</v>
      </c>
    </row>
    <row r="410" spans="1:17" ht="21" customHeight="1">
      <c r="A410" s="391"/>
      <c r="B410" s="391"/>
      <c r="C410" s="182" t="s">
        <v>580</v>
      </c>
      <c r="D410" s="554" t="s">
        <v>855</v>
      </c>
      <c r="E410" s="185"/>
      <c r="F410" s="658">
        <v>154424</v>
      </c>
      <c r="G410" s="375">
        <f>0+'táj.2.'!G410</f>
        <v>0</v>
      </c>
      <c r="H410" s="375">
        <f>0+'táj.2.'!H410</f>
        <v>0</v>
      </c>
      <c r="I410" s="375">
        <f>0+'táj.2.'!I410</f>
        <v>0</v>
      </c>
      <c r="J410" s="375">
        <f>0+'táj.2.'!J410</f>
        <v>0</v>
      </c>
      <c r="K410" s="375">
        <f>0+'táj.2.'!K410</f>
        <v>0</v>
      </c>
      <c r="L410" s="375">
        <f>0+'táj.2.'!L410</f>
        <v>0</v>
      </c>
      <c r="M410" s="375">
        <f>4000+'táj.2.'!M410</f>
        <v>4097</v>
      </c>
      <c r="N410" s="375">
        <f>0+'táj.2.'!N410</f>
        <v>0</v>
      </c>
      <c r="O410" s="375">
        <f>0+'táj.2.'!O410</f>
        <v>0</v>
      </c>
      <c r="P410" s="375">
        <f>0+'táj.2.'!P410</f>
        <v>0</v>
      </c>
      <c r="Q410" s="375">
        <f t="shared" si="23"/>
        <v>4097</v>
      </c>
    </row>
    <row r="411" spans="1:17" ht="21" customHeight="1">
      <c r="A411" s="391"/>
      <c r="B411" s="391"/>
      <c r="C411" s="182" t="s">
        <v>581</v>
      </c>
      <c r="D411" s="554" t="s">
        <v>856</v>
      </c>
      <c r="E411" s="185"/>
      <c r="F411" s="658">
        <v>154425</v>
      </c>
      <c r="G411" s="375">
        <f>0+'táj.2.'!G411</f>
        <v>0</v>
      </c>
      <c r="H411" s="375">
        <f>0+'táj.2.'!H411</f>
        <v>0</v>
      </c>
      <c r="I411" s="375">
        <f>0+'táj.2.'!I411</f>
        <v>0</v>
      </c>
      <c r="J411" s="375">
        <f>0+'táj.2.'!J411</f>
        <v>0</v>
      </c>
      <c r="K411" s="375">
        <f>0+'táj.2.'!K411</f>
        <v>0</v>
      </c>
      <c r="L411" s="375">
        <f>0+'táj.2.'!L411</f>
        <v>0</v>
      </c>
      <c r="M411" s="375">
        <f>1500+'táj.2.'!M411</f>
        <v>0</v>
      </c>
      <c r="N411" s="375">
        <f>0+'táj.2.'!N411</f>
        <v>0</v>
      </c>
      <c r="O411" s="375">
        <f>0+'táj.2.'!O411</f>
        <v>0</v>
      </c>
      <c r="P411" s="375">
        <f>0+'táj.2.'!P411</f>
        <v>0</v>
      </c>
      <c r="Q411" s="375">
        <f t="shared" si="23"/>
        <v>0</v>
      </c>
    </row>
    <row r="412" spans="1:17" ht="12.75" customHeight="1">
      <c r="A412" s="391"/>
      <c r="B412" s="391"/>
      <c r="C412" s="182" t="s">
        <v>582</v>
      </c>
      <c r="D412" s="554" t="s">
        <v>857</v>
      </c>
      <c r="E412" s="185"/>
      <c r="F412" s="658">
        <v>154426</v>
      </c>
      <c r="G412" s="375">
        <f>0+'táj.2.'!G412</f>
        <v>0</v>
      </c>
      <c r="H412" s="375">
        <f>0+'táj.2.'!H412</f>
        <v>0</v>
      </c>
      <c r="I412" s="375">
        <f>0+'táj.2.'!I412</f>
        <v>0</v>
      </c>
      <c r="J412" s="375">
        <f>0+'táj.2.'!J412</f>
        <v>0</v>
      </c>
      <c r="K412" s="375">
        <f>0+'táj.2.'!K412</f>
        <v>0</v>
      </c>
      <c r="L412" s="375">
        <f>0+'táj.2.'!L412</f>
        <v>0</v>
      </c>
      <c r="M412" s="375">
        <f>1000+'táj.2.'!M412</f>
        <v>1000</v>
      </c>
      <c r="N412" s="375">
        <f>0+'táj.2.'!N412</f>
        <v>0</v>
      </c>
      <c r="O412" s="375">
        <f>0+'táj.2.'!O412</f>
        <v>0</v>
      </c>
      <c r="P412" s="375">
        <f>0+'táj.2.'!P412</f>
        <v>0</v>
      </c>
      <c r="Q412" s="375">
        <f t="shared" si="23"/>
        <v>1000</v>
      </c>
    </row>
    <row r="413" spans="1:17" ht="12.75" customHeight="1">
      <c r="A413" s="391"/>
      <c r="B413" s="391"/>
      <c r="C413" s="182" t="s">
        <v>583</v>
      </c>
      <c r="D413" s="554" t="s">
        <v>858</v>
      </c>
      <c r="E413" s="185"/>
      <c r="F413" s="658">
        <v>154427</v>
      </c>
      <c r="G413" s="375">
        <f>0+'táj.2.'!G413</f>
        <v>0</v>
      </c>
      <c r="H413" s="375">
        <f>0+'táj.2.'!H413</f>
        <v>0</v>
      </c>
      <c r="I413" s="375">
        <f>0+'táj.2.'!I413</f>
        <v>0</v>
      </c>
      <c r="J413" s="375">
        <f>0+'táj.2.'!J413</f>
        <v>0</v>
      </c>
      <c r="K413" s="375">
        <f>0+'táj.2.'!K413</f>
        <v>0</v>
      </c>
      <c r="L413" s="375">
        <f>0+'táj.2.'!L413</f>
        <v>0</v>
      </c>
      <c r="M413" s="375">
        <f>1500+'táj.2.'!M413</f>
        <v>1500</v>
      </c>
      <c r="N413" s="375">
        <f>0+'táj.2.'!N413</f>
        <v>0</v>
      </c>
      <c r="O413" s="375">
        <f>0+'táj.2.'!O413</f>
        <v>0</v>
      </c>
      <c r="P413" s="375">
        <f>0+'táj.2.'!P413</f>
        <v>0</v>
      </c>
      <c r="Q413" s="375">
        <f t="shared" si="23"/>
        <v>1500</v>
      </c>
    </row>
    <row r="414" spans="1:17" ht="12.75" customHeight="1">
      <c r="A414" s="391"/>
      <c r="B414" s="391"/>
      <c r="C414" s="182" t="s">
        <v>1251</v>
      </c>
      <c r="D414" s="554" t="s">
        <v>859</v>
      </c>
      <c r="E414" s="185"/>
      <c r="F414" s="658">
        <v>154428</v>
      </c>
      <c r="G414" s="375">
        <f>0+'táj.2.'!G414</f>
        <v>0</v>
      </c>
      <c r="H414" s="375">
        <f>0+'táj.2.'!H414</f>
        <v>0</v>
      </c>
      <c r="I414" s="375">
        <f>0+'táj.2.'!I414</f>
        <v>0</v>
      </c>
      <c r="J414" s="375">
        <f>0+'táj.2.'!J414</f>
        <v>0</v>
      </c>
      <c r="K414" s="375">
        <f>0+'táj.2.'!K414</f>
        <v>0</v>
      </c>
      <c r="L414" s="375">
        <f>0+'táj.2.'!L414</f>
        <v>0</v>
      </c>
      <c r="M414" s="375">
        <f>500+'táj.2.'!M414</f>
        <v>497</v>
      </c>
      <c r="N414" s="375">
        <f>0+'táj.2.'!N414</f>
        <v>0</v>
      </c>
      <c r="O414" s="375">
        <f>0+'táj.2.'!O414</f>
        <v>0</v>
      </c>
      <c r="P414" s="375">
        <f>0+'táj.2.'!P414</f>
        <v>0</v>
      </c>
      <c r="Q414" s="375">
        <f t="shared" si="23"/>
        <v>497</v>
      </c>
    </row>
    <row r="415" spans="1:17" ht="23.25" customHeight="1">
      <c r="A415" s="391"/>
      <c r="B415" s="391"/>
      <c r="C415" s="650" t="s">
        <v>15</v>
      </c>
      <c r="D415" s="682" t="s">
        <v>16</v>
      </c>
      <c r="E415" s="185"/>
      <c r="F415" s="658">
        <v>152447</v>
      </c>
      <c r="G415" s="375">
        <f>0+'táj.2.'!G415</f>
        <v>0</v>
      </c>
      <c r="H415" s="375">
        <f>0+'táj.2.'!H415</f>
        <v>0</v>
      </c>
      <c r="I415" s="375">
        <f>0+'táj.2.'!I415</f>
        <v>0</v>
      </c>
      <c r="J415" s="375">
        <f>0+'táj.2.'!J415</f>
        <v>0</v>
      </c>
      <c r="K415" s="375">
        <f>0+'táj.2.'!K415</f>
        <v>0</v>
      </c>
      <c r="L415" s="375">
        <f>18000+'táj.2.'!L415</f>
        <v>18000</v>
      </c>
      <c r="M415" s="375">
        <f>0+'táj.2.'!M415</f>
        <v>0</v>
      </c>
      <c r="N415" s="375">
        <f>0+'táj.2.'!N415</f>
        <v>0</v>
      </c>
      <c r="O415" s="375">
        <f>0+'táj.2.'!O415</f>
        <v>0</v>
      </c>
      <c r="P415" s="375">
        <f>0+'táj.2.'!P415</f>
        <v>0</v>
      </c>
      <c r="Q415" s="375">
        <f t="shared" si="23"/>
        <v>18000</v>
      </c>
    </row>
    <row r="416" spans="1:17" ht="12.75" customHeight="1">
      <c r="A416" s="391"/>
      <c r="B416" s="391"/>
      <c r="C416" s="650" t="s">
        <v>17</v>
      </c>
      <c r="D416" s="682" t="s">
        <v>18</v>
      </c>
      <c r="E416" s="185"/>
      <c r="F416" s="658">
        <v>152448</v>
      </c>
      <c r="G416" s="375">
        <f>0+'táj.2.'!G416</f>
        <v>0</v>
      </c>
      <c r="H416" s="375">
        <f>0+'táj.2.'!H416</f>
        <v>0</v>
      </c>
      <c r="I416" s="375">
        <f>0+'táj.2.'!I416</f>
        <v>0</v>
      </c>
      <c r="J416" s="375">
        <f>0+'táj.2.'!J416</f>
        <v>0</v>
      </c>
      <c r="K416" s="375">
        <f>0+'táj.2.'!K416</f>
        <v>0</v>
      </c>
      <c r="L416" s="375">
        <f>10500+'táj.2.'!L416</f>
        <v>10500</v>
      </c>
      <c r="M416" s="375">
        <f>0+'táj.2.'!M416</f>
        <v>0</v>
      </c>
      <c r="N416" s="375">
        <f>0+'táj.2.'!N416</f>
        <v>0</v>
      </c>
      <c r="O416" s="375">
        <f>0+'táj.2.'!O416</f>
        <v>0</v>
      </c>
      <c r="P416" s="375">
        <f>0+'táj.2.'!P416</f>
        <v>0</v>
      </c>
      <c r="Q416" s="375">
        <f t="shared" si="23"/>
        <v>10500</v>
      </c>
    </row>
    <row r="417" spans="1:17" ht="12.75" customHeight="1">
      <c r="A417" s="391"/>
      <c r="B417" s="391"/>
      <c r="C417" s="650" t="s">
        <v>20</v>
      </c>
      <c r="D417" s="682" t="s">
        <v>19</v>
      </c>
      <c r="E417" s="185"/>
      <c r="F417" s="658">
        <v>152449</v>
      </c>
      <c r="G417" s="375">
        <f>0+'táj.2.'!G417</f>
        <v>0</v>
      </c>
      <c r="H417" s="375">
        <f>0+'táj.2.'!H417</f>
        <v>0</v>
      </c>
      <c r="I417" s="375">
        <f>0+'táj.2.'!I417</f>
        <v>0</v>
      </c>
      <c r="J417" s="375">
        <f>0+'táj.2.'!J417</f>
        <v>0</v>
      </c>
      <c r="K417" s="375">
        <f>0+'táj.2.'!K417</f>
        <v>0</v>
      </c>
      <c r="L417" s="375">
        <f>18000+'táj.2.'!L417</f>
        <v>18000</v>
      </c>
      <c r="M417" s="375">
        <f>0+'táj.2.'!M417</f>
        <v>0</v>
      </c>
      <c r="N417" s="375">
        <f>0+'táj.2.'!N417</f>
        <v>0</v>
      </c>
      <c r="O417" s="375">
        <f>0+'táj.2.'!O417</f>
        <v>0</v>
      </c>
      <c r="P417" s="375">
        <f>0+'táj.2.'!P417</f>
        <v>0</v>
      </c>
      <c r="Q417" s="375">
        <f t="shared" si="23"/>
        <v>18000</v>
      </c>
    </row>
    <row r="418" spans="1:17" ht="12.75" customHeight="1">
      <c r="A418" s="391"/>
      <c r="B418" s="391"/>
      <c r="C418" s="650" t="s">
        <v>441</v>
      </c>
      <c r="D418" s="682" t="s">
        <v>443</v>
      </c>
      <c r="E418" s="185"/>
      <c r="F418" s="658">
        <v>154429</v>
      </c>
      <c r="G418" s="375">
        <f>0+'táj.2.'!G418</f>
        <v>0</v>
      </c>
      <c r="H418" s="375">
        <f>0+'táj.2.'!H418</f>
        <v>0</v>
      </c>
      <c r="I418" s="375">
        <f>0+'táj.2.'!I418</f>
        <v>0</v>
      </c>
      <c r="J418" s="375">
        <f>0+'táj.2.'!J418</f>
        <v>0</v>
      </c>
      <c r="K418" s="375">
        <f>0+'táj.2.'!K418</f>
        <v>0</v>
      </c>
      <c r="L418" s="375">
        <f>0+'táj.2.'!L418</f>
        <v>0</v>
      </c>
      <c r="M418" s="375">
        <f>0+'táj.2.'!M418</f>
        <v>0</v>
      </c>
      <c r="N418" s="375">
        <f>10673+'táj.2.'!N418</f>
        <v>10673</v>
      </c>
      <c r="O418" s="375">
        <f>0+'táj.2.'!O418</f>
        <v>0</v>
      </c>
      <c r="P418" s="375">
        <f>0+'táj.2.'!P418</f>
        <v>0</v>
      </c>
      <c r="Q418" s="375">
        <f t="shared" si="23"/>
        <v>10673</v>
      </c>
    </row>
    <row r="419" spans="1:17" ht="12.75" customHeight="1">
      <c r="A419" s="391"/>
      <c r="B419" s="391"/>
      <c r="C419" s="650" t="s">
        <v>442</v>
      </c>
      <c r="D419" s="682" t="s">
        <v>1291</v>
      </c>
      <c r="E419" s="185"/>
      <c r="F419" s="658">
        <v>154477</v>
      </c>
      <c r="G419" s="375">
        <f>0+'táj.2.'!G419</f>
        <v>0</v>
      </c>
      <c r="H419" s="375">
        <f>0+'táj.2.'!H419</f>
        <v>0</v>
      </c>
      <c r="I419" s="375">
        <f>0+'táj.2.'!I419</f>
        <v>0</v>
      </c>
      <c r="J419" s="375">
        <f>0+'táj.2.'!J419</f>
        <v>0</v>
      </c>
      <c r="K419" s="375">
        <f>0+'táj.2.'!K419</f>
        <v>0</v>
      </c>
      <c r="L419" s="375">
        <f>0+'táj.2.'!L419</f>
        <v>0</v>
      </c>
      <c r="M419" s="375">
        <f>10000+'táj.2.'!M419</f>
        <v>10000</v>
      </c>
      <c r="N419" s="375">
        <f>0+'táj.2.'!N419</f>
        <v>0</v>
      </c>
      <c r="O419" s="375">
        <f>0+'táj.2.'!O419</f>
        <v>0</v>
      </c>
      <c r="P419" s="375">
        <f>0+'táj.2.'!P419</f>
        <v>0</v>
      </c>
      <c r="Q419" s="375">
        <f t="shared" si="23"/>
        <v>10000</v>
      </c>
    </row>
    <row r="420" spans="1:17" ht="12.75" customHeight="1">
      <c r="A420" s="391"/>
      <c r="B420" s="391"/>
      <c r="C420" s="650" t="s">
        <v>185</v>
      </c>
      <c r="D420" s="682" t="s">
        <v>186</v>
      </c>
      <c r="E420" s="14"/>
      <c r="F420" s="688">
        <v>154430</v>
      </c>
      <c r="G420" s="375">
        <f>0+'táj.2.'!G420</f>
        <v>0</v>
      </c>
      <c r="H420" s="375">
        <f>0+'táj.2.'!H420</f>
        <v>0</v>
      </c>
      <c r="I420" s="375">
        <f>0+'táj.2.'!I420</f>
        <v>0</v>
      </c>
      <c r="J420" s="375">
        <f>0+'táj.2.'!J420</f>
        <v>0</v>
      </c>
      <c r="K420" s="375">
        <f>0+'táj.2.'!K420</f>
        <v>0</v>
      </c>
      <c r="L420" s="375">
        <f>0+'táj.2.'!L420</f>
        <v>0</v>
      </c>
      <c r="M420" s="375">
        <f>0+'táj.2.'!M420</f>
        <v>1969</v>
      </c>
      <c r="N420" s="375">
        <f>0+'táj.2.'!N420</f>
        <v>0</v>
      </c>
      <c r="O420" s="375">
        <f>0+'táj.2.'!O420</f>
        <v>0</v>
      </c>
      <c r="P420" s="375">
        <f>0+'táj.2.'!P420</f>
        <v>0</v>
      </c>
      <c r="Q420" s="375">
        <f t="shared" si="23"/>
        <v>1969</v>
      </c>
    </row>
    <row r="421" spans="1:17" ht="12.75" customHeight="1">
      <c r="A421" s="391"/>
      <c r="B421" s="391"/>
      <c r="C421" s="650" t="s">
        <v>189</v>
      </c>
      <c r="D421" s="682" t="s">
        <v>190</v>
      </c>
      <c r="E421" s="185"/>
      <c r="F421" s="13">
        <v>155430</v>
      </c>
      <c r="G421" s="375">
        <f>0+'táj.2.'!G421</f>
        <v>0</v>
      </c>
      <c r="H421" s="375">
        <f>0+'táj.2.'!H421</f>
        <v>0</v>
      </c>
      <c r="I421" s="375">
        <f>0+'táj.2.'!I421</f>
        <v>0</v>
      </c>
      <c r="J421" s="375">
        <f>0+'táj.2.'!J421</f>
        <v>0</v>
      </c>
      <c r="K421" s="375">
        <f>0+'táj.2.'!K421</f>
        <v>0</v>
      </c>
      <c r="L421" s="375">
        <f>0+'táj.2.'!L421</f>
        <v>0</v>
      </c>
      <c r="M421" s="375">
        <f>0+'táj.2.'!M421</f>
        <v>1800</v>
      </c>
      <c r="N421" s="375">
        <f>0+'táj.2.'!N421</f>
        <v>0</v>
      </c>
      <c r="O421" s="375">
        <f>0+'táj.2.'!O421</f>
        <v>0</v>
      </c>
      <c r="P421" s="375">
        <f>0+'táj.2.'!P421</f>
        <v>0</v>
      </c>
      <c r="Q421" s="375">
        <f t="shared" si="23"/>
        <v>1800</v>
      </c>
    </row>
    <row r="422" spans="1:17" ht="12.75" customHeight="1">
      <c r="A422" s="391"/>
      <c r="B422" s="391"/>
      <c r="C422" s="650" t="s">
        <v>177</v>
      </c>
      <c r="D422" s="682" t="s">
        <v>178</v>
      </c>
      <c r="E422" s="185"/>
      <c r="F422" s="13">
        <v>154432</v>
      </c>
      <c r="G422" s="375">
        <f>0+'táj.2.'!G422</f>
        <v>0</v>
      </c>
      <c r="H422" s="375">
        <f>0+'táj.2.'!H422</f>
        <v>0</v>
      </c>
      <c r="I422" s="375">
        <f>0+'táj.2.'!I422</f>
        <v>0</v>
      </c>
      <c r="J422" s="375">
        <f>0+'táj.2.'!J422</f>
        <v>0</v>
      </c>
      <c r="K422" s="375">
        <f>0+'táj.2.'!K422</f>
        <v>0</v>
      </c>
      <c r="L422" s="375">
        <f>0+'táj.2.'!L422</f>
        <v>0</v>
      </c>
      <c r="M422" s="375">
        <f>0+'táj.2.'!M422</f>
        <v>463</v>
      </c>
      <c r="N422" s="375">
        <f>0+'táj.2.'!N422</f>
        <v>0</v>
      </c>
      <c r="O422" s="375">
        <f>0+'táj.2.'!O422</f>
        <v>0</v>
      </c>
      <c r="P422" s="375">
        <f>0+'táj.2.'!P422</f>
        <v>0</v>
      </c>
      <c r="Q422" s="375">
        <f t="shared" si="23"/>
        <v>463</v>
      </c>
    </row>
    <row r="423" spans="1:17" ht="12.75" customHeight="1">
      <c r="A423" s="391"/>
      <c r="B423" s="391"/>
      <c r="C423" s="650" t="s">
        <v>179</v>
      </c>
      <c r="D423" s="682" t="s">
        <v>180</v>
      </c>
      <c r="E423" s="14"/>
      <c r="F423" s="688">
        <v>154432</v>
      </c>
      <c r="G423" s="375">
        <f>0+'táj.2.'!G423</f>
        <v>0</v>
      </c>
      <c r="H423" s="375">
        <f>0+'táj.2.'!H423</f>
        <v>0</v>
      </c>
      <c r="I423" s="375">
        <f>0+'táj.2.'!I423</f>
        <v>0</v>
      </c>
      <c r="J423" s="375">
        <f>0+'táj.2.'!J423</f>
        <v>0</v>
      </c>
      <c r="K423" s="375">
        <f>0+'táj.2.'!K423</f>
        <v>0</v>
      </c>
      <c r="L423" s="375">
        <f>0+'táj.2.'!L423</f>
        <v>0</v>
      </c>
      <c r="M423" s="375">
        <f>0+'táj.2.'!M423</f>
        <v>1267</v>
      </c>
      <c r="N423" s="375">
        <f>0+'táj.2.'!N423</f>
        <v>0</v>
      </c>
      <c r="O423" s="375">
        <f>0+'táj.2.'!O423</f>
        <v>0</v>
      </c>
      <c r="P423" s="375">
        <f>0+'táj.2.'!P423</f>
        <v>0</v>
      </c>
      <c r="Q423" s="375">
        <f t="shared" si="23"/>
        <v>1267</v>
      </c>
    </row>
    <row r="424" spans="1:17" ht="12.75" customHeight="1">
      <c r="A424" s="391"/>
      <c r="B424" s="391"/>
      <c r="C424" s="650" t="s">
        <v>162</v>
      </c>
      <c r="D424" s="682" t="s">
        <v>163</v>
      </c>
      <c r="E424" s="185"/>
      <c r="F424" s="13">
        <v>152450</v>
      </c>
      <c r="G424" s="375">
        <f>0+'táj.2.'!G424</f>
        <v>0</v>
      </c>
      <c r="H424" s="375">
        <f>0+'táj.2.'!H424</f>
        <v>0</v>
      </c>
      <c r="I424" s="375">
        <f>0+'táj.2.'!I424</f>
        <v>0</v>
      </c>
      <c r="J424" s="375">
        <f>0+'táj.2.'!J424</f>
        <v>0</v>
      </c>
      <c r="K424" s="375">
        <f>0+'táj.2.'!K424</f>
        <v>0</v>
      </c>
      <c r="L424" s="375">
        <f>0+'táj.2.'!L424</f>
        <v>6469</v>
      </c>
      <c r="M424" s="375">
        <f>0+'táj.2.'!M424</f>
        <v>0</v>
      </c>
      <c r="N424" s="375">
        <f>0+'táj.2.'!N424</f>
        <v>0</v>
      </c>
      <c r="O424" s="375">
        <f>0+'táj.2.'!O424</f>
        <v>0</v>
      </c>
      <c r="P424" s="375">
        <f>0+'táj.2.'!P424</f>
        <v>0</v>
      </c>
      <c r="Q424" s="375">
        <f t="shared" si="23"/>
        <v>6469</v>
      </c>
    </row>
    <row r="425" spans="1:17" ht="12.75" customHeight="1">
      <c r="A425" s="391"/>
      <c r="B425" s="391"/>
      <c r="C425" s="391"/>
      <c r="D425" s="16" t="s">
        <v>198</v>
      </c>
      <c r="E425" s="185"/>
      <c r="F425" s="658"/>
      <c r="G425" s="375"/>
      <c r="H425" s="374"/>
      <c r="I425" s="374"/>
      <c r="J425" s="374"/>
      <c r="K425" s="374"/>
      <c r="L425" s="375"/>
      <c r="M425" s="375"/>
      <c r="N425" s="375"/>
      <c r="O425" s="374"/>
      <c r="P425" s="374"/>
      <c r="Q425" s="375"/>
    </row>
    <row r="426" spans="1:17" ht="14.25" customHeight="1">
      <c r="A426" s="391"/>
      <c r="B426" s="391"/>
      <c r="C426" s="182" t="s">
        <v>537</v>
      </c>
      <c r="D426" s="416" t="s">
        <v>278</v>
      </c>
      <c r="E426" s="185"/>
      <c r="F426" s="658">
        <v>152406</v>
      </c>
      <c r="G426" s="375">
        <f>0+'táj.2.'!G426</f>
        <v>0</v>
      </c>
      <c r="H426" s="375">
        <f>0+'táj.2.'!H426</f>
        <v>0</v>
      </c>
      <c r="I426" s="375">
        <f>5001+'táj.2.'!I426</f>
        <v>5001</v>
      </c>
      <c r="J426" s="375">
        <f>0+'táj.2.'!J426</f>
        <v>0</v>
      </c>
      <c r="K426" s="375">
        <f>0+'táj.2.'!K426</f>
        <v>0</v>
      </c>
      <c r="L426" s="375">
        <f>0+'táj.2.'!L426</f>
        <v>0</v>
      </c>
      <c r="M426" s="375">
        <f>0+'táj.2.'!M426</f>
        <v>0</v>
      </c>
      <c r="N426" s="375">
        <f>0+'táj.2.'!N426</f>
        <v>0</v>
      </c>
      <c r="O426" s="375">
        <f>0+'táj.2.'!O426</f>
        <v>0</v>
      </c>
      <c r="P426" s="375">
        <f>0+'táj.2.'!P426</f>
        <v>0</v>
      </c>
      <c r="Q426" s="375">
        <f aca="true" t="shared" si="24" ref="Q426:Q442">SUM(G426:P426)</f>
        <v>5001</v>
      </c>
    </row>
    <row r="427" spans="1:17" ht="25.5" customHeight="1">
      <c r="A427" s="391"/>
      <c r="B427" s="391"/>
      <c r="C427" s="182" t="s">
        <v>538</v>
      </c>
      <c r="D427" s="416" t="s">
        <v>766</v>
      </c>
      <c r="E427" s="185"/>
      <c r="F427" s="658">
        <v>152405</v>
      </c>
      <c r="G427" s="375">
        <f>0+'táj.2.'!G427</f>
        <v>0</v>
      </c>
      <c r="H427" s="375">
        <f>0+'táj.2.'!H427</f>
        <v>0</v>
      </c>
      <c r="I427" s="375">
        <f>1000+'táj.2.'!I427</f>
        <v>1000</v>
      </c>
      <c r="J427" s="375">
        <f>0+'táj.2.'!J427</f>
        <v>0</v>
      </c>
      <c r="K427" s="375">
        <f>0+'táj.2.'!K427</f>
        <v>0</v>
      </c>
      <c r="L427" s="375">
        <f>7544+'táj.2.'!L427</f>
        <v>8161</v>
      </c>
      <c r="M427" s="375">
        <f>10245+'táj.2.'!M427</f>
        <v>10245</v>
      </c>
      <c r="N427" s="375">
        <f>0+'táj.2.'!N427</f>
        <v>0</v>
      </c>
      <c r="O427" s="375">
        <f>0+'táj.2.'!O427</f>
        <v>0</v>
      </c>
      <c r="P427" s="375">
        <f>0+'táj.2.'!P427</f>
        <v>0</v>
      </c>
      <c r="Q427" s="375">
        <f t="shared" si="24"/>
        <v>19406</v>
      </c>
    </row>
    <row r="428" spans="1:17" ht="12.75" customHeight="1">
      <c r="A428" s="391"/>
      <c r="B428" s="391"/>
      <c r="C428" s="13" t="s">
        <v>539</v>
      </c>
      <c r="D428" s="116" t="s">
        <v>793</v>
      </c>
      <c r="E428" s="185"/>
      <c r="F428" s="658">
        <v>152442</v>
      </c>
      <c r="G428" s="375">
        <f>0+'táj.2.'!G428</f>
        <v>0</v>
      </c>
      <c r="H428" s="375">
        <f>0+'táj.2.'!H428</f>
        <v>0</v>
      </c>
      <c r="I428" s="375">
        <f>0+'táj.2.'!I428</f>
        <v>0</v>
      </c>
      <c r="J428" s="375">
        <f>0+'táj.2.'!J428</f>
        <v>0</v>
      </c>
      <c r="K428" s="375">
        <f>0+'táj.2.'!K428</f>
        <v>0</v>
      </c>
      <c r="L428" s="375">
        <f>2858+'táj.2.'!L428</f>
        <v>2858</v>
      </c>
      <c r="M428" s="375">
        <f>0+'táj.2.'!M428</f>
        <v>0</v>
      </c>
      <c r="N428" s="375">
        <f>0+'táj.2.'!N428</f>
        <v>0</v>
      </c>
      <c r="O428" s="375">
        <f>0+'táj.2.'!O428</f>
        <v>0</v>
      </c>
      <c r="P428" s="375">
        <f>0+'táj.2.'!P428</f>
        <v>0</v>
      </c>
      <c r="Q428" s="375">
        <f t="shared" si="24"/>
        <v>2858</v>
      </c>
    </row>
    <row r="429" spans="1:17" ht="12.75" customHeight="1">
      <c r="A429" s="391"/>
      <c r="B429" s="391"/>
      <c r="C429" s="182" t="s">
        <v>540</v>
      </c>
      <c r="D429" s="118" t="s">
        <v>1056</v>
      </c>
      <c r="E429" s="185"/>
      <c r="F429" s="658">
        <v>152401</v>
      </c>
      <c r="G429" s="375">
        <f>0+'táj.2.'!G429</f>
        <v>0</v>
      </c>
      <c r="H429" s="375">
        <f>0+'táj.2.'!H429</f>
        <v>0</v>
      </c>
      <c r="I429" s="375">
        <f>0+'táj.2.'!I429</f>
        <v>0</v>
      </c>
      <c r="J429" s="375">
        <f>0+'táj.2.'!J429</f>
        <v>0</v>
      </c>
      <c r="K429" s="375">
        <f>0+'táj.2.'!K429</f>
        <v>0</v>
      </c>
      <c r="L429" s="375">
        <f>5507+'táj.2.'!L429</f>
        <v>5507</v>
      </c>
      <c r="M429" s="375">
        <f>0+'táj.2.'!M429</f>
        <v>0</v>
      </c>
      <c r="N429" s="375">
        <f>0+'táj.2.'!N429</f>
        <v>0</v>
      </c>
      <c r="O429" s="375">
        <f>0+'táj.2.'!O429</f>
        <v>0</v>
      </c>
      <c r="P429" s="375">
        <f>0+'táj.2.'!P429</f>
        <v>0</v>
      </c>
      <c r="Q429" s="375">
        <f t="shared" si="24"/>
        <v>5507</v>
      </c>
    </row>
    <row r="430" spans="1:17" ht="12.75" customHeight="1">
      <c r="A430" s="391"/>
      <c r="B430" s="391"/>
      <c r="C430" s="182" t="s">
        <v>541</v>
      </c>
      <c r="D430" s="118" t="s">
        <v>767</v>
      </c>
      <c r="E430" s="185"/>
      <c r="F430" s="658">
        <v>152431</v>
      </c>
      <c r="G430" s="375">
        <f>0+'táj.2.'!G430</f>
        <v>0</v>
      </c>
      <c r="H430" s="375">
        <f>0+'táj.2.'!H430</f>
        <v>0</v>
      </c>
      <c r="I430" s="375">
        <f>0+'táj.2.'!I430</f>
        <v>0</v>
      </c>
      <c r="J430" s="375">
        <f>0+'táj.2.'!J430</f>
        <v>0</v>
      </c>
      <c r="K430" s="375">
        <f>0+'táj.2.'!K430</f>
        <v>0</v>
      </c>
      <c r="L430" s="375">
        <f>1570+'táj.2.'!L430</f>
        <v>1570</v>
      </c>
      <c r="M430" s="375">
        <f>0+'táj.2.'!M430</f>
        <v>0</v>
      </c>
      <c r="N430" s="375">
        <f>0+'táj.2.'!N430</f>
        <v>0</v>
      </c>
      <c r="O430" s="375">
        <f>0+'táj.2.'!O430</f>
        <v>0</v>
      </c>
      <c r="P430" s="375">
        <f>0+'táj.2.'!P430</f>
        <v>0</v>
      </c>
      <c r="Q430" s="375">
        <f t="shared" si="24"/>
        <v>1570</v>
      </c>
    </row>
    <row r="431" spans="1:17" ht="12.75" customHeight="1">
      <c r="A431" s="391"/>
      <c r="B431" s="391"/>
      <c r="C431" s="182" t="s">
        <v>542</v>
      </c>
      <c r="D431" s="118" t="s">
        <v>1248</v>
      </c>
      <c r="E431" s="185"/>
      <c r="F431" s="658">
        <v>154463</v>
      </c>
      <c r="G431" s="375">
        <f>0+'táj.2.'!G431</f>
        <v>0</v>
      </c>
      <c r="H431" s="375">
        <f>0+'táj.2.'!H431</f>
        <v>0</v>
      </c>
      <c r="I431" s="375">
        <f>0+'táj.2.'!I431</f>
        <v>0</v>
      </c>
      <c r="J431" s="375">
        <f>0+'táj.2.'!J431</f>
        <v>0</v>
      </c>
      <c r="K431" s="375">
        <f>0+'táj.2.'!K431</f>
        <v>0</v>
      </c>
      <c r="L431" s="375">
        <f>0+'táj.2.'!L431</f>
        <v>0</v>
      </c>
      <c r="M431" s="375">
        <f>27470+'táj.2.'!M431</f>
        <v>27470</v>
      </c>
      <c r="N431" s="375">
        <f>0+'táj.2.'!N431</f>
        <v>0</v>
      </c>
      <c r="O431" s="375">
        <f>0+'táj.2.'!O431</f>
        <v>0</v>
      </c>
      <c r="P431" s="375">
        <f>0+'táj.2.'!P431</f>
        <v>0</v>
      </c>
      <c r="Q431" s="375">
        <f t="shared" si="24"/>
        <v>27470</v>
      </c>
    </row>
    <row r="432" spans="1:17" ht="12.75" customHeight="1">
      <c r="A432" s="391"/>
      <c r="B432" s="391"/>
      <c r="C432" s="182" t="s">
        <v>543</v>
      </c>
      <c r="D432" s="118" t="s">
        <v>1249</v>
      </c>
      <c r="E432" s="185"/>
      <c r="F432" s="658">
        <v>154482</v>
      </c>
      <c r="G432" s="375">
        <f>0+'táj.2.'!G432</f>
        <v>0</v>
      </c>
      <c r="H432" s="375">
        <f>0+'táj.2.'!H432</f>
        <v>0</v>
      </c>
      <c r="I432" s="375">
        <f>0+'táj.2.'!I432</f>
        <v>0</v>
      </c>
      <c r="J432" s="375">
        <f>0+'táj.2.'!J432</f>
        <v>0</v>
      </c>
      <c r="K432" s="375">
        <f>0+'táj.2.'!K432</f>
        <v>0</v>
      </c>
      <c r="L432" s="375">
        <f>0+'táj.2.'!L432</f>
        <v>0</v>
      </c>
      <c r="M432" s="375">
        <f>18967+'táj.2.'!M432</f>
        <v>18967</v>
      </c>
      <c r="N432" s="375">
        <f>0+'táj.2.'!N432</f>
        <v>0</v>
      </c>
      <c r="O432" s="375">
        <f>0+'táj.2.'!O432</f>
        <v>0</v>
      </c>
      <c r="P432" s="375">
        <f>0+'táj.2.'!P432</f>
        <v>0</v>
      </c>
      <c r="Q432" s="375">
        <f t="shared" si="24"/>
        <v>18967</v>
      </c>
    </row>
    <row r="433" spans="1:17" ht="12.75" customHeight="1">
      <c r="A433" s="391"/>
      <c r="B433" s="391"/>
      <c r="C433" s="182" t="s">
        <v>860</v>
      </c>
      <c r="D433" s="118" t="s">
        <v>695</v>
      </c>
      <c r="E433" s="185"/>
      <c r="F433" s="658">
        <v>154420</v>
      </c>
      <c r="G433" s="375">
        <f>0+'táj.2.'!G433</f>
        <v>0</v>
      </c>
      <c r="H433" s="375">
        <f>0+'táj.2.'!H433</f>
        <v>0</v>
      </c>
      <c r="I433" s="375">
        <f>0+'táj.2.'!I433</f>
        <v>0</v>
      </c>
      <c r="J433" s="375">
        <f>0+'táj.2.'!J433</f>
        <v>0</v>
      </c>
      <c r="K433" s="375">
        <f>0+'táj.2.'!K433</f>
        <v>0</v>
      </c>
      <c r="L433" s="375">
        <f>0+'táj.2.'!L433</f>
        <v>0</v>
      </c>
      <c r="M433" s="375">
        <f>3998+'táj.2.'!M433</f>
        <v>3998</v>
      </c>
      <c r="N433" s="375">
        <f>0+'táj.2.'!N433</f>
        <v>0</v>
      </c>
      <c r="O433" s="375">
        <f>0+'táj.2.'!O433</f>
        <v>0</v>
      </c>
      <c r="P433" s="375">
        <f>0+'táj.2.'!P433</f>
        <v>0</v>
      </c>
      <c r="Q433" s="375">
        <f t="shared" si="24"/>
        <v>3998</v>
      </c>
    </row>
    <row r="434" spans="1:17" ht="12.75" customHeight="1">
      <c r="A434" s="391"/>
      <c r="B434" s="391"/>
      <c r="C434" s="182" t="s">
        <v>861</v>
      </c>
      <c r="D434" s="118" t="s">
        <v>1252</v>
      </c>
      <c r="E434" s="185"/>
      <c r="F434" s="658">
        <v>155423</v>
      </c>
      <c r="G434" s="375">
        <f>0+'táj.2.'!G434</f>
        <v>0</v>
      </c>
      <c r="H434" s="375">
        <f>0+'táj.2.'!H434</f>
        <v>0</v>
      </c>
      <c r="I434" s="375">
        <f>0+'táj.2.'!I434</f>
        <v>0</v>
      </c>
      <c r="J434" s="375">
        <f>0+'táj.2.'!J434</f>
        <v>0</v>
      </c>
      <c r="K434" s="375">
        <f>0+'táj.2.'!K434</f>
        <v>0</v>
      </c>
      <c r="L434" s="375">
        <f>0+'táj.2.'!L434</f>
        <v>0</v>
      </c>
      <c r="M434" s="375">
        <f>6702+'táj.2.'!M434</f>
        <v>6702</v>
      </c>
      <c r="N434" s="375">
        <f>0+'táj.2.'!N434</f>
        <v>0</v>
      </c>
      <c r="O434" s="375">
        <f>0+'táj.2.'!O434</f>
        <v>0</v>
      </c>
      <c r="P434" s="375">
        <f>0+'táj.2.'!P434</f>
        <v>0</v>
      </c>
      <c r="Q434" s="375">
        <f t="shared" si="24"/>
        <v>6702</v>
      </c>
    </row>
    <row r="435" spans="1:17" ht="12.75" customHeight="1">
      <c r="A435" s="391"/>
      <c r="B435" s="391"/>
      <c r="C435" s="182" t="s">
        <v>862</v>
      </c>
      <c r="D435" s="118" t="s">
        <v>1253</v>
      </c>
      <c r="E435" s="185"/>
      <c r="F435" s="658">
        <v>155425</v>
      </c>
      <c r="G435" s="375">
        <f>0+'táj.2.'!G435</f>
        <v>0</v>
      </c>
      <c r="H435" s="375">
        <f>0+'táj.2.'!H435</f>
        <v>0</v>
      </c>
      <c r="I435" s="375">
        <f>0+'táj.2.'!I435</f>
        <v>0</v>
      </c>
      <c r="J435" s="375">
        <f>0+'táj.2.'!J435</f>
        <v>0</v>
      </c>
      <c r="K435" s="375">
        <f>0+'táj.2.'!K435</f>
        <v>0</v>
      </c>
      <c r="L435" s="375">
        <f>0+'táj.2.'!L435</f>
        <v>0</v>
      </c>
      <c r="M435" s="375">
        <f>3114+'táj.2.'!M435</f>
        <v>3114</v>
      </c>
      <c r="N435" s="375">
        <f>0+'táj.2.'!N435</f>
        <v>0</v>
      </c>
      <c r="O435" s="375">
        <f>0+'táj.2.'!O435</f>
        <v>0</v>
      </c>
      <c r="P435" s="375">
        <f>0+'táj.2.'!P435</f>
        <v>0</v>
      </c>
      <c r="Q435" s="375">
        <f t="shared" si="24"/>
        <v>3114</v>
      </c>
    </row>
    <row r="436" spans="1:17" ht="23.25" customHeight="1">
      <c r="A436" s="391"/>
      <c r="B436" s="391"/>
      <c r="C436" s="182" t="s">
        <v>863</v>
      </c>
      <c r="D436" s="555" t="s">
        <v>1261</v>
      </c>
      <c r="E436" s="185"/>
      <c r="F436" s="658">
        <v>155431</v>
      </c>
      <c r="G436" s="375">
        <f>0+'táj.2.'!G436</f>
        <v>0</v>
      </c>
      <c r="H436" s="375">
        <f>0+'táj.2.'!H436</f>
        <v>0</v>
      </c>
      <c r="I436" s="375">
        <f>0+'táj.2.'!I436</f>
        <v>0</v>
      </c>
      <c r="J436" s="375">
        <f>0+'táj.2.'!J436</f>
        <v>0</v>
      </c>
      <c r="K436" s="375">
        <f>0+'táj.2.'!K436</f>
        <v>0</v>
      </c>
      <c r="L436" s="375">
        <f>0+'táj.2.'!L436</f>
        <v>0</v>
      </c>
      <c r="M436" s="375">
        <f>2284+'táj.2.'!M436</f>
        <v>2284</v>
      </c>
      <c r="N436" s="375">
        <f>0+'táj.2.'!N436</f>
        <v>0</v>
      </c>
      <c r="O436" s="375">
        <f>0+'táj.2.'!O436</f>
        <v>0</v>
      </c>
      <c r="P436" s="375">
        <f>0+'táj.2.'!P436</f>
        <v>0</v>
      </c>
      <c r="Q436" s="375">
        <f t="shared" si="24"/>
        <v>2284</v>
      </c>
    </row>
    <row r="437" spans="1:17" ht="25.5" customHeight="1">
      <c r="A437" s="391"/>
      <c r="B437" s="391"/>
      <c r="C437" s="182" t="s">
        <v>864</v>
      </c>
      <c r="D437" s="418" t="s">
        <v>865</v>
      </c>
      <c r="E437" s="185"/>
      <c r="F437" s="658">
        <v>155432</v>
      </c>
      <c r="G437" s="375">
        <f>0+'táj.2.'!G437</f>
        <v>0</v>
      </c>
      <c r="H437" s="375">
        <f>0+'táj.2.'!H437</f>
        <v>0</v>
      </c>
      <c r="I437" s="375">
        <f>0+'táj.2.'!I437</f>
        <v>0</v>
      </c>
      <c r="J437" s="375">
        <f>0+'táj.2.'!J437</f>
        <v>0</v>
      </c>
      <c r="K437" s="375">
        <f>0+'táj.2.'!K437</f>
        <v>0</v>
      </c>
      <c r="L437" s="375">
        <f>0+'táj.2.'!L437</f>
        <v>0</v>
      </c>
      <c r="M437" s="375">
        <f>1969+'táj.2.'!M437</f>
        <v>0</v>
      </c>
      <c r="N437" s="375">
        <f>0+'táj.2.'!N437</f>
        <v>0</v>
      </c>
      <c r="O437" s="375">
        <f>0+'táj.2.'!O437</f>
        <v>0</v>
      </c>
      <c r="P437" s="375">
        <f>0+'táj.2.'!P437</f>
        <v>0</v>
      </c>
      <c r="Q437" s="375">
        <f t="shared" si="24"/>
        <v>0</v>
      </c>
    </row>
    <row r="438" spans="1:17" ht="12.75" customHeight="1">
      <c r="A438" s="391"/>
      <c r="B438" s="391"/>
      <c r="C438" s="182" t="s">
        <v>866</v>
      </c>
      <c r="D438" s="419" t="s">
        <v>1262</v>
      </c>
      <c r="E438" s="185"/>
      <c r="F438" s="658">
        <v>155433</v>
      </c>
      <c r="G438" s="375">
        <f>0+'táj.2.'!G438</f>
        <v>0</v>
      </c>
      <c r="H438" s="375">
        <f>0+'táj.2.'!H438</f>
        <v>0</v>
      </c>
      <c r="I438" s="375">
        <f>0+'táj.2.'!I438</f>
        <v>0</v>
      </c>
      <c r="J438" s="375">
        <f>0+'táj.2.'!J438</f>
        <v>0</v>
      </c>
      <c r="K438" s="375">
        <f>0+'táj.2.'!K438</f>
        <v>0</v>
      </c>
      <c r="L438" s="375">
        <f>0+'táj.2.'!L438</f>
        <v>0</v>
      </c>
      <c r="M438" s="375">
        <f>7725+'táj.2.'!M438</f>
        <v>6395</v>
      </c>
      <c r="N438" s="375">
        <f>0+'táj.2.'!N438</f>
        <v>0</v>
      </c>
      <c r="O438" s="375">
        <f>0+'táj.2.'!O438</f>
        <v>0</v>
      </c>
      <c r="P438" s="375">
        <f>0+'táj.2.'!P438</f>
        <v>0</v>
      </c>
      <c r="Q438" s="375">
        <f t="shared" si="24"/>
        <v>6395</v>
      </c>
    </row>
    <row r="439" spans="1:17" ht="12.75" customHeight="1">
      <c r="A439" s="391"/>
      <c r="B439" s="391"/>
      <c r="C439" s="182" t="s">
        <v>867</v>
      </c>
      <c r="D439" s="118" t="s">
        <v>868</v>
      </c>
      <c r="E439" s="185"/>
      <c r="F439" s="658">
        <v>154500</v>
      </c>
      <c r="G439" s="375">
        <f>0+'táj.2.'!G439</f>
        <v>0</v>
      </c>
      <c r="H439" s="375">
        <f>0+'táj.2.'!H439</f>
        <v>0</v>
      </c>
      <c r="I439" s="375">
        <f>0+'táj.2.'!I439</f>
        <v>0</v>
      </c>
      <c r="J439" s="375">
        <f>0+'táj.2.'!J439</f>
        <v>0</v>
      </c>
      <c r="K439" s="375">
        <f>0+'táj.2.'!K439</f>
        <v>0</v>
      </c>
      <c r="L439" s="375">
        <f>0+'táj.2.'!L439</f>
        <v>0</v>
      </c>
      <c r="M439" s="375">
        <f>1500+'táj.2.'!M439</f>
        <v>1500</v>
      </c>
      <c r="N439" s="375">
        <f>0+'táj.2.'!N439</f>
        <v>0</v>
      </c>
      <c r="O439" s="375">
        <f>0+'táj.2.'!O439</f>
        <v>0</v>
      </c>
      <c r="P439" s="375">
        <f>0+'táj.2.'!P439</f>
        <v>0</v>
      </c>
      <c r="Q439" s="375">
        <f t="shared" si="24"/>
        <v>1500</v>
      </c>
    </row>
    <row r="440" spans="1:17" ht="27" customHeight="1">
      <c r="A440" s="391"/>
      <c r="B440" s="391"/>
      <c r="C440" s="182" t="s">
        <v>869</v>
      </c>
      <c r="D440" s="203" t="s">
        <v>766</v>
      </c>
      <c r="E440" s="185"/>
      <c r="F440" s="658">
        <v>152405</v>
      </c>
      <c r="G440" s="375">
        <f>0+'táj.2.'!G440</f>
        <v>0</v>
      </c>
      <c r="H440" s="375">
        <f>0+'táj.2.'!H440</f>
        <v>0</v>
      </c>
      <c r="I440" s="375">
        <f>0+'táj.2.'!I440</f>
        <v>0</v>
      </c>
      <c r="J440" s="375">
        <f>0+'táj.2.'!J440</f>
        <v>0</v>
      </c>
      <c r="K440" s="375">
        <f>0+'táj.2.'!K440</f>
        <v>0</v>
      </c>
      <c r="L440" s="375">
        <f>0+'táj.2.'!L440</f>
        <v>0</v>
      </c>
      <c r="M440" s="375">
        <f>0+'táj.2.'!M440</f>
        <v>0</v>
      </c>
      <c r="N440" s="375">
        <f>0+'táj.2.'!N440</f>
        <v>0</v>
      </c>
      <c r="O440" s="375">
        <f>0+'táj.2.'!O440</f>
        <v>0</v>
      </c>
      <c r="P440" s="375">
        <f>0+'táj.2.'!P440</f>
        <v>0</v>
      </c>
      <c r="Q440" s="375">
        <f t="shared" si="24"/>
        <v>0</v>
      </c>
    </row>
    <row r="441" spans="1:17" ht="15.75" customHeight="1">
      <c r="A441" s="391"/>
      <c r="B441" s="391"/>
      <c r="C441" s="680" t="s">
        <v>22</v>
      </c>
      <c r="D441" s="188" t="s">
        <v>23</v>
      </c>
      <c r="E441" s="185"/>
      <c r="F441" s="23">
        <v>152922</v>
      </c>
      <c r="G441" s="375"/>
      <c r="H441" s="375"/>
      <c r="I441" s="375"/>
      <c r="J441" s="375"/>
      <c r="K441" s="375"/>
      <c r="L441" s="375">
        <f>1990+'táj.2.'!L441</f>
        <v>1990</v>
      </c>
      <c r="M441" s="375"/>
      <c r="N441" s="375"/>
      <c r="O441" s="375"/>
      <c r="P441" s="375"/>
      <c r="Q441" s="375">
        <f t="shared" si="24"/>
        <v>1990</v>
      </c>
    </row>
    <row r="442" spans="1:17" ht="13.5" customHeight="1">
      <c r="A442" s="391"/>
      <c r="B442" s="391"/>
      <c r="C442" s="680" t="s">
        <v>24</v>
      </c>
      <c r="D442" s="188" t="s">
        <v>25</v>
      </c>
      <c r="E442" s="185"/>
      <c r="F442" s="13">
        <v>155421</v>
      </c>
      <c r="G442" s="375"/>
      <c r="H442" s="375"/>
      <c r="I442" s="375"/>
      <c r="J442" s="375"/>
      <c r="K442" s="375"/>
      <c r="L442" s="375">
        <f>0+'táj.2.'!L442</f>
        <v>0</v>
      </c>
      <c r="M442" s="375">
        <f>400+'táj.2.'!M442</f>
        <v>400</v>
      </c>
      <c r="N442" s="375"/>
      <c r="O442" s="375"/>
      <c r="P442" s="375"/>
      <c r="Q442" s="375">
        <f t="shared" si="24"/>
        <v>400</v>
      </c>
    </row>
    <row r="443" spans="1:17" ht="12.75" customHeight="1">
      <c r="A443" s="391"/>
      <c r="B443" s="391"/>
      <c r="C443" s="391" t="s">
        <v>630</v>
      </c>
      <c r="D443" s="541" t="s">
        <v>564</v>
      </c>
      <c r="E443" s="185"/>
      <c r="F443" s="658"/>
      <c r="G443" s="375"/>
      <c r="H443" s="374"/>
      <c r="I443" s="374"/>
      <c r="J443" s="374"/>
      <c r="K443" s="374"/>
      <c r="L443" s="375"/>
      <c r="M443" s="375"/>
      <c r="N443" s="375"/>
      <c r="O443" s="374"/>
      <c r="P443" s="374"/>
      <c r="Q443" s="375"/>
    </row>
    <row r="444" spans="1:17" ht="12.75" customHeight="1">
      <c r="A444" s="391"/>
      <c r="B444" s="391"/>
      <c r="C444" s="182" t="s">
        <v>669</v>
      </c>
      <c r="D444" s="24" t="s">
        <v>787</v>
      </c>
      <c r="E444" s="185"/>
      <c r="F444" s="658">
        <v>152908</v>
      </c>
      <c r="G444" s="375">
        <f>0+'táj.2.'!G444</f>
        <v>0</v>
      </c>
      <c r="H444" s="375">
        <f>0+'táj.2.'!H444</f>
        <v>0</v>
      </c>
      <c r="I444" s="375">
        <f>0+'táj.2.'!I444</f>
        <v>0</v>
      </c>
      <c r="J444" s="375">
        <f>0+'táj.2.'!J444</f>
        <v>0</v>
      </c>
      <c r="K444" s="375">
        <f>0+'táj.2.'!K444</f>
        <v>0</v>
      </c>
      <c r="L444" s="375">
        <f>9000+'táj.2.'!L444</f>
        <v>9000</v>
      </c>
      <c r="M444" s="375">
        <f>0+'táj.2.'!M444</f>
        <v>0</v>
      </c>
      <c r="N444" s="375">
        <f>0+'táj.2.'!N444</f>
        <v>0</v>
      </c>
      <c r="O444" s="375">
        <f>0+'táj.2.'!O444</f>
        <v>0</v>
      </c>
      <c r="P444" s="375">
        <f>0+'táj.2.'!P444</f>
        <v>0</v>
      </c>
      <c r="Q444" s="375">
        <f aca="true" t="shared" si="25" ref="Q444:Q462">SUM(G444:P444)</f>
        <v>9000</v>
      </c>
    </row>
    <row r="445" spans="1:17" ht="12.75" customHeight="1">
      <c r="A445" s="391"/>
      <c r="B445" s="391"/>
      <c r="C445" s="182" t="s">
        <v>670</v>
      </c>
      <c r="D445" s="392" t="s">
        <v>870</v>
      </c>
      <c r="E445" s="185"/>
      <c r="F445" s="658">
        <v>162921</v>
      </c>
      <c r="G445" s="375">
        <f>0+'táj.2.'!G445</f>
        <v>0</v>
      </c>
      <c r="H445" s="375">
        <f>0+'táj.2.'!H445</f>
        <v>0</v>
      </c>
      <c r="I445" s="375">
        <f>0+'táj.2.'!I445</f>
        <v>0</v>
      </c>
      <c r="J445" s="375">
        <f>0+'táj.2.'!J445</f>
        <v>0</v>
      </c>
      <c r="K445" s="375">
        <f>0+'táj.2.'!K445</f>
        <v>0</v>
      </c>
      <c r="L445" s="375">
        <f>1000+'táj.2.'!L445</f>
        <v>1000</v>
      </c>
      <c r="M445" s="375">
        <f>0+'táj.2.'!M445</f>
        <v>0</v>
      </c>
      <c r="N445" s="375">
        <f>0+'táj.2.'!N445</f>
        <v>0</v>
      </c>
      <c r="O445" s="375">
        <f>0+'táj.2.'!O445</f>
        <v>0</v>
      </c>
      <c r="P445" s="375">
        <f>0+'táj.2.'!P445</f>
        <v>0</v>
      </c>
      <c r="Q445" s="375">
        <f t="shared" si="25"/>
        <v>1000</v>
      </c>
    </row>
    <row r="446" spans="1:17" ht="12.75" customHeight="1">
      <c r="A446" s="391"/>
      <c r="B446" s="391"/>
      <c r="C446" s="182" t="s">
        <v>671</v>
      </c>
      <c r="D446" s="392" t="s">
        <v>871</v>
      </c>
      <c r="E446" s="185"/>
      <c r="F446" s="658">
        <v>152924</v>
      </c>
      <c r="G446" s="375">
        <f>0+'táj.2.'!G446</f>
        <v>0</v>
      </c>
      <c r="H446" s="375">
        <f>0+'táj.2.'!H446</f>
        <v>0</v>
      </c>
      <c r="I446" s="375">
        <f>0+'táj.2.'!I446</f>
        <v>0</v>
      </c>
      <c r="J446" s="375">
        <f>0+'táj.2.'!J446</f>
        <v>0</v>
      </c>
      <c r="K446" s="375">
        <f>0+'táj.2.'!K446</f>
        <v>0</v>
      </c>
      <c r="L446" s="375">
        <f>1000+'táj.2.'!L446</f>
        <v>1000</v>
      </c>
      <c r="M446" s="375">
        <f>0+'táj.2.'!M446</f>
        <v>0</v>
      </c>
      <c r="N446" s="375">
        <f>0+'táj.2.'!N446</f>
        <v>0</v>
      </c>
      <c r="O446" s="375">
        <f>0+'táj.2.'!O446</f>
        <v>0</v>
      </c>
      <c r="P446" s="375">
        <f>0+'táj.2.'!P446</f>
        <v>0</v>
      </c>
      <c r="Q446" s="375">
        <f t="shared" si="25"/>
        <v>1000</v>
      </c>
    </row>
    <row r="447" spans="1:17" ht="12.75" customHeight="1">
      <c r="A447" s="391"/>
      <c r="B447" s="391"/>
      <c r="C447" s="182" t="s">
        <v>672</v>
      </c>
      <c r="D447" s="392" t="s">
        <v>872</v>
      </c>
      <c r="E447" s="185"/>
      <c r="F447" s="658">
        <v>152925</v>
      </c>
      <c r="G447" s="375">
        <f>0+'táj.2.'!G447</f>
        <v>0</v>
      </c>
      <c r="H447" s="375">
        <f>0+'táj.2.'!H447</f>
        <v>0</v>
      </c>
      <c r="I447" s="375">
        <f>0+'táj.2.'!I447</f>
        <v>0</v>
      </c>
      <c r="J447" s="375">
        <f>0+'táj.2.'!J447</f>
        <v>0</v>
      </c>
      <c r="K447" s="375">
        <f>1000+'táj.2.'!K447</f>
        <v>1000</v>
      </c>
      <c r="L447" s="375">
        <f>0+'táj.2.'!L447</f>
        <v>0</v>
      </c>
      <c r="M447" s="375">
        <f>0+'táj.2.'!M447</f>
        <v>0</v>
      </c>
      <c r="N447" s="375">
        <f>0+'táj.2.'!N447</f>
        <v>0</v>
      </c>
      <c r="O447" s="375">
        <f>0+'táj.2.'!O447</f>
        <v>0</v>
      </c>
      <c r="P447" s="375">
        <f>0+'táj.2.'!P447</f>
        <v>0</v>
      </c>
      <c r="Q447" s="375">
        <f t="shared" si="25"/>
        <v>1000</v>
      </c>
    </row>
    <row r="448" spans="1:17" ht="12.75" customHeight="1">
      <c r="A448" s="391"/>
      <c r="B448" s="391"/>
      <c r="C448" s="182" t="s">
        <v>769</v>
      </c>
      <c r="D448" s="392" t="s">
        <v>873</v>
      </c>
      <c r="E448" s="185"/>
      <c r="F448" s="658">
        <v>152926</v>
      </c>
      <c r="G448" s="375">
        <f>0+'táj.2.'!G448</f>
        <v>0</v>
      </c>
      <c r="H448" s="375">
        <f>0+'táj.2.'!H448</f>
        <v>0</v>
      </c>
      <c r="I448" s="375">
        <f>0+'táj.2.'!I448</f>
        <v>0</v>
      </c>
      <c r="J448" s="375">
        <f>0+'táj.2.'!J448</f>
        <v>0</v>
      </c>
      <c r="K448" s="375">
        <f>0+'táj.2.'!K448</f>
        <v>0</v>
      </c>
      <c r="L448" s="375">
        <f>1000+'táj.2.'!L448</f>
        <v>1000</v>
      </c>
      <c r="M448" s="375">
        <f>0+'táj.2.'!M448</f>
        <v>0</v>
      </c>
      <c r="N448" s="375">
        <f>0+'táj.2.'!N448</f>
        <v>0</v>
      </c>
      <c r="O448" s="375">
        <f>0+'táj.2.'!O448</f>
        <v>0</v>
      </c>
      <c r="P448" s="375">
        <f>0+'táj.2.'!P448</f>
        <v>0</v>
      </c>
      <c r="Q448" s="375">
        <f t="shared" si="25"/>
        <v>1000</v>
      </c>
    </row>
    <row r="449" spans="1:17" ht="12.75" customHeight="1">
      <c r="A449" s="391"/>
      <c r="B449" s="391"/>
      <c r="C449" s="182" t="s">
        <v>770</v>
      </c>
      <c r="D449" s="392" t="s">
        <v>1167</v>
      </c>
      <c r="E449" s="185"/>
      <c r="F449" s="658">
        <v>152505</v>
      </c>
      <c r="G449" s="375">
        <f>0+'táj.2.'!G449</f>
        <v>0</v>
      </c>
      <c r="H449" s="375">
        <f>0+'táj.2.'!H449</f>
        <v>0</v>
      </c>
      <c r="I449" s="375">
        <f>0+'táj.2.'!I449</f>
        <v>0</v>
      </c>
      <c r="J449" s="375">
        <f>0+'táj.2.'!J449</f>
        <v>0</v>
      </c>
      <c r="K449" s="375">
        <f>0+'táj.2.'!K449</f>
        <v>0</v>
      </c>
      <c r="L449" s="375">
        <f>400+'táj.2.'!L449</f>
        <v>400</v>
      </c>
      <c r="M449" s="375">
        <f>0+'táj.2.'!M449</f>
        <v>0</v>
      </c>
      <c r="N449" s="375">
        <f>0+'táj.2.'!N449</f>
        <v>0</v>
      </c>
      <c r="O449" s="375">
        <f>0+'táj.2.'!O449</f>
        <v>0</v>
      </c>
      <c r="P449" s="375">
        <f>0+'táj.2.'!P449</f>
        <v>0</v>
      </c>
      <c r="Q449" s="375">
        <f t="shared" si="25"/>
        <v>400</v>
      </c>
    </row>
    <row r="450" spans="1:17" ht="12.75" customHeight="1">
      <c r="A450" s="391"/>
      <c r="B450" s="391"/>
      <c r="C450" s="182" t="s">
        <v>771</v>
      </c>
      <c r="D450" s="392" t="s">
        <v>875</v>
      </c>
      <c r="E450" s="185"/>
      <c r="F450" s="658">
        <v>152912</v>
      </c>
      <c r="G450" s="375">
        <f>0+'táj.2.'!G450</f>
        <v>0</v>
      </c>
      <c r="H450" s="375">
        <f>0+'táj.2.'!H450</f>
        <v>0</v>
      </c>
      <c r="I450" s="375">
        <f>0+'táj.2.'!I450</f>
        <v>0</v>
      </c>
      <c r="J450" s="375">
        <f>0+'táj.2.'!J450</f>
        <v>0</v>
      </c>
      <c r="K450" s="375">
        <f>0+'táj.2.'!K450</f>
        <v>0</v>
      </c>
      <c r="L450" s="375">
        <f>1000+'táj.2.'!L450</f>
        <v>1000</v>
      </c>
      <c r="M450" s="375">
        <f>0+'táj.2.'!M450</f>
        <v>0</v>
      </c>
      <c r="N450" s="375">
        <f>0+'táj.2.'!N450</f>
        <v>0</v>
      </c>
      <c r="O450" s="375">
        <f>0+'táj.2.'!O450</f>
        <v>0</v>
      </c>
      <c r="P450" s="375">
        <f>0+'táj.2.'!P450</f>
        <v>0</v>
      </c>
      <c r="Q450" s="375">
        <f t="shared" si="25"/>
        <v>1000</v>
      </c>
    </row>
    <row r="451" spans="1:17" ht="12.75" customHeight="1">
      <c r="A451" s="391"/>
      <c r="B451" s="391"/>
      <c r="C451" s="182" t="s">
        <v>772</v>
      </c>
      <c r="D451" s="392" t="s">
        <v>876</v>
      </c>
      <c r="E451" s="185"/>
      <c r="F451" s="658">
        <v>152927</v>
      </c>
      <c r="G451" s="375">
        <f>0+'táj.2.'!G451</f>
        <v>0</v>
      </c>
      <c r="H451" s="375">
        <f>0+'táj.2.'!H451</f>
        <v>0</v>
      </c>
      <c r="I451" s="375">
        <f>0+'táj.2.'!I451</f>
        <v>0</v>
      </c>
      <c r="J451" s="375">
        <f>0+'táj.2.'!J451</f>
        <v>0</v>
      </c>
      <c r="K451" s="375">
        <f>0+'táj.2.'!K451</f>
        <v>0</v>
      </c>
      <c r="L451" s="375">
        <f>500+'táj.2.'!L451</f>
        <v>500</v>
      </c>
      <c r="M451" s="375">
        <f>0+'táj.2.'!M451</f>
        <v>0</v>
      </c>
      <c r="N451" s="375">
        <f>0+'táj.2.'!N451</f>
        <v>0</v>
      </c>
      <c r="O451" s="375">
        <f>0+'táj.2.'!O451</f>
        <v>0</v>
      </c>
      <c r="P451" s="375">
        <f>0+'táj.2.'!P451</f>
        <v>0</v>
      </c>
      <c r="Q451" s="375">
        <f t="shared" si="25"/>
        <v>500</v>
      </c>
    </row>
    <row r="452" spans="1:17" ht="27.75" customHeight="1">
      <c r="A452" s="391"/>
      <c r="B452" s="391"/>
      <c r="C452" s="182" t="s">
        <v>774</v>
      </c>
      <c r="D452" s="392" t="s">
        <v>877</v>
      </c>
      <c r="E452" s="185"/>
      <c r="F452" s="658">
        <v>152502</v>
      </c>
      <c r="G452" s="375">
        <f>0+'táj.2.'!G452</f>
        <v>0</v>
      </c>
      <c r="H452" s="375">
        <f>0+'táj.2.'!H452</f>
        <v>0</v>
      </c>
      <c r="I452" s="375">
        <f>0+'táj.2.'!I452</f>
        <v>0</v>
      </c>
      <c r="J452" s="375">
        <f>0+'táj.2.'!J452</f>
        <v>0</v>
      </c>
      <c r="K452" s="375">
        <f>0+'táj.2.'!K452</f>
        <v>0</v>
      </c>
      <c r="L452" s="375">
        <f>500+'táj.2.'!L452</f>
        <v>0</v>
      </c>
      <c r="M452" s="375">
        <f>0+'táj.2.'!M452</f>
        <v>0</v>
      </c>
      <c r="N452" s="375">
        <f>0+'táj.2.'!N452</f>
        <v>0</v>
      </c>
      <c r="O452" s="375">
        <f>0+'táj.2.'!O452</f>
        <v>0</v>
      </c>
      <c r="P452" s="375">
        <f>0+'táj.2.'!P452</f>
        <v>0</v>
      </c>
      <c r="Q452" s="375">
        <f t="shared" si="25"/>
        <v>0</v>
      </c>
    </row>
    <row r="453" spans="1:17" ht="26.25" customHeight="1">
      <c r="A453" s="391"/>
      <c r="B453" s="391"/>
      <c r="C453" s="182" t="s">
        <v>778</v>
      </c>
      <c r="D453" s="557" t="s">
        <v>878</v>
      </c>
      <c r="E453" s="185"/>
      <c r="F453" s="658">
        <v>152503</v>
      </c>
      <c r="G453" s="375">
        <f>0+'táj.2.'!G453</f>
        <v>0</v>
      </c>
      <c r="H453" s="375">
        <f>0+'táj.2.'!H453</f>
        <v>0</v>
      </c>
      <c r="I453" s="375">
        <f>0+'táj.2.'!I453</f>
        <v>0</v>
      </c>
      <c r="J453" s="375">
        <f>0+'táj.2.'!J453</f>
        <v>0</v>
      </c>
      <c r="K453" s="375">
        <f>0+'táj.2.'!K453</f>
        <v>0</v>
      </c>
      <c r="L453" s="375">
        <f>500+'táj.2.'!L453</f>
        <v>500</v>
      </c>
      <c r="M453" s="375">
        <f>0+'táj.2.'!M453</f>
        <v>0</v>
      </c>
      <c r="N453" s="375">
        <f>0+'táj.2.'!N453</f>
        <v>0</v>
      </c>
      <c r="O453" s="375">
        <f>0+'táj.2.'!O453</f>
        <v>0</v>
      </c>
      <c r="P453" s="375">
        <f>0+'táj.2.'!P453</f>
        <v>0</v>
      </c>
      <c r="Q453" s="375">
        <f t="shared" si="25"/>
        <v>500</v>
      </c>
    </row>
    <row r="454" spans="1:17" ht="18" customHeight="1">
      <c r="A454" s="391"/>
      <c r="B454" s="391"/>
      <c r="C454" s="182" t="s">
        <v>779</v>
      </c>
      <c r="D454" s="199" t="s">
        <v>879</v>
      </c>
      <c r="E454" s="185"/>
      <c r="F454" s="658">
        <v>154504</v>
      </c>
      <c r="G454" s="375">
        <f>0+'táj.2.'!G454</f>
        <v>0</v>
      </c>
      <c r="H454" s="375">
        <f>0+'táj.2.'!H454</f>
        <v>0</v>
      </c>
      <c r="I454" s="375">
        <f>2000+'táj.2.'!I454</f>
        <v>2000</v>
      </c>
      <c r="J454" s="375">
        <f>0+'táj.2.'!J454</f>
        <v>0</v>
      </c>
      <c r="K454" s="375">
        <f>0+'táj.2.'!K454</f>
        <v>0</v>
      </c>
      <c r="L454" s="375">
        <f>0+'táj.2.'!L454</f>
        <v>0</v>
      </c>
      <c r="M454" s="375">
        <f>1000+'táj.2.'!M454</f>
        <v>1000</v>
      </c>
      <c r="N454" s="375">
        <f>0+'táj.2.'!N454</f>
        <v>0</v>
      </c>
      <c r="O454" s="375">
        <f>0+'táj.2.'!O454</f>
        <v>0</v>
      </c>
      <c r="P454" s="375">
        <f>0+'táj.2.'!P454</f>
        <v>0</v>
      </c>
      <c r="Q454" s="375">
        <f t="shared" si="25"/>
        <v>3000</v>
      </c>
    </row>
    <row r="455" spans="1:17" ht="15.75" customHeight="1">
      <c r="A455" s="391"/>
      <c r="B455" s="391"/>
      <c r="C455" s="182" t="s">
        <v>780</v>
      </c>
      <c r="D455" s="395" t="s">
        <v>880</v>
      </c>
      <c r="E455" s="185"/>
      <c r="F455" s="658">
        <v>154511</v>
      </c>
      <c r="G455" s="375">
        <f>0+'táj.2.'!G455</f>
        <v>0</v>
      </c>
      <c r="H455" s="375">
        <f>0+'táj.2.'!H455</f>
        <v>0</v>
      </c>
      <c r="I455" s="375">
        <f>5049+'táj.2.'!I455</f>
        <v>5049</v>
      </c>
      <c r="J455" s="375">
        <f>0+'táj.2.'!J455</f>
        <v>0</v>
      </c>
      <c r="K455" s="375">
        <f>0+'táj.2.'!K455</f>
        <v>0</v>
      </c>
      <c r="L455" s="375">
        <f>0+'táj.2.'!L455</f>
        <v>0</v>
      </c>
      <c r="M455" s="375">
        <f>0+'táj.2.'!M455</f>
        <v>0</v>
      </c>
      <c r="N455" s="375">
        <f>0+'táj.2.'!N455</f>
        <v>0</v>
      </c>
      <c r="O455" s="375">
        <f>0+'táj.2.'!O455</f>
        <v>0</v>
      </c>
      <c r="P455" s="375">
        <f>0+'táj.2.'!P455</f>
        <v>0</v>
      </c>
      <c r="Q455" s="375">
        <f t="shared" si="25"/>
        <v>5049</v>
      </c>
    </row>
    <row r="456" spans="1:17" ht="16.5" customHeight="1">
      <c r="A456" s="391"/>
      <c r="B456" s="391"/>
      <c r="C456" s="182" t="s">
        <v>781</v>
      </c>
      <c r="D456" s="552" t="s">
        <v>881</v>
      </c>
      <c r="E456" s="185"/>
      <c r="F456" s="658">
        <v>154901</v>
      </c>
      <c r="G456" s="375">
        <f>0+'táj.2.'!G456</f>
        <v>0</v>
      </c>
      <c r="H456" s="375">
        <f>0+'táj.2.'!H456</f>
        <v>0</v>
      </c>
      <c r="I456" s="375">
        <f>0+'táj.2.'!I456</f>
        <v>0</v>
      </c>
      <c r="J456" s="375">
        <f>0+'táj.2.'!J456</f>
        <v>0</v>
      </c>
      <c r="K456" s="375">
        <f>0+'táj.2.'!K456</f>
        <v>0</v>
      </c>
      <c r="L456" s="375">
        <f>0+'táj.2.'!L456</f>
        <v>0</v>
      </c>
      <c r="M456" s="375">
        <f>1500+'táj.2.'!M456</f>
        <v>1500</v>
      </c>
      <c r="N456" s="375">
        <f>0+'táj.2.'!N456</f>
        <v>0</v>
      </c>
      <c r="O456" s="375">
        <f>0+'táj.2.'!O456</f>
        <v>0</v>
      </c>
      <c r="P456" s="375">
        <f>0+'táj.2.'!P456</f>
        <v>0</v>
      </c>
      <c r="Q456" s="375">
        <f t="shared" si="25"/>
        <v>1500</v>
      </c>
    </row>
    <row r="457" spans="1:17" ht="17.25" customHeight="1">
      <c r="A457" s="391"/>
      <c r="B457" s="391"/>
      <c r="C457" s="182" t="s">
        <v>782</v>
      </c>
      <c r="D457" s="392" t="s">
        <v>882</v>
      </c>
      <c r="E457" s="185"/>
      <c r="F457" s="658">
        <v>152523</v>
      </c>
      <c r="G457" s="375">
        <f>0+'táj.2.'!G457</f>
        <v>0</v>
      </c>
      <c r="H457" s="375">
        <f>0+'táj.2.'!H457</f>
        <v>0</v>
      </c>
      <c r="I457" s="375">
        <f>0+'táj.2.'!I457</f>
        <v>0</v>
      </c>
      <c r="J457" s="375">
        <f>0+'táj.2.'!J457</f>
        <v>0</v>
      </c>
      <c r="K457" s="375">
        <f>0+'táj.2.'!K457</f>
        <v>0</v>
      </c>
      <c r="L457" s="375">
        <f>0+'táj.2.'!L457</f>
        <v>0</v>
      </c>
      <c r="M457" s="375">
        <f>600+'táj.2.'!M457</f>
        <v>600</v>
      </c>
      <c r="N457" s="375">
        <f>0+'táj.2.'!N457</f>
        <v>0</v>
      </c>
      <c r="O457" s="375">
        <f>0+'táj.2.'!O457</f>
        <v>0</v>
      </c>
      <c r="P457" s="375">
        <f>0+'táj.2.'!P457</f>
        <v>0</v>
      </c>
      <c r="Q457" s="375">
        <f t="shared" si="25"/>
        <v>600</v>
      </c>
    </row>
    <row r="458" spans="1:17" ht="20.25" customHeight="1">
      <c r="A458" s="391"/>
      <c r="B458" s="391"/>
      <c r="C458" s="182" t="s">
        <v>784</v>
      </c>
      <c r="D458" s="392" t="s">
        <v>883</v>
      </c>
      <c r="E458" s="185"/>
      <c r="F458" s="658">
        <v>154505</v>
      </c>
      <c r="G458" s="375">
        <f>0+'táj.2.'!G458</f>
        <v>0</v>
      </c>
      <c r="H458" s="375">
        <f>0+'táj.2.'!H458</f>
        <v>0</v>
      </c>
      <c r="I458" s="375">
        <f>0+'táj.2.'!I458</f>
        <v>0</v>
      </c>
      <c r="J458" s="375">
        <f>0+'táj.2.'!J458</f>
        <v>0</v>
      </c>
      <c r="K458" s="375">
        <f>0+'táj.2.'!K458</f>
        <v>0</v>
      </c>
      <c r="L458" s="375">
        <f>0+'táj.2.'!L458</f>
        <v>0</v>
      </c>
      <c r="M458" s="375">
        <f>500+'táj.2.'!M458</f>
        <v>500</v>
      </c>
      <c r="N458" s="375">
        <f>0+'táj.2.'!N458</f>
        <v>0</v>
      </c>
      <c r="O458" s="375">
        <f>0+'táj.2.'!O458</f>
        <v>0</v>
      </c>
      <c r="P458" s="375">
        <f>0+'táj.2.'!P458</f>
        <v>0</v>
      </c>
      <c r="Q458" s="375">
        <f t="shared" si="25"/>
        <v>500</v>
      </c>
    </row>
    <row r="459" spans="1:17" ht="24.75" customHeight="1">
      <c r="A459" s="391"/>
      <c r="B459" s="391"/>
      <c r="C459" s="182" t="s">
        <v>1063</v>
      </c>
      <c r="D459" s="805" t="s">
        <v>1065</v>
      </c>
      <c r="E459" s="185"/>
      <c r="F459" s="650">
        <v>152508</v>
      </c>
      <c r="G459" s="375">
        <f>0+'táj.2.'!G459</f>
        <v>0</v>
      </c>
      <c r="H459" s="375">
        <f>0+'táj.2.'!H459</f>
        <v>0</v>
      </c>
      <c r="I459" s="375">
        <f>0+'táj.2.'!I459</f>
        <v>0</v>
      </c>
      <c r="J459" s="375">
        <f>0+'táj.2.'!J459</f>
        <v>0</v>
      </c>
      <c r="K459" s="375">
        <f>0+'táj.2.'!K459</f>
        <v>0</v>
      </c>
      <c r="L459" s="375">
        <f>1000+'táj.2.'!L459</f>
        <v>1000</v>
      </c>
      <c r="M459" s="375">
        <f>0+'táj.2.'!M459</f>
        <v>0</v>
      </c>
      <c r="N459" s="375">
        <f>0+'táj.2.'!N459</f>
        <v>0</v>
      </c>
      <c r="O459" s="375">
        <f>0+'táj.2.'!O459</f>
        <v>0</v>
      </c>
      <c r="P459" s="375">
        <f>0+'táj.2.'!P459</f>
        <v>0</v>
      </c>
      <c r="Q459" s="375">
        <f t="shared" si="25"/>
        <v>1000</v>
      </c>
    </row>
    <row r="460" spans="1:17" ht="15" customHeight="1">
      <c r="A460" s="391"/>
      <c r="B460" s="391"/>
      <c r="C460" s="182" t="s">
        <v>1064</v>
      </c>
      <c r="D460" s="682" t="s">
        <v>1066</v>
      </c>
      <c r="E460" s="185"/>
      <c r="F460" s="650">
        <v>154512</v>
      </c>
      <c r="G460" s="375">
        <f>0+'táj.2.'!G460</f>
        <v>0</v>
      </c>
      <c r="H460" s="375">
        <f>0+'táj.2.'!H460</f>
        <v>0</v>
      </c>
      <c r="I460" s="375">
        <f>0+'táj.2.'!I460</f>
        <v>0</v>
      </c>
      <c r="J460" s="375">
        <f>0+'táj.2.'!J460</f>
        <v>0</v>
      </c>
      <c r="K460" s="375">
        <f>0+'táj.2.'!K460</f>
        <v>0</v>
      </c>
      <c r="L460" s="375">
        <f>0+'táj.2.'!L460</f>
        <v>0</v>
      </c>
      <c r="M460" s="375">
        <f>500+'táj.2.'!M460</f>
        <v>500</v>
      </c>
      <c r="N460" s="375">
        <f>0+'táj.2.'!N460</f>
        <v>0</v>
      </c>
      <c r="O460" s="375">
        <f>0+'táj.2.'!O460</f>
        <v>0</v>
      </c>
      <c r="P460" s="375">
        <f>0+'táj.2.'!P460</f>
        <v>0</v>
      </c>
      <c r="Q460" s="375">
        <f t="shared" si="25"/>
        <v>500</v>
      </c>
    </row>
    <row r="461" spans="1:17" ht="25.5" customHeight="1">
      <c r="A461" s="391"/>
      <c r="B461" s="391"/>
      <c r="C461" s="650" t="s">
        <v>187</v>
      </c>
      <c r="D461" s="682" t="s">
        <v>188</v>
      </c>
      <c r="E461" s="14"/>
      <c r="F461" s="688">
        <v>152506</v>
      </c>
      <c r="G461" s="375">
        <f>0+'táj.2.'!G461</f>
        <v>0</v>
      </c>
      <c r="H461" s="375">
        <f>0+'táj.2.'!H461</f>
        <v>0</v>
      </c>
      <c r="I461" s="375">
        <f>0+'táj.2.'!I461</f>
        <v>0</v>
      </c>
      <c r="J461" s="375">
        <f>0+'táj.2.'!J461</f>
        <v>0</v>
      </c>
      <c r="K461" s="375">
        <f>0+'táj.2.'!K461</f>
        <v>0</v>
      </c>
      <c r="L461" s="375">
        <f>0+'táj.2.'!L461</f>
        <v>1848</v>
      </c>
      <c r="M461" s="375">
        <f>0+'táj.2.'!M461</f>
        <v>0</v>
      </c>
      <c r="N461" s="375">
        <f>0+'táj.2.'!N461</f>
        <v>0</v>
      </c>
      <c r="O461" s="375">
        <f>0+'táj.2.'!O461</f>
        <v>0</v>
      </c>
      <c r="P461" s="375">
        <f>0+'táj.2.'!P461</f>
        <v>0</v>
      </c>
      <c r="Q461" s="375">
        <f t="shared" si="25"/>
        <v>1848</v>
      </c>
    </row>
    <row r="462" spans="1:17" ht="15" customHeight="1">
      <c r="A462" s="391"/>
      <c r="B462" s="391"/>
      <c r="C462" s="650" t="s">
        <v>171</v>
      </c>
      <c r="D462" s="682" t="s">
        <v>172</v>
      </c>
      <c r="E462" s="185"/>
      <c r="F462" s="13">
        <v>152931</v>
      </c>
      <c r="G462" s="375">
        <f>0+'táj.2.'!G462</f>
        <v>0</v>
      </c>
      <c r="H462" s="375">
        <f>0+'táj.2.'!H462</f>
        <v>0</v>
      </c>
      <c r="I462" s="375">
        <f>0+'táj.2.'!I462</f>
        <v>0</v>
      </c>
      <c r="J462" s="375">
        <f>0+'táj.2.'!J462</f>
        <v>0</v>
      </c>
      <c r="K462" s="375">
        <f>0+'táj.2.'!K462</f>
        <v>0</v>
      </c>
      <c r="L462" s="375">
        <f>0+'táj.2.'!L462</f>
        <v>474</v>
      </c>
      <c r="M462" s="375">
        <f>0+'táj.2.'!M462</f>
        <v>0</v>
      </c>
      <c r="N462" s="375">
        <f>0+'táj.2.'!N462</f>
        <v>0</v>
      </c>
      <c r="O462" s="375">
        <f>0+'táj.2.'!O462</f>
        <v>0</v>
      </c>
      <c r="P462" s="375">
        <f>0+'táj.2.'!P462</f>
        <v>0</v>
      </c>
      <c r="Q462" s="375">
        <f t="shared" si="25"/>
        <v>474</v>
      </c>
    </row>
    <row r="463" spans="1:17" ht="12.75" customHeight="1">
      <c r="A463" s="391"/>
      <c r="B463" s="391"/>
      <c r="C463" s="391"/>
      <c r="D463" s="24" t="s">
        <v>198</v>
      </c>
      <c r="E463" s="185"/>
      <c r="F463" s="658"/>
      <c r="G463" s="375"/>
      <c r="H463" s="374"/>
      <c r="I463" s="374"/>
      <c r="J463" s="374"/>
      <c r="K463" s="374"/>
      <c r="L463" s="375"/>
      <c r="M463" s="375"/>
      <c r="N463" s="375"/>
      <c r="O463" s="374"/>
      <c r="P463" s="374"/>
      <c r="Q463" s="375"/>
    </row>
    <row r="464" spans="1:17" ht="12.75" customHeight="1">
      <c r="A464" s="391"/>
      <c r="B464" s="391"/>
      <c r="C464" s="182" t="s">
        <v>747</v>
      </c>
      <c r="D464" s="387" t="s">
        <v>768</v>
      </c>
      <c r="E464" s="185"/>
      <c r="F464" s="658">
        <v>152504</v>
      </c>
      <c r="G464" s="375">
        <f>0+'táj.2.'!G464</f>
        <v>0</v>
      </c>
      <c r="H464" s="375">
        <f>0+'táj.2.'!H464</f>
        <v>0</v>
      </c>
      <c r="I464" s="375">
        <f>0+'táj.2.'!I464</f>
        <v>0</v>
      </c>
      <c r="J464" s="375">
        <f>0+'táj.2.'!J464</f>
        <v>0</v>
      </c>
      <c r="K464" s="375">
        <f>0+'táj.2.'!K464</f>
        <v>0</v>
      </c>
      <c r="L464" s="375">
        <f>500+'táj.2.'!L464</f>
        <v>500</v>
      </c>
      <c r="M464" s="375">
        <f>0+'táj.2.'!M464</f>
        <v>0</v>
      </c>
      <c r="N464" s="375">
        <f>0+'táj.2.'!N464</f>
        <v>0</v>
      </c>
      <c r="O464" s="375">
        <f>0+'táj.2.'!O464</f>
        <v>0</v>
      </c>
      <c r="P464" s="375">
        <f>0+'táj.2.'!P464</f>
        <v>0</v>
      </c>
      <c r="Q464" s="375">
        <f aca="true" t="shared" si="26" ref="Q464:Q474">SUM(G464:P464)</f>
        <v>500</v>
      </c>
    </row>
    <row r="465" spans="1:17" ht="25.5" customHeight="1">
      <c r="A465" s="391"/>
      <c r="B465" s="391"/>
      <c r="C465" s="182" t="s">
        <v>748</v>
      </c>
      <c r="D465" s="204" t="s">
        <v>773</v>
      </c>
      <c r="E465" s="185"/>
      <c r="F465" s="658">
        <v>152524</v>
      </c>
      <c r="G465" s="375">
        <f>0+'táj.2.'!G465</f>
        <v>0</v>
      </c>
      <c r="H465" s="375">
        <f>0+'táj.2.'!H465</f>
        <v>0</v>
      </c>
      <c r="I465" s="375">
        <f>0+'táj.2.'!I465</f>
        <v>0</v>
      </c>
      <c r="J465" s="375">
        <f>0+'táj.2.'!J465</f>
        <v>0</v>
      </c>
      <c r="K465" s="375">
        <f>0+'táj.2.'!K465</f>
        <v>0</v>
      </c>
      <c r="L465" s="375">
        <f>1000+'táj.2.'!L465</f>
        <v>1000</v>
      </c>
      <c r="M465" s="375">
        <f>0+'táj.2.'!M465</f>
        <v>0</v>
      </c>
      <c r="N465" s="375">
        <f>0+'táj.2.'!N465</f>
        <v>0</v>
      </c>
      <c r="O465" s="375">
        <f>0+'táj.2.'!O465</f>
        <v>0</v>
      </c>
      <c r="P465" s="375">
        <f>0+'táj.2.'!P465</f>
        <v>0</v>
      </c>
      <c r="Q465" s="375">
        <f t="shared" si="26"/>
        <v>1000</v>
      </c>
    </row>
    <row r="466" spans="1:17" ht="12.75" customHeight="1">
      <c r="A466" s="391"/>
      <c r="B466" s="391"/>
      <c r="C466" s="182" t="s">
        <v>749</v>
      </c>
      <c r="D466" s="118" t="s">
        <v>783</v>
      </c>
      <c r="E466" s="185"/>
      <c r="F466" s="658">
        <v>152529</v>
      </c>
      <c r="G466" s="375">
        <f>0+'táj.2.'!G466</f>
        <v>0</v>
      </c>
      <c r="H466" s="375">
        <f>0+'táj.2.'!H466</f>
        <v>0</v>
      </c>
      <c r="I466" s="375">
        <f>0+'táj.2.'!I466</f>
        <v>0</v>
      </c>
      <c r="J466" s="375">
        <f>0+'táj.2.'!J466</f>
        <v>0</v>
      </c>
      <c r="K466" s="375">
        <f>0+'táj.2.'!K466</f>
        <v>0</v>
      </c>
      <c r="L466" s="375">
        <f>2947+'táj.2.'!L466</f>
        <v>2947</v>
      </c>
      <c r="M466" s="375">
        <f>0+'táj.2.'!M466</f>
        <v>0</v>
      </c>
      <c r="N466" s="375">
        <f>0+'táj.2.'!N466</f>
        <v>0</v>
      </c>
      <c r="O466" s="375">
        <f>0+'táj.2.'!O466</f>
        <v>0</v>
      </c>
      <c r="P466" s="375">
        <f>0+'táj.2.'!P466</f>
        <v>0</v>
      </c>
      <c r="Q466" s="375">
        <f t="shared" si="26"/>
        <v>2947</v>
      </c>
    </row>
    <row r="467" spans="1:17" ht="25.5" customHeight="1">
      <c r="A467" s="391"/>
      <c r="B467" s="391"/>
      <c r="C467" s="182" t="s">
        <v>750</v>
      </c>
      <c r="D467" s="534" t="s">
        <v>785</v>
      </c>
      <c r="E467" s="185"/>
      <c r="F467" s="658">
        <v>152531</v>
      </c>
      <c r="G467" s="375">
        <f>0+'táj.2.'!G467</f>
        <v>0</v>
      </c>
      <c r="H467" s="375">
        <f>0+'táj.2.'!H467</f>
        <v>0</v>
      </c>
      <c r="I467" s="375">
        <f>0+'táj.2.'!I467</f>
        <v>0</v>
      </c>
      <c r="J467" s="375">
        <f>0+'táj.2.'!J467</f>
        <v>0</v>
      </c>
      <c r="K467" s="375">
        <f>0+'táj.2.'!K467</f>
        <v>0</v>
      </c>
      <c r="L467" s="375">
        <f>345+'táj.2.'!L467</f>
        <v>345</v>
      </c>
      <c r="M467" s="375">
        <f>0+'táj.2.'!M467</f>
        <v>0</v>
      </c>
      <c r="N467" s="375">
        <f>0+'táj.2.'!N467</f>
        <v>0</v>
      </c>
      <c r="O467" s="375">
        <f>0+'táj.2.'!O467</f>
        <v>0</v>
      </c>
      <c r="P467" s="375">
        <f>0+'táj.2.'!P467</f>
        <v>0</v>
      </c>
      <c r="Q467" s="375">
        <f t="shared" si="26"/>
        <v>345</v>
      </c>
    </row>
    <row r="468" spans="1:17" ht="24.75" customHeight="1">
      <c r="A468" s="391"/>
      <c r="B468" s="391"/>
      <c r="C468" s="182" t="s">
        <v>751</v>
      </c>
      <c r="D468" s="535" t="s">
        <v>786</v>
      </c>
      <c r="E468" s="185"/>
      <c r="F468" s="658">
        <v>152532</v>
      </c>
      <c r="G468" s="375">
        <f>0+'táj.2.'!G468</f>
        <v>0</v>
      </c>
      <c r="H468" s="375">
        <f>0+'táj.2.'!H468</f>
        <v>0</v>
      </c>
      <c r="I468" s="375">
        <f>0+'táj.2.'!I468</f>
        <v>0</v>
      </c>
      <c r="J468" s="375">
        <f>0+'táj.2.'!J468</f>
        <v>0</v>
      </c>
      <c r="K468" s="375">
        <f>0+'táj.2.'!K468</f>
        <v>0</v>
      </c>
      <c r="L468" s="375">
        <f>3000+'táj.2.'!L468</f>
        <v>3000</v>
      </c>
      <c r="M468" s="375">
        <f>0+'táj.2.'!M468</f>
        <v>0</v>
      </c>
      <c r="N468" s="375">
        <f>0+'táj.2.'!N468</f>
        <v>0</v>
      </c>
      <c r="O468" s="375">
        <f>0+'táj.2.'!O468</f>
        <v>0</v>
      </c>
      <c r="P468" s="375">
        <f>0+'táj.2.'!P468</f>
        <v>0</v>
      </c>
      <c r="Q468" s="375">
        <f t="shared" si="26"/>
        <v>3000</v>
      </c>
    </row>
    <row r="469" spans="1:17" ht="24.75" customHeight="1">
      <c r="A469" s="391"/>
      <c r="B469" s="391"/>
      <c r="C469" s="182" t="s">
        <v>884</v>
      </c>
      <c r="D469" s="203" t="s">
        <v>788</v>
      </c>
      <c r="E469" s="185"/>
      <c r="F469" s="658">
        <v>152534</v>
      </c>
      <c r="G469" s="375">
        <f>0+'táj.2.'!G469</f>
        <v>0</v>
      </c>
      <c r="H469" s="375">
        <f>0+'táj.2.'!H469</f>
        <v>0</v>
      </c>
      <c r="I469" s="375">
        <f>0+'táj.2.'!I469</f>
        <v>0</v>
      </c>
      <c r="J469" s="375">
        <f>0+'táj.2.'!J469</f>
        <v>0</v>
      </c>
      <c r="K469" s="375">
        <f>0+'táj.2.'!K469</f>
        <v>0</v>
      </c>
      <c r="L469" s="375">
        <f>500+'táj.2.'!L469</f>
        <v>0</v>
      </c>
      <c r="M469" s="375">
        <f>0+'táj.2.'!M469</f>
        <v>0</v>
      </c>
      <c r="N469" s="375">
        <f>0+'táj.2.'!N469</f>
        <v>0</v>
      </c>
      <c r="O469" s="375">
        <f>0+'táj.2.'!O469</f>
        <v>0</v>
      </c>
      <c r="P469" s="375">
        <f>0+'táj.2.'!P469</f>
        <v>0</v>
      </c>
      <c r="Q469" s="375">
        <f t="shared" si="26"/>
        <v>0</v>
      </c>
    </row>
    <row r="470" spans="1:17" ht="24.75" customHeight="1">
      <c r="A470" s="391"/>
      <c r="B470" s="391"/>
      <c r="C470" s="182" t="s">
        <v>885</v>
      </c>
      <c r="D470" s="536" t="s">
        <v>271</v>
      </c>
      <c r="E470" s="185"/>
      <c r="F470" s="658">
        <v>152908</v>
      </c>
      <c r="G470" s="375">
        <f>0+'táj.2.'!G470</f>
        <v>0</v>
      </c>
      <c r="H470" s="375">
        <f>0+'táj.2.'!H470</f>
        <v>0</v>
      </c>
      <c r="I470" s="375">
        <f>0+'táj.2.'!I470</f>
        <v>0</v>
      </c>
      <c r="J470" s="375">
        <f>0+'táj.2.'!J470</f>
        <v>0</v>
      </c>
      <c r="K470" s="375">
        <f>0+'táj.2.'!K470</f>
        <v>0</v>
      </c>
      <c r="L470" s="375">
        <f>0+'táj.2.'!L470</f>
        <v>0</v>
      </c>
      <c r="M470" s="375">
        <f>2880+'táj.2.'!M470</f>
        <v>2880</v>
      </c>
      <c r="N470" s="375">
        <f>0+'táj.2.'!N470</f>
        <v>0</v>
      </c>
      <c r="O470" s="375">
        <f>0+'táj.2.'!O470</f>
        <v>0</v>
      </c>
      <c r="P470" s="375">
        <f>0+'táj.2.'!P470</f>
        <v>0</v>
      </c>
      <c r="Q470" s="375">
        <f t="shared" si="26"/>
        <v>2880</v>
      </c>
    </row>
    <row r="471" spans="1:17" ht="15.75" customHeight="1">
      <c r="A471" s="391"/>
      <c r="B471" s="391"/>
      <c r="C471" s="182" t="s">
        <v>886</v>
      </c>
      <c r="D471" s="147" t="s">
        <v>584</v>
      </c>
      <c r="E471" s="185"/>
      <c r="F471" s="658">
        <v>154503</v>
      </c>
      <c r="G471" s="375">
        <f>0+'táj.2.'!G471</f>
        <v>0</v>
      </c>
      <c r="H471" s="375">
        <f>0+'táj.2.'!H471</f>
        <v>0</v>
      </c>
      <c r="I471" s="375">
        <f>0+'táj.2.'!I471</f>
        <v>0</v>
      </c>
      <c r="J471" s="375">
        <f>0+'táj.2.'!J471</f>
        <v>0</v>
      </c>
      <c r="K471" s="375">
        <f>1000+'táj.2.'!K471</f>
        <v>1000</v>
      </c>
      <c r="L471" s="375">
        <f>0+'táj.2.'!L471</f>
        <v>0</v>
      </c>
      <c r="M471" s="375">
        <f>0+'táj.2.'!M471</f>
        <v>0</v>
      </c>
      <c r="N471" s="375">
        <f>0+'táj.2.'!N471</f>
        <v>0</v>
      </c>
      <c r="O471" s="375">
        <f>0+'táj.2.'!O471</f>
        <v>0</v>
      </c>
      <c r="P471" s="375">
        <f>0+'táj.2.'!P471</f>
        <v>0</v>
      </c>
      <c r="Q471" s="375">
        <f t="shared" si="26"/>
        <v>1000</v>
      </c>
    </row>
    <row r="472" spans="1:17" ht="14.25" customHeight="1">
      <c r="A472" s="391"/>
      <c r="B472" s="391"/>
      <c r="C472" s="182" t="s">
        <v>887</v>
      </c>
      <c r="D472" s="539" t="s">
        <v>888</v>
      </c>
      <c r="E472" s="185"/>
      <c r="F472" s="658">
        <v>154508</v>
      </c>
      <c r="G472" s="375">
        <f>0+'táj.2.'!G472</f>
        <v>0</v>
      </c>
      <c r="H472" s="375">
        <f>0+'táj.2.'!H472</f>
        <v>0</v>
      </c>
      <c r="I472" s="375">
        <f>0+'táj.2.'!I472</f>
        <v>0</v>
      </c>
      <c r="J472" s="375">
        <f>0+'táj.2.'!J472</f>
        <v>0</v>
      </c>
      <c r="K472" s="375">
        <f>0+'táj.2.'!K472</f>
        <v>0</v>
      </c>
      <c r="L472" s="375">
        <f>0+'táj.2.'!L472</f>
        <v>0</v>
      </c>
      <c r="M472" s="375">
        <f>500+'táj.2.'!M472</f>
        <v>500</v>
      </c>
      <c r="N472" s="375">
        <f>0+'táj.2.'!N472</f>
        <v>0</v>
      </c>
      <c r="O472" s="375">
        <f>0+'táj.2.'!O472</f>
        <v>0</v>
      </c>
      <c r="P472" s="375">
        <f>0+'táj.2.'!P472</f>
        <v>0</v>
      </c>
      <c r="Q472" s="375">
        <f t="shared" si="26"/>
        <v>500</v>
      </c>
    </row>
    <row r="473" spans="1:17" ht="14.25" customHeight="1">
      <c r="A473" s="391"/>
      <c r="B473" s="391"/>
      <c r="C473" s="182" t="s">
        <v>889</v>
      </c>
      <c r="D473" s="537" t="s">
        <v>1158</v>
      </c>
      <c r="E473" s="185"/>
      <c r="F473" s="658">
        <v>152501</v>
      </c>
      <c r="G473" s="375">
        <f>0+'táj.2.'!G473</f>
        <v>0</v>
      </c>
      <c r="H473" s="375">
        <f>0+'táj.2.'!H473</f>
        <v>0</v>
      </c>
      <c r="I473" s="375">
        <f>0+'táj.2.'!I473</f>
        <v>0</v>
      </c>
      <c r="J473" s="375">
        <f>0+'táj.2.'!J473</f>
        <v>0</v>
      </c>
      <c r="K473" s="375">
        <f>0+'táj.2.'!K473</f>
        <v>0</v>
      </c>
      <c r="L473" s="375">
        <f>198+'táj.2.'!L473</f>
        <v>198</v>
      </c>
      <c r="M473" s="375">
        <f>0+'táj.2.'!M473</f>
        <v>0</v>
      </c>
      <c r="N473" s="375">
        <f>0+'táj.2.'!N473</f>
        <v>0</v>
      </c>
      <c r="O473" s="375">
        <f>0+'táj.2.'!O473</f>
        <v>0</v>
      </c>
      <c r="P473" s="375">
        <f>0+'táj.2.'!P473</f>
        <v>0</v>
      </c>
      <c r="Q473" s="25">
        <f t="shared" si="26"/>
        <v>198</v>
      </c>
    </row>
    <row r="474" spans="1:17" ht="14.25" customHeight="1">
      <c r="A474" s="391"/>
      <c r="B474" s="391"/>
      <c r="C474" s="182" t="s">
        <v>890</v>
      </c>
      <c r="D474" s="538" t="s">
        <v>490</v>
      </c>
      <c r="E474" s="185"/>
      <c r="F474" s="658">
        <v>162514</v>
      </c>
      <c r="G474" s="375">
        <f>0+'táj.2.'!G474</f>
        <v>0</v>
      </c>
      <c r="H474" s="375">
        <f>0+'táj.2.'!H474</f>
        <v>0</v>
      </c>
      <c r="I474" s="375">
        <f>0+'táj.2.'!I474</f>
        <v>0</v>
      </c>
      <c r="J474" s="375">
        <f>0+'táj.2.'!J474</f>
        <v>0</v>
      </c>
      <c r="K474" s="375">
        <f>0+'táj.2.'!K474</f>
        <v>0</v>
      </c>
      <c r="L474" s="375">
        <f>6000+'táj.2.'!L474</f>
        <v>6000</v>
      </c>
      <c r="M474" s="375">
        <f>0+'táj.2.'!M474</f>
        <v>0</v>
      </c>
      <c r="N474" s="375">
        <f>0+'táj.2.'!N474</f>
        <v>0</v>
      </c>
      <c r="O474" s="375">
        <f>0+'táj.2.'!O474</f>
        <v>0</v>
      </c>
      <c r="P474" s="375">
        <f>0+'táj.2.'!P474</f>
        <v>0</v>
      </c>
      <c r="Q474" s="25">
        <f t="shared" si="26"/>
        <v>6000</v>
      </c>
    </row>
    <row r="475" spans="1:17" ht="16.5" customHeight="1">
      <c r="A475" s="391"/>
      <c r="B475" s="391"/>
      <c r="C475" s="422" t="s">
        <v>891</v>
      </c>
      <c r="D475" s="544" t="s">
        <v>551</v>
      </c>
      <c r="E475" s="185"/>
      <c r="F475" s="658"/>
      <c r="G475" s="375"/>
      <c r="H475" s="374"/>
      <c r="I475" s="374"/>
      <c r="J475" s="374"/>
      <c r="K475" s="374"/>
      <c r="L475" s="375"/>
      <c r="M475" s="375"/>
      <c r="N475" s="375"/>
      <c r="O475" s="374"/>
      <c r="P475" s="374"/>
      <c r="Q475" s="375"/>
    </row>
    <row r="476" spans="1:17" ht="24.75" customHeight="1">
      <c r="A476" s="391"/>
      <c r="B476" s="391"/>
      <c r="C476" s="182" t="s">
        <v>892</v>
      </c>
      <c r="D476" s="552" t="s">
        <v>893</v>
      </c>
      <c r="E476" s="185"/>
      <c r="F476" s="658">
        <v>152915</v>
      </c>
      <c r="G476" s="375">
        <f>0+'táj.2.'!G476</f>
        <v>0</v>
      </c>
      <c r="H476" s="375">
        <f>0+'táj.2.'!H476</f>
        <v>0</v>
      </c>
      <c r="I476" s="375">
        <f>0+'táj.2.'!I476</f>
        <v>0</v>
      </c>
      <c r="J476" s="375">
        <f>0+'táj.2.'!J476</f>
        <v>0</v>
      </c>
      <c r="K476" s="375">
        <f>0+'táj.2.'!K476</f>
        <v>0</v>
      </c>
      <c r="L476" s="375">
        <f>2000+'táj.2.'!L476</f>
        <v>1745</v>
      </c>
      <c r="M476" s="375">
        <f>0+'táj.2.'!M476</f>
        <v>0</v>
      </c>
      <c r="N476" s="375">
        <f>0+'táj.2.'!N476</f>
        <v>0</v>
      </c>
      <c r="O476" s="375">
        <f>0+'táj.2.'!O476</f>
        <v>0</v>
      </c>
      <c r="P476" s="375">
        <f>0+'táj.2.'!P476</f>
        <v>0</v>
      </c>
      <c r="Q476" s="375">
        <f>SUM(L476:P476)</f>
        <v>1745</v>
      </c>
    </row>
    <row r="477" spans="1:17" ht="12.75" customHeight="1">
      <c r="A477" s="391"/>
      <c r="B477" s="391"/>
      <c r="C477" s="391" t="s">
        <v>678</v>
      </c>
      <c r="D477" s="541" t="s">
        <v>679</v>
      </c>
      <c r="E477" s="185"/>
      <c r="F477" s="658"/>
      <c r="G477" s="375"/>
      <c r="H477" s="374"/>
      <c r="I477" s="374"/>
      <c r="J477" s="374"/>
      <c r="K477" s="374"/>
      <c r="L477" s="375"/>
      <c r="M477" s="375"/>
      <c r="N477" s="375"/>
      <c r="O477" s="374"/>
      <c r="P477" s="374"/>
      <c r="Q477" s="375"/>
    </row>
    <row r="478" spans="1:17" ht="12.75" customHeight="1">
      <c r="A478" s="391"/>
      <c r="B478" s="391"/>
      <c r="C478" s="391"/>
      <c r="D478" s="118" t="s">
        <v>285</v>
      </c>
      <c r="E478" s="185"/>
      <c r="F478" s="658">
        <v>154811</v>
      </c>
      <c r="G478" s="375"/>
      <c r="H478" s="374"/>
      <c r="I478" s="374"/>
      <c r="J478" s="374"/>
      <c r="K478" s="374"/>
      <c r="L478" s="375"/>
      <c r="M478" s="375"/>
      <c r="N478" s="375">
        <f>1000+'táj.2.'!N478</f>
        <v>1000</v>
      </c>
      <c r="O478" s="374"/>
      <c r="P478" s="374"/>
      <c r="Q478" s="375">
        <f>SUM(G478:P478)</f>
        <v>1000</v>
      </c>
    </row>
    <row r="479" spans="1:17" ht="12.75" customHeight="1">
      <c r="A479" s="391"/>
      <c r="B479" s="391"/>
      <c r="C479" s="391"/>
      <c r="D479" s="24" t="s">
        <v>198</v>
      </c>
      <c r="E479" s="185"/>
      <c r="F479" s="658"/>
      <c r="G479" s="375"/>
      <c r="H479" s="374"/>
      <c r="I479" s="374"/>
      <c r="J479" s="374"/>
      <c r="K479" s="374"/>
      <c r="L479" s="375"/>
      <c r="M479" s="375"/>
      <c r="N479" s="375"/>
      <c r="O479" s="374"/>
      <c r="P479" s="374"/>
      <c r="Q479" s="375"/>
    </row>
    <row r="480" spans="1:17" ht="12.75" customHeight="1">
      <c r="A480" s="391"/>
      <c r="B480" s="391"/>
      <c r="C480" s="182" t="s">
        <v>1182</v>
      </c>
      <c r="D480" s="118" t="s">
        <v>446</v>
      </c>
      <c r="E480" s="185"/>
      <c r="F480" s="658">
        <v>152801</v>
      </c>
      <c r="G480" s="375">
        <f>0+'táj.2.'!G480</f>
        <v>0</v>
      </c>
      <c r="H480" s="375">
        <f>0+'táj.2.'!H480</f>
        <v>0</v>
      </c>
      <c r="I480" s="375">
        <f>0+'táj.2.'!I480</f>
        <v>0</v>
      </c>
      <c r="J480" s="375">
        <f>0+'táj.2.'!J480</f>
        <v>0</v>
      </c>
      <c r="K480" s="375">
        <f>0+'táj.2.'!K480</f>
        <v>0</v>
      </c>
      <c r="L480" s="375">
        <f>7292+'táj.2.'!L480</f>
        <v>7292</v>
      </c>
      <c r="M480" s="375">
        <f>10000+'táj.2.'!M480</f>
        <v>5736</v>
      </c>
      <c r="N480" s="375">
        <f>0+'táj.2.'!N480</f>
        <v>0</v>
      </c>
      <c r="O480" s="375">
        <f>0+'táj.2.'!O480</f>
        <v>0</v>
      </c>
      <c r="P480" s="375">
        <f>0+'táj.2.'!P480</f>
        <v>0</v>
      </c>
      <c r="Q480" s="375">
        <f aca="true" t="shared" si="27" ref="Q480:Q485">SUM(G480:P480)</f>
        <v>13028</v>
      </c>
    </row>
    <row r="481" spans="1:17" ht="25.5" customHeight="1">
      <c r="A481" s="391"/>
      <c r="B481" s="391"/>
      <c r="C481" s="182" t="s">
        <v>894</v>
      </c>
      <c r="D481" s="545" t="s">
        <v>272</v>
      </c>
      <c r="E481" s="185"/>
      <c r="F481" s="658">
        <v>154805</v>
      </c>
      <c r="G481" s="375">
        <f>0+'táj.2.'!G481</f>
        <v>0</v>
      </c>
      <c r="H481" s="375">
        <f>0+'táj.2.'!H481</f>
        <v>0</v>
      </c>
      <c r="I481" s="375">
        <f>0+'táj.2.'!I481</f>
        <v>0</v>
      </c>
      <c r="J481" s="375">
        <f>0+'táj.2.'!J481</f>
        <v>0</v>
      </c>
      <c r="K481" s="375">
        <f>0+'táj.2.'!K481</f>
        <v>0</v>
      </c>
      <c r="L481" s="375">
        <f>0+'táj.2.'!L481</f>
        <v>0</v>
      </c>
      <c r="M481" s="375">
        <f>1000+'táj.2.'!M481</f>
        <v>1000</v>
      </c>
      <c r="N481" s="375">
        <f>0+'táj.2.'!N481</f>
        <v>0</v>
      </c>
      <c r="O481" s="375">
        <f>0+'táj.2.'!O481</f>
        <v>0</v>
      </c>
      <c r="P481" s="375">
        <f>0+'táj.2.'!P481</f>
        <v>0</v>
      </c>
      <c r="Q481" s="375">
        <f t="shared" si="27"/>
        <v>1000</v>
      </c>
    </row>
    <row r="482" spans="1:17" ht="12.75" customHeight="1">
      <c r="A482" s="391"/>
      <c r="B482" s="391"/>
      <c r="C482" s="182" t="s">
        <v>895</v>
      </c>
      <c r="D482" s="545" t="s">
        <v>273</v>
      </c>
      <c r="E482" s="185"/>
      <c r="F482" s="658">
        <v>154806</v>
      </c>
      <c r="G482" s="375">
        <f>0+'táj.2.'!G482</f>
        <v>0</v>
      </c>
      <c r="H482" s="375">
        <f>0+'táj.2.'!H482</f>
        <v>0</v>
      </c>
      <c r="I482" s="375">
        <f>0+'táj.2.'!I482</f>
        <v>0</v>
      </c>
      <c r="J482" s="375">
        <f>0+'táj.2.'!J482</f>
        <v>0</v>
      </c>
      <c r="K482" s="375">
        <f>0+'táj.2.'!K482</f>
        <v>0</v>
      </c>
      <c r="L482" s="375">
        <f>0+'táj.2.'!L482</f>
        <v>0</v>
      </c>
      <c r="M482" s="375">
        <f>3000+'táj.2.'!M482</f>
        <v>3750</v>
      </c>
      <c r="N482" s="375">
        <f>0+'táj.2.'!N482</f>
        <v>0</v>
      </c>
      <c r="O482" s="375">
        <f>0+'táj.2.'!O482</f>
        <v>0</v>
      </c>
      <c r="P482" s="375">
        <f>0+'táj.2.'!P482</f>
        <v>0</v>
      </c>
      <c r="Q482" s="375">
        <f t="shared" si="27"/>
        <v>3750</v>
      </c>
    </row>
    <row r="483" spans="1:17" ht="12.75" customHeight="1">
      <c r="A483" s="391"/>
      <c r="B483" s="391"/>
      <c r="C483" s="182" t="s">
        <v>896</v>
      </c>
      <c r="D483" s="545" t="s">
        <v>274</v>
      </c>
      <c r="E483" s="185"/>
      <c r="F483" s="658">
        <v>154807</v>
      </c>
      <c r="G483" s="375">
        <f>0+'táj.2.'!G483</f>
        <v>0</v>
      </c>
      <c r="H483" s="375">
        <f>0+'táj.2.'!H483</f>
        <v>0</v>
      </c>
      <c r="I483" s="375">
        <f>0+'táj.2.'!I483</f>
        <v>0</v>
      </c>
      <c r="J483" s="375">
        <f>0+'táj.2.'!J483</f>
        <v>0</v>
      </c>
      <c r="K483" s="375">
        <f>0+'táj.2.'!K483</f>
        <v>0</v>
      </c>
      <c r="L483" s="375">
        <f>0+'táj.2.'!L483</f>
        <v>0</v>
      </c>
      <c r="M483" s="375">
        <f>4000+'táj.2.'!M483</f>
        <v>6000</v>
      </c>
      <c r="N483" s="375">
        <f>0+'táj.2.'!N483</f>
        <v>0</v>
      </c>
      <c r="O483" s="375">
        <f>0+'táj.2.'!O483</f>
        <v>0</v>
      </c>
      <c r="P483" s="375">
        <f>0+'táj.2.'!P483</f>
        <v>0</v>
      </c>
      <c r="Q483" s="375">
        <f t="shared" si="27"/>
        <v>6000</v>
      </c>
    </row>
    <row r="484" spans="1:17" ht="12.75" customHeight="1">
      <c r="A484" s="391"/>
      <c r="B484" s="391"/>
      <c r="C484" s="182" t="s">
        <v>897</v>
      </c>
      <c r="D484" s="545" t="s">
        <v>898</v>
      </c>
      <c r="E484" s="185"/>
      <c r="F484" s="658">
        <v>154809</v>
      </c>
      <c r="G484" s="375">
        <f>0+'táj.2.'!G484</f>
        <v>0</v>
      </c>
      <c r="H484" s="375">
        <f>0+'táj.2.'!H484</f>
        <v>0</v>
      </c>
      <c r="I484" s="375">
        <f>0+'táj.2.'!I484</f>
        <v>0</v>
      </c>
      <c r="J484" s="375">
        <f>0+'táj.2.'!J484</f>
        <v>0</v>
      </c>
      <c r="K484" s="375">
        <f>0+'táj.2.'!K484</f>
        <v>0</v>
      </c>
      <c r="L484" s="375">
        <f>0+'táj.2.'!L484</f>
        <v>0</v>
      </c>
      <c r="M484" s="375">
        <f>1557+'táj.2.'!M484</f>
        <v>1557</v>
      </c>
      <c r="N484" s="375">
        <f>0+'táj.2.'!N484</f>
        <v>0</v>
      </c>
      <c r="O484" s="375">
        <f>0+'táj.2.'!O484</f>
        <v>0</v>
      </c>
      <c r="P484" s="375">
        <f>0+'táj.2.'!P484</f>
        <v>0</v>
      </c>
      <c r="Q484" s="375">
        <f t="shared" si="27"/>
        <v>1557</v>
      </c>
    </row>
    <row r="485" spans="1:17" ht="24.75" customHeight="1">
      <c r="A485" s="391"/>
      <c r="B485" s="391"/>
      <c r="C485" s="182" t="s">
        <v>899</v>
      </c>
      <c r="D485" s="556" t="s">
        <v>427</v>
      </c>
      <c r="E485" s="185"/>
      <c r="F485" s="658">
        <v>152805</v>
      </c>
      <c r="G485" s="375">
        <f>0+'táj.2.'!G485</f>
        <v>0</v>
      </c>
      <c r="H485" s="375">
        <f>0+'táj.2.'!H485</f>
        <v>0</v>
      </c>
      <c r="I485" s="375">
        <f>0+'táj.2.'!I485</f>
        <v>0</v>
      </c>
      <c r="J485" s="375">
        <f>0+'táj.2.'!J485</f>
        <v>0</v>
      </c>
      <c r="K485" s="375">
        <f>0+'táj.2.'!K485</f>
        <v>0</v>
      </c>
      <c r="L485" s="375">
        <f>2907+'táj.2.'!L485</f>
        <v>2907</v>
      </c>
      <c r="M485" s="375">
        <f>191+'táj.2.'!M485</f>
        <v>191</v>
      </c>
      <c r="N485" s="375">
        <f>0+'táj.2.'!N485</f>
        <v>0</v>
      </c>
      <c r="O485" s="375">
        <f>0+'táj.2.'!O485</f>
        <v>0</v>
      </c>
      <c r="P485" s="375">
        <f>0+'táj.2.'!P485</f>
        <v>0</v>
      </c>
      <c r="Q485" s="25">
        <f t="shared" si="27"/>
        <v>3098</v>
      </c>
    </row>
    <row r="486" spans="1:17" ht="12.75" customHeight="1">
      <c r="A486" s="391"/>
      <c r="B486" s="391"/>
      <c r="C486" s="391" t="s">
        <v>680</v>
      </c>
      <c r="D486" s="541" t="s">
        <v>681</v>
      </c>
      <c r="E486" s="185"/>
      <c r="F486" s="658"/>
      <c r="G486" s="375"/>
      <c r="H486" s="374"/>
      <c r="I486" s="374"/>
      <c r="J486" s="374"/>
      <c r="K486" s="374"/>
      <c r="L486" s="375"/>
      <c r="M486" s="375"/>
      <c r="N486" s="375"/>
      <c r="O486" s="374"/>
      <c r="P486" s="374"/>
      <c r="Q486" s="375"/>
    </row>
    <row r="487" spans="1:17" ht="12.75" customHeight="1">
      <c r="A487" s="391"/>
      <c r="B487" s="391"/>
      <c r="C487" s="182" t="s">
        <v>682</v>
      </c>
      <c r="D487" s="392" t="s">
        <v>900</v>
      </c>
      <c r="E487" s="185"/>
      <c r="F487" s="658">
        <v>152928</v>
      </c>
      <c r="G487" s="375">
        <f>0+'táj.2.'!G487</f>
        <v>0</v>
      </c>
      <c r="H487" s="375">
        <f>0+'táj.2.'!H487</f>
        <v>0</v>
      </c>
      <c r="I487" s="375">
        <f>0+'táj.2.'!I487</f>
        <v>0</v>
      </c>
      <c r="J487" s="375">
        <f>0+'táj.2.'!J487</f>
        <v>0</v>
      </c>
      <c r="K487" s="375">
        <f>0+'táj.2.'!K487</f>
        <v>0</v>
      </c>
      <c r="L487" s="375">
        <f>1000+'táj.2.'!L487</f>
        <v>1000</v>
      </c>
      <c r="M487" s="375">
        <f>0+'táj.2.'!M487</f>
        <v>0</v>
      </c>
      <c r="N487" s="375">
        <f>0+'táj.2.'!N487</f>
        <v>0</v>
      </c>
      <c r="O487" s="375">
        <f>0+'táj.2.'!O487</f>
        <v>0</v>
      </c>
      <c r="P487" s="375">
        <f>0+'táj.2.'!P487</f>
        <v>0</v>
      </c>
      <c r="Q487" s="375">
        <f>SUM(G487:P487)</f>
        <v>1000</v>
      </c>
    </row>
    <row r="488" spans="1:17" ht="12.75" customHeight="1">
      <c r="A488" s="391"/>
      <c r="B488" s="391"/>
      <c r="C488" s="182" t="s">
        <v>683</v>
      </c>
      <c r="D488" s="199" t="s">
        <v>600</v>
      </c>
      <c r="E488" s="185"/>
      <c r="F488" s="23">
        <v>152929</v>
      </c>
      <c r="G488" s="375">
        <f>0+'táj.2.'!G488</f>
        <v>0</v>
      </c>
      <c r="H488" s="375">
        <f>0+'táj.2.'!H488</f>
        <v>0</v>
      </c>
      <c r="I488" s="375">
        <f>0+'táj.2.'!I488</f>
        <v>0</v>
      </c>
      <c r="J488" s="375">
        <f>0+'táj.2.'!J488</f>
        <v>0</v>
      </c>
      <c r="K488" s="375">
        <f>0+'táj.2.'!K488</f>
        <v>0</v>
      </c>
      <c r="L488" s="375">
        <f>808+'táj.2.'!L488</f>
        <v>808</v>
      </c>
      <c r="M488" s="375">
        <f>0+'táj.2.'!M488</f>
        <v>0</v>
      </c>
      <c r="N488" s="375">
        <f>0+'táj.2.'!N488</f>
        <v>0</v>
      </c>
      <c r="O488" s="375">
        <f>0+'táj.2.'!O488</f>
        <v>0</v>
      </c>
      <c r="P488" s="375">
        <f>0+'táj.2.'!P488</f>
        <v>0</v>
      </c>
      <c r="Q488" s="375">
        <f>SUM(G488:P488)</f>
        <v>808</v>
      </c>
    </row>
    <row r="489" spans="1:17" ht="25.5" customHeight="1">
      <c r="A489" s="391"/>
      <c r="B489" s="391"/>
      <c r="C489" s="182" t="s">
        <v>684</v>
      </c>
      <c r="D489" s="203" t="s">
        <v>818</v>
      </c>
      <c r="E489" s="185"/>
      <c r="F489" s="650">
        <v>152930</v>
      </c>
      <c r="G489" s="375">
        <f>0+'táj.2.'!G489</f>
        <v>0</v>
      </c>
      <c r="H489" s="375">
        <f>0+'táj.2.'!H489</f>
        <v>0</v>
      </c>
      <c r="I489" s="375">
        <f>0+'táj.2.'!I489</f>
        <v>0</v>
      </c>
      <c r="J489" s="375">
        <f>0+'táj.2.'!J489</f>
        <v>0</v>
      </c>
      <c r="K489" s="375">
        <f>0+'táj.2.'!K489</f>
        <v>0</v>
      </c>
      <c r="L489" s="375">
        <f>0+'táj.2.'!L489</f>
        <v>0</v>
      </c>
      <c r="M489" s="375">
        <f>0+'táj.2.'!M489</f>
        <v>0</v>
      </c>
      <c r="N489" s="375">
        <f>275+'táj.2.'!N489</f>
        <v>275</v>
      </c>
      <c r="O489" s="375">
        <f>0+'táj.2.'!O489</f>
        <v>0</v>
      </c>
      <c r="P489" s="375">
        <f>0+'táj.2.'!P489</f>
        <v>0</v>
      </c>
      <c r="Q489" s="375">
        <f>SUM(G489:P489)</f>
        <v>275</v>
      </c>
    </row>
    <row r="490" spans="1:17" ht="12.75" customHeight="1">
      <c r="A490" s="391"/>
      <c r="B490" s="391"/>
      <c r="C490" s="391"/>
      <c r="D490" s="118" t="s">
        <v>198</v>
      </c>
      <c r="E490" s="185"/>
      <c r="F490" s="658"/>
      <c r="G490" s="375"/>
      <c r="H490" s="374"/>
      <c r="I490" s="374"/>
      <c r="J490" s="374"/>
      <c r="K490" s="374"/>
      <c r="L490" s="375"/>
      <c r="M490" s="375"/>
      <c r="N490" s="375"/>
      <c r="O490" s="374"/>
      <c r="P490" s="374"/>
      <c r="Q490" s="375"/>
    </row>
    <row r="491" spans="1:17" ht="12.75" customHeight="1">
      <c r="A491" s="391"/>
      <c r="B491" s="391"/>
      <c r="C491" s="182" t="s">
        <v>552</v>
      </c>
      <c r="D491" s="118" t="s">
        <v>789</v>
      </c>
      <c r="E491" s="185"/>
      <c r="F491" s="658">
        <v>155418</v>
      </c>
      <c r="G491" s="375">
        <f>0+'táj.2.'!G491</f>
        <v>0</v>
      </c>
      <c r="H491" s="375">
        <f>0+'táj.2.'!H491</f>
        <v>0</v>
      </c>
      <c r="I491" s="375">
        <f>0+'táj.2.'!I491</f>
        <v>0</v>
      </c>
      <c r="J491" s="375">
        <f>0+'táj.2.'!J491</f>
        <v>0</v>
      </c>
      <c r="K491" s="375">
        <f>0+'táj.2.'!K491</f>
        <v>0</v>
      </c>
      <c r="L491" s="375">
        <f>2000+'táj.2.'!L491</f>
        <v>2000</v>
      </c>
      <c r="M491" s="375">
        <f>0+'táj.2.'!M491</f>
        <v>0</v>
      </c>
      <c r="N491" s="375">
        <f>0+'táj.2.'!N491</f>
        <v>0</v>
      </c>
      <c r="O491" s="375">
        <f>0+'táj.2.'!O491</f>
        <v>0</v>
      </c>
      <c r="P491" s="375">
        <f>0+'táj.2.'!P491</f>
        <v>0</v>
      </c>
      <c r="Q491" s="375">
        <f>SUM(G491:P491)</f>
        <v>2000</v>
      </c>
    </row>
    <row r="492" spans="1:17" ht="12.75" customHeight="1">
      <c r="A492" s="391"/>
      <c r="B492" s="391"/>
      <c r="C492" s="182" t="s">
        <v>493</v>
      </c>
      <c r="D492" s="546" t="s">
        <v>556</v>
      </c>
      <c r="E492" s="185"/>
      <c r="F492" s="658">
        <v>154912</v>
      </c>
      <c r="G492" s="375">
        <f>0+'táj.2.'!G492</f>
        <v>0</v>
      </c>
      <c r="H492" s="375">
        <f>0+'táj.2.'!H492</f>
        <v>0</v>
      </c>
      <c r="I492" s="375">
        <f>0+'táj.2.'!I492</f>
        <v>0</v>
      </c>
      <c r="J492" s="375">
        <f>0+'táj.2.'!J492</f>
        <v>0</v>
      </c>
      <c r="K492" s="375">
        <f>0+'táj.2.'!K492</f>
        <v>0</v>
      </c>
      <c r="L492" s="375">
        <f>0+'táj.2.'!L492</f>
        <v>0</v>
      </c>
      <c r="M492" s="375">
        <f>0+'táj.2.'!M492</f>
        <v>0</v>
      </c>
      <c r="N492" s="375">
        <f>4000+'táj.2.'!N492</f>
        <v>4000</v>
      </c>
      <c r="O492" s="375">
        <f>0+'táj.2.'!O492</f>
        <v>0</v>
      </c>
      <c r="P492" s="375">
        <f>0+'táj.2.'!P492</f>
        <v>0</v>
      </c>
      <c r="Q492" s="375">
        <f>SUM(G492:P492)</f>
        <v>4000</v>
      </c>
    </row>
    <row r="493" spans="1:17" ht="38.25" customHeight="1">
      <c r="A493" s="391"/>
      <c r="B493" s="391"/>
      <c r="C493" s="182" t="s">
        <v>790</v>
      </c>
      <c r="D493" s="150" t="s">
        <v>558</v>
      </c>
      <c r="E493" s="185"/>
      <c r="F493" s="658">
        <v>174903</v>
      </c>
      <c r="G493" s="375">
        <f>0+'táj.2.'!G493</f>
        <v>0</v>
      </c>
      <c r="H493" s="375">
        <f>0+'táj.2.'!H493</f>
        <v>0</v>
      </c>
      <c r="I493" s="375">
        <f>0+'táj.2.'!I493</f>
        <v>0</v>
      </c>
      <c r="J493" s="375">
        <f>0+'táj.2.'!J493</f>
        <v>0</v>
      </c>
      <c r="K493" s="375">
        <f>0+'táj.2.'!K493</f>
        <v>0</v>
      </c>
      <c r="L493" s="375">
        <f>0+'táj.2.'!L493</f>
        <v>0</v>
      </c>
      <c r="M493" s="375">
        <f>0+'táj.2.'!M493</f>
        <v>0</v>
      </c>
      <c r="N493" s="375">
        <f>8966+'táj.2.'!N493</f>
        <v>8966</v>
      </c>
      <c r="O493" s="375">
        <f>0+'táj.2.'!O493</f>
        <v>0</v>
      </c>
      <c r="P493" s="375">
        <f>0+'táj.2.'!P493</f>
        <v>0</v>
      </c>
      <c r="Q493" s="375">
        <f>SUM(G493:P493)</f>
        <v>8966</v>
      </c>
    </row>
    <row r="494" spans="1:17" ht="13.5" customHeight="1">
      <c r="A494" s="17"/>
      <c r="B494" s="17"/>
      <c r="C494" s="346"/>
      <c r="D494" s="18" t="s">
        <v>462</v>
      </c>
      <c r="E494" s="347"/>
      <c r="F494" s="649"/>
      <c r="G494" s="19">
        <f aca="true" t="shared" si="28" ref="G494:Q494">SUM(G334:G493)</f>
        <v>1920</v>
      </c>
      <c r="H494" s="19">
        <f t="shared" si="28"/>
        <v>496</v>
      </c>
      <c r="I494" s="19">
        <f t="shared" si="28"/>
        <v>1394418</v>
      </c>
      <c r="J494" s="19">
        <f t="shared" si="28"/>
        <v>50</v>
      </c>
      <c r="K494" s="19">
        <f t="shared" si="28"/>
        <v>52817</v>
      </c>
      <c r="L494" s="19">
        <f t="shared" si="28"/>
        <v>225303</v>
      </c>
      <c r="M494" s="19">
        <f t="shared" si="28"/>
        <v>576825</v>
      </c>
      <c r="N494" s="19">
        <f t="shared" si="28"/>
        <v>667129</v>
      </c>
      <c r="O494" s="19">
        <f t="shared" si="28"/>
        <v>0</v>
      </c>
      <c r="P494" s="19">
        <f t="shared" si="28"/>
        <v>0</v>
      </c>
      <c r="Q494" s="19">
        <f t="shared" si="28"/>
        <v>2918958</v>
      </c>
    </row>
    <row r="495" spans="1:17" ht="13.5" customHeight="1">
      <c r="A495" s="23">
        <v>1</v>
      </c>
      <c r="B495" s="23">
        <v>16</v>
      </c>
      <c r="C495" s="387"/>
      <c r="D495" s="28" t="s">
        <v>901</v>
      </c>
      <c r="E495" s="185"/>
      <c r="F495" s="658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1:17" ht="13.5" customHeight="1">
      <c r="A496" s="23"/>
      <c r="B496" s="23"/>
      <c r="C496" s="387"/>
      <c r="D496" s="382" t="s">
        <v>360</v>
      </c>
      <c r="E496" s="185"/>
      <c r="F496" s="658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1:17" ht="13.5" customHeight="1">
      <c r="A497" s="23"/>
      <c r="B497" s="23"/>
      <c r="C497" s="387"/>
      <c r="D497" s="24" t="s">
        <v>902</v>
      </c>
      <c r="E497" s="185">
        <v>2</v>
      </c>
      <c r="F497" s="658">
        <v>161903</v>
      </c>
      <c r="G497" s="25">
        <f>0+'táj.2.'!G497</f>
        <v>0</v>
      </c>
      <c r="H497" s="25">
        <f>0+'táj.2.'!H497</f>
        <v>0</v>
      </c>
      <c r="I497" s="25">
        <f>8939+'táj.2.'!I497</f>
        <v>7914</v>
      </c>
      <c r="J497" s="25">
        <f>0+'táj.2.'!J497</f>
        <v>0</v>
      </c>
      <c r="K497" s="25">
        <f>0+'táj.2.'!K497</f>
        <v>0</v>
      </c>
      <c r="L497" s="25">
        <f>0+'táj.2.'!L497</f>
        <v>0</v>
      </c>
      <c r="M497" s="25">
        <f>0+'táj.2.'!M497</f>
        <v>0</v>
      </c>
      <c r="N497" s="25">
        <f>0+'táj.2.'!N497</f>
        <v>0</v>
      </c>
      <c r="O497" s="25">
        <f>0+'táj.2.'!O497</f>
        <v>0</v>
      </c>
      <c r="P497" s="25">
        <f>0+'táj.2.'!P497</f>
        <v>0</v>
      </c>
      <c r="Q497" s="25">
        <f>SUM(I497:P497)</f>
        <v>7914</v>
      </c>
    </row>
    <row r="498" spans="1:17" ht="24" customHeight="1">
      <c r="A498" s="23"/>
      <c r="B498" s="23"/>
      <c r="C498" s="387"/>
      <c r="D498" s="203" t="s">
        <v>903</v>
      </c>
      <c r="E498" s="185">
        <v>2</v>
      </c>
      <c r="F498" s="658">
        <v>161904</v>
      </c>
      <c r="G498" s="25">
        <f>0+'táj.2.'!G498</f>
        <v>0</v>
      </c>
      <c r="H498" s="25">
        <f>0+'táj.2.'!H498</f>
        <v>0</v>
      </c>
      <c r="I498" s="25">
        <f>17500+'táj.2.'!I498</f>
        <v>10000</v>
      </c>
      <c r="J498" s="25">
        <f>0+'táj.2.'!J498</f>
        <v>0</v>
      </c>
      <c r="K498" s="25">
        <f>0+'táj.2.'!K498</f>
        <v>0</v>
      </c>
      <c r="L498" s="25">
        <f>0+'táj.2.'!L498</f>
        <v>0</v>
      </c>
      <c r="M498" s="25">
        <f>0+'táj.2.'!M498</f>
        <v>0</v>
      </c>
      <c r="N498" s="25">
        <f>0+'táj.2.'!N498</f>
        <v>0</v>
      </c>
      <c r="O498" s="25">
        <f>0+'táj.2.'!O498</f>
        <v>0</v>
      </c>
      <c r="P498" s="25">
        <f>0+'táj.2.'!P498</f>
        <v>0</v>
      </c>
      <c r="Q498" s="25">
        <f>SUM(I498:P498)</f>
        <v>10000</v>
      </c>
    </row>
    <row r="499" spans="1:17" ht="13.5" customHeight="1">
      <c r="A499" s="23"/>
      <c r="B499" s="23"/>
      <c r="C499" s="387"/>
      <c r="D499" s="16" t="s">
        <v>904</v>
      </c>
      <c r="E499" s="185">
        <v>2</v>
      </c>
      <c r="F499" s="658">
        <v>171911</v>
      </c>
      <c r="G499" s="25">
        <f>0+'táj.2.'!G499</f>
        <v>0</v>
      </c>
      <c r="H499" s="25">
        <f>0+'táj.2.'!H499</f>
        <v>0</v>
      </c>
      <c r="I499" s="25">
        <f>250+'táj.2.'!I499</f>
        <v>250</v>
      </c>
      <c r="J499" s="25">
        <f>0+'táj.2.'!J499</f>
        <v>0</v>
      </c>
      <c r="K499" s="25">
        <f>0+'táj.2.'!K499</f>
        <v>0</v>
      </c>
      <c r="L499" s="25">
        <f>0+'táj.2.'!L499</f>
        <v>0</v>
      </c>
      <c r="M499" s="25">
        <f>0+'táj.2.'!M499</f>
        <v>0</v>
      </c>
      <c r="N499" s="25">
        <f>0+'táj.2.'!N499</f>
        <v>0</v>
      </c>
      <c r="O499" s="25">
        <f>0+'táj.2.'!O499</f>
        <v>0</v>
      </c>
      <c r="P499" s="25">
        <f>0+'táj.2.'!P499</f>
        <v>0</v>
      </c>
      <c r="Q499" s="25">
        <f>SUM(I499:P499)</f>
        <v>250</v>
      </c>
    </row>
    <row r="500" spans="1:17" ht="20.25" customHeight="1">
      <c r="A500" s="23"/>
      <c r="B500" s="23"/>
      <c r="C500" s="387"/>
      <c r="D500" s="723" t="s">
        <v>590</v>
      </c>
      <c r="E500" s="185">
        <v>2</v>
      </c>
      <c r="F500" s="658">
        <v>161905</v>
      </c>
      <c r="G500" s="25">
        <f>23042+'táj.2.'!G500</f>
        <v>23042</v>
      </c>
      <c r="H500" s="25">
        <f>5685+'táj.2.'!H500</f>
        <v>5685</v>
      </c>
      <c r="I500" s="25">
        <f>31273+'táj.2.'!I500</f>
        <v>31273</v>
      </c>
      <c r="J500" s="25">
        <f>0+'táj.2.'!J500</f>
        <v>0</v>
      </c>
      <c r="K500" s="25">
        <f>0+'táj.2.'!K500</f>
        <v>0</v>
      </c>
      <c r="L500" s="25">
        <f>0+'táj.2.'!L500</f>
        <v>0</v>
      </c>
      <c r="M500" s="25">
        <f>0+'táj.2.'!M500</f>
        <v>0</v>
      </c>
      <c r="N500" s="25">
        <f>0+'táj.2.'!N500</f>
        <v>0</v>
      </c>
      <c r="O500" s="25">
        <f>0+'táj.2.'!O500</f>
        <v>0</v>
      </c>
      <c r="P500" s="25">
        <f>0+'táj.2.'!P500</f>
        <v>0</v>
      </c>
      <c r="Q500" s="25">
        <f>SUM(G500:P500)</f>
        <v>60000</v>
      </c>
    </row>
    <row r="501" spans="1:17" ht="25.5" customHeight="1">
      <c r="A501" s="23"/>
      <c r="B501" s="23"/>
      <c r="C501" s="387"/>
      <c r="D501" s="674" t="s">
        <v>158</v>
      </c>
      <c r="E501" s="630"/>
      <c r="F501" s="658">
        <v>161906</v>
      </c>
      <c r="G501" s="25">
        <f>0+'táj.2.'!G501</f>
        <v>0</v>
      </c>
      <c r="H501" s="25">
        <f>0+'táj.2.'!H501</f>
        <v>0</v>
      </c>
      <c r="I501" s="25">
        <f>0+'táj.2.'!I501</f>
        <v>17145</v>
      </c>
      <c r="J501" s="25">
        <f>0+'táj.2.'!J501</f>
        <v>0</v>
      </c>
      <c r="K501" s="25">
        <f>0+'táj.2.'!K501</f>
        <v>0</v>
      </c>
      <c r="L501" s="25">
        <f>0+'táj.2.'!L501</f>
        <v>0</v>
      </c>
      <c r="M501" s="25">
        <f>0+'táj.2.'!M501</f>
        <v>0</v>
      </c>
      <c r="N501" s="25">
        <f>0+'táj.2.'!N501</f>
        <v>0</v>
      </c>
      <c r="O501" s="25">
        <f>0+'táj.2.'!O501</f>
        <v>0</v>
      </c>
      <c r="P501" s="25">
        <f>0+'táj.2.'!P501</f>
        <v>0</v>
      </c>
      <c r="Q501" s="25">
        <f>SUM(G501:P501)</f>
        <v>17145</v>
      </c>
    </row>
    <row r="502" spans="1:17" ht="13.5" customHeight="1">
      <c r="A502" s="115"/>
      <c r="B502" s="115"/>
      <c r="C502" s="429"/>
      <c r="D502" s="390" t="s">
        <v>905</v>
      </c>
      <c r="E502" s="383"/>
      <c r="F502" s="660"/>
      <c r="G502" s="384">
        <f>SUM(G497:G501)</f>
        <v>23042</v>
      </c>
      <c r="H502" s="384">
        <f aca="true" t="shared" si="29" ref="H502:Q502">SUM(H497:H501)</f>
        <v>5685</v>
      </c>
      <c r="I502" s="384">
        <f t="shared" si="29"/>
        <v>66582</v>
      </c>
      <c r="J502" s="384">
        <f t="shared" si="29"/>
        <v>0</v>
      </c>
      <c r="K502" s="384">
        <f t="shared" si="29"/>
        <v>0</v>
      </c>
      <c r="L502" s="384">
        <f t="shared" si="29"/>
        <v>0</v>
      </c>
      <c r="M502" s="384">
        <f t="shared" si="29"/>
        <v>0</v>
      </c>
      <c r="N502" s="384">
        <f t="shared" si="29"/>
        <v>0</v>
      </c>
      <c r="O502" s="384">
        <f t="shared" si="29"/>
        <v>0</v>
      </c>
      <c r="P502" s="384">
        <f t="shared" si="29"/>
        <v>0</v>
      </c>
      <c r="Q502" s="384">
        <f t="shared" si="29"/>
        <v>95309</v>
      </c>
    </row>
    <row r="503" spans="1:17" ht="12.75" customHeight="1">
      <c r="A503" s="23"/>
      <c r="B503" s="23"/>
      <c r="C503" s="387"/>
      <c r="D503" s="117" t="s">
        <v>906</v>
      </c>
      <c r="E503" s="185"/>
      <c r="F503" s="658"/>
      <c r="G503" s="25"/>
      <c r="H503" s="298"/>
      <c r="I503" s="25"/>
      <c r="J503" s="25"/>
      <c r="K503" s="25"/>
      <c r="L503" s="25"/>
      <c r="M503" s="25"/>
      <c r="N503" s="25"/>
      <c r="O503" s="25"/>
      <c r="P503" s="25"/>
      <c r="Q503" s="25"/>
    </row>
    <row r="504" spans="1:17" ht="12.75" customHeight="1">
      <c r="A504" s="23"/>
      <c r="B504" s="23"/>
      <c r="C504" s="430" t="s">
        <v>562</v>
      </c>
      <c r="D504" s="145" t="s">
        <v>507</v>
      </c>
      <c r="E504" s="431"/>
      <c r="F504" s="663"/>
      <c r="G504" s="432"/>
      <c r="H504" s="433"/>
      <c r="I504" s="432"/>
      <c r="J504" s="432"/>
      <c r="K504" s="432"/>
      <c r="L504" s="434"/>
      <c r="M504" s="432"/>
      <c r="N504" s="432"/>
      <c r="O504" s="432"/>
      <c r="P504" s="432"/>
      <c r="Q504" s="432"/>
    </row>
    <row r="505" spans="1:17" ht="25.5" customHeight="1">
      <c r="A505" s="23"/>
      <c r="B505" s="23"/>
      <c r="C505" s="435" t="s">
        <v>623</v>
      </c>
      <c r="D505" s="436" t="s">
        <v>907</v>
      </c>
      <c r="E505" s="185"/>
      <c r="F505" s="658">
        <v>162112</v>
      </c>
      <c r="G505" s="25">
        <f>0+'táj.2.'!G505</f>
        <v>0</v>
      </c>
      <c r="H505" s="25">
        <f>0+'táj.2.'!H505</f>
        <v>0</v>
      </c>
      <c r="I505" s="25">
        <f>0+'táj.2.'!I505</f>
        <v>0</v>
      </c>
      <c r="J505" s="25">
        <f>0+'táj.2.'!J505</f>
        <v>0</v>
      </c>
      <c r="K505" s="25">
        <f>0+'táj.2.'!K505</f>
        <v>0</v>
      </c>
      <c r="L505" s="25">
        <f>6700+'táj.2.'!L505</f>
        <v>8700</v>
      </c>
      <c r="M505" s="25">
        <f>0+'táj.2.'!M505</f>
        <v>0</v>
      </c>
      <c r="N505" s="25">
        <f>0+'táj.2.'!N505</f>
        <v>0</v>
      </c>
      <c r="O505" s="25">
        <f>0+'táj.2.'!O505</f>
        <v>0</v>
      </c>
      <c r="P505" s="25">
        <f>0+'táj.2.'!P505</f>
        <v>0</v>
      </c>
      <c r="Q505" s="25">
        <f aca="true" t="shared" si="30" ref="Q505:Q513">SUM(G505:P505)</f>
        <v>8700</v>
      </c>
    </row>
    <row r="506" spans="1:17" ht="12.75" customHeight="1">
      <c r="A506" s="23"/>
      <c r="B506" s="23"/>
      <c r="C506" s="435" t="s">
        <v>624</v>
      </c>
      <c r="D506" s="436" t="s">
        <v>908</v>
      </c>
      <c r="E506" s="185"/>
      <c r="F506" s="658">
        <v>162107</v>
      </c>
      <c r="G506" s="25">
        <f>0+'táj.2.'!G506</f>
        <v>0</v>
      </c>
      <c r="H506" s="25">
        <f>0+'táj.2.'!H506</f>
        <v>0</v>
      </c>
      <c r="I506" s="25">
        <f>0+'táj.2.'!I506</f>
        <v>0</v>
      </c>
      <c r="J506" s="25">
        <f>0+'táj.2.'!J506</f>
        <v>0</v>
      </c>
      <c r="K506" s="25">
        <f>0+'táj.2.'!K506</f>
        <v>0</v>
      </c>
      <c r="L506" s="25">
        <f>8680+'táj.2.'!L506</f>
        <v>8680</v>
      </c>
      <c r="M506" s="25">
        <f>0+'táj.2.'!M506</f>
        <v>0</v>
      </c>
      <c r="N506" s="25">
        <f>0+'táj.2.'!N506</f>
        <v>0</v>
      </c>
      <c r="O506" s="25">
        <f>0+'táj.2.'!O506</f>
        <v>0</v>
      </c>
      <c r="P506" s="25">
        <f>0+'táj.2.'!P506</f>
        <v>0</v>
      </c>
      <c r="Q506" s="25">
        <f t="shared" si="30"/>
        <v>8680</v>
      </c>
    </row>
    <row r="507" spans="1:17" ht="12.75" customHeight="1">
      <c r="A507" s="23"/>
      <c r="B507" s="23"/>
      <c r="C507" s="435" t="s">
        <v>625</v>
      </c>
      <c r="D507" s="436" t="s">
        <v>909</v>
      </c>
      <c r="E507" s="185"/>
      <c r="F507" s="658">
        <v>162108</v>
      </c>
      <c r="G507" s="25">
        <f>0+'táj.2.'!G507</f>
        <v>0</v>
      </c>
      <c r="H507" s="25">
        <f>0+'táj.2.'!H507</f>
        <v>0</v>
      </c>
      <c r="I507" s="25">
        <f>0+'táj.2.'!I507</f>
        <v>0</v>
      </c>
      <c r="J507" s="25">
        <f>0+'táj.2.'!J507</f>
        <v>0</v>
      </c>
      <c r="K507" s="25">
        <f>0+'táj.2.'!K507</f>
        <v>0</v>
      </c>
      <c r="L507" s="25">
        <f>15000+'táj.2.'!L507</f>
        <v>15000</v>
      </c>
      <c r="M507" s="25">
        <f>0+'táj.2.'!M507</f>
        <v>0</v>
      </c>
      <c r="N507" s="25">
        <f>0+'táj.2.'!N507</f>
        <v>0</v>
      </c>
      <c r="O507" s="25">
        <f>0+'táj.2.'!O507</f>
        <v>0</v>
      </c>
      <c r="P507" s="25">
        <f>0+'táj.2.'!P507</f>
        <v>0</v>
      </c>
      <c r="Q507" s="25">
        <f t="shared" si="30"/>
        <v>15000</v>
      </c>
    </row>
    <row r="508" spans="1:17" ht="29.25" customHeight="1">
      <c r="A508" s="23"/>
      <c r="B508" s="23"/>
      <c r="C508" s="435" t="s">
        <v>612</v>
      </c>
      <c r="D508" s="436" t="s">
        <v>910</v>
      </c>
      <c r="E508" s="437"/>
      <c r="F508" s="658">
        <v>162109</v>
      </c>
      <c r="G508" s="25">
        <f>0+'táj.2.'!G508</f>
        <v>0</v>
      </c>
      <c r="H508" s="25">
        <f>0+'táj.2.'!H508</f>
        <v>0</v>
      </c>
      <c r="I508" s="25">
        <f>0+'táj.2.'!I508</f>
        <v>0</v>
      </c>
      <c r="J508" s="25">
        <f>0+'táj.2.'!J508</f>
        <v>0</v>
      </c>
      <c r="K508" s="25">
        <f>0+'táj.2.'!K508</f>
        <v>0</v>
      </c>
      <c r="L508" s="25">
        <f>1000+'táj.2.'!L508</f>
        <v>0</v>
      </c>
      <c r="M508" s="25">
        <f>0+'táj.2.'!M508</f>
        <v>0</v>
      </c>
      <c r="N508" s="25">
        <f>0+'táj.2.'!N508</f>
        <v>0</v>
      </c>
      <c r="O508" s="25">
        <f>0+'táj.2.'!O508</f>
        <v>0</v>
      </c>
      <c r="P508" s="25">
        <f>0+'táj.2.'!P508</f>
        <v>0</v>
      </c>
      <c r="Q508" s="25">
        <f t="shared" si="30"/>
        <v>0</v>
      </c>
    </row>
    <row r="509" spans="1:17" ht="12.75" customHeight="1">
      <c r="A509" s="23"/>
      <c r="B509" s="23"/>
      <c r="C509" s="435" t="s">
        <v>613</v>
      </c>
      <c r="D509" s="436" t="s">
        <v>911</v>
      </c>
      <c r="E509" s="437"/>
      <c r="F509" s="658">
        <v>162110</v>
      </c>
      <c r="G509" s="25">
        <f>0+'táj.2.'!G509</f>
        <v>0</v>
      </c>
      <c r="H509" s="25">
        <f>0+'táj.2.'!H509</f>
        <v>0</v>
      </c>
      <c r="I509" s="25">
        <f>10+'táj.2.'!I509</f>
        <v>10</v>
      </c>
      <c r="J509" s="25">
        <f>0+'táj.2.'!J509</f>
        <v>0</v>
      </c>
      <c r="K509" s="25">
        <f>0+'táj.2.'!K509</f>
        <v>0</v>
      </c>
      <c r="L509" s="25">
        <f>490+'táj.2.'!L509</f>
        <v>490</v>
      </c>
      <c r="M509" s="25">
        <f>0+'táj.2.'!M509</f>
        <v>0</v>
      </c>
      <c r="N509" s="25">
        <f>0+'táj.2.'!N509</f>
        <v>0</v>
      </c>
      <c r="O509" s="25">
        <f>0+'táj.2.'!O509</f>
        <v>0</v>
      </c>
      <c r="P509" s="25">
        <f>0+'táj.2.'!P509</f>
        <v>0</v>
      </c>
      <c r="Q509" s="25">
        <f t="shared" si="30"/>
        <v>500</v>
      </c>
    </row>
    <row r="510" spans="1:17" ht="27" customHeight="1">
      <c r="A510" s="23"/>
      <c r="B510" s="23"/>
      <c r="C510" s="435" t="s">
        <v>287</v>
      </c>
      <c r="D510" s="436" t="s">
        <v>912</v>
      </c>
      <c r="E510" s="437"/>
      <c r="F510" s="658">
        <v>162111</v>
      </c>
      <c r="G510" s="25">
        <f>0+'táj.2.'!G510</f>
        <v>0</v>
      </c>
      <c r="H510" s="25">
        <f>0+'táj.2.'!H510</f>
        <v>0</v>
      </c>
      <c r="I510" s="25">
        <f>0+'táj.2.'!I510</f>
        <v>0</v>
      </c>
      <c r="J510" s="25">
        <f>0+'táj.2.'!J510</f>
        <v>0</v>
      </c>
      <c r="K510" s="25">
        <f>0+'táj.2.'!K510</f>
        <v>0</v>
      </c>
      <c r="L510" s="25">
        <f>17920+'táj.2.'!L510</f>
        <v>17920</v>
      </c>
      <c r="M510" s="25">
        <f>0+'táj.2.'!M510</f>
        <v>0</v>
      </c>
      <c r="N510" s="25">
        <f>0+'táj.2.'!N510</f>
        <v>0</v>
      </c>
      <c r="O510" s="25">
        <f>0+'táj.2.'!O510</f>
        <v>0</v>
      </c>
      <c r="P510" s="25">
        <f>0+'táj.2.'!P510</f>
        <v>0</v>
      </c>
      <c r="Q510" s="25">
        <f t="shared" si="30"/>
        <v>17920</v>
      </c>
    </row>
    <row r="511" spans="1:17" ht="37.5" customHeight="1">
      <c r="A511" s="23"/>
      <c r="B511" s="23"/>
      <c r="C511" s="435" t="s">
        <v>288</v>
      </c>
      <c r="D511" s="683" t="s">
        <v>14</v>
      </c>
      <c r="E511" s="437"/>
      <c r="F511" s="658">
        <v>162113</v>
      </c>
      <c r="G511" s="25">
        <f>0+'táj.2.'!G511</f>
        <v>0</v>
      </c>
      <c r="H511" s="25">
        <f>0+'táj.2.'!H511</f>
        <v>0</v>
      </c>
      <c r="I511" s="25">
        <f>0+'táj.2.'!I511</f>
        <v>0</v>
      </c>
      <c r="J511" s="25">
        <f>0+'táj.2.'!J511</f>
        <v>0</v>
      </c>
      <c r="K511" s="25">
        <f>0+'táj.2.'!K511</f>
        <v>0</v>
      </c>
      <c r="L511" s="25">
        <f>24000+'táj.2.'!L511</f>
        <v>21705</v>
      </c>
      <c r="M511" s="25">
        <f>0+'táj.2.'!M511</f>
        <v>0</v>
      </c>
      <c r="N511" s="25">
        <f>0+'táj.2.'!N511</f>
        <v>0</v>
      </c>
      <c r="O511" s="25">
        <f>0+'táj.2.'!O511</f>
        <v>0</v>
      </c>
      <c r="P511" s="25">
        <f>0+'táj.2.'!P511</f>
        <v>0</v>
      </c>
      <c r="Q511" s="25">
        <f t="shared" si="30"/>
        <v>21705</v>
      </c>
    </row>
    <row r="512" spans="1:17" ht="37.5" customHeight="1">
      <c r="A512" s="23"/>
      <c r="B512" s="23"/>
      <c r="C512" s="435" t="s">
        <v>284</v>
      </c>
      <c r="D512" s="683" t="s">
        <v>159</v>
      </c>
      <c r="E512" s="437"/>
      <c r="F512" s="13">
        <v>162114</v>
      </c>
      <c r="G512" s="25">
        <f>0+'táj.2.'!G512</f>
        <v>0</v>
      </c>
      <c r="H512" s="25">
        <f>0+'táj.2.'!H512</f>
        <v>0</v>
      </c>
      <c r="I512" s="25">
        <f>0+'táj.2.'!I512</f>
        <v>0</v>
      </c>
      <c r="J512" s="25">
        <f>0+'táj.2.'!J512</f>
        <v>0</v>
      </c>
      <c r="K512" s="25">
        <f>0+'táj.2.'!K512</f>
        <v>0</v>
      </c>
      <c r="L512" s="25">
        <f>0+'táj.2.'!L512</f>
        <v>1639</v>
      </c>
      <c r="M512" s="25">
        <f>0+'táj.2.'!M512</f>
        <v>0</v>
      </c>
      <c r="N512" s="25">
        <f>0+'táj.2.'!N512</f>
        <v>0</v>
      </c>
      <c r="O512" s="25">
        <f>0+'táj.2.'!O512</f>
        <v>0</v>
      </c>
      <c r="P512" s="25">
        <f>0+'táj.2.'!P512</f>
        <v>0</v>
      </c>
      <c r="Q512" s="25">
        <f t="shared" si="30"/>
        <v>1639</v>
      </c>
    </row>
    <row r="513" spans="1:17" ht="37.5" customHeight="1">
      <c r="A513" s="23"/>
      <c r="B513" s="23"/>
      <c r="C513" s="435" t="s">
        <v>761</v>
      </c>
      <c r="D513" s="683" t="s">
        <v>160</v>
      </c>
      <c r="E513" s="437"/>
      <c r="F513" s="13">
        <v>162115</v>
      </c>
      <c r="G513" s="25">
        <f>0+'táj.2.'!G513</f>
        <v>0</v>
      </c>
      <c r="H513" s="25">
        <f>0+'táj.2.'!H513</f>
        <v>0</v>
      </c>
      <c r="I513" s="25">
        <f>0+'táj.2.'!I513</f>
        <v>0</v>
      </c>
      <c r="J513" s="25">
        <f>0+'táj.2.'!J513</f>
        <v>0</v>
      </c>
      <c r="K513" s="25">
        <f>0+'táj.2.'!K513</f>
        <v>0</v>
      </c>
      <c r="L513" s="25">
        <f>0+'táj.2.'!L513</f>
        <v>2000</v>
      </c>
      <c r="M513" s="25">
        <f>0+'táj.2.'!M513</f>
        <v>0</v>
      </c>
      <c r="N513" s="25">
        <f>0+'táj.2.'!N513</f>
        <v>0</v>
      </c>
      <c r="O513" s="25">
        <f>0+'táj.2.'!O513</f>
        <v>0</v>
      </c>
      <c r="P513" s="25">
        <f>0+'táj.2.'!P513</f>
        <v>0</v>
      </c>
      <c r="Q513" s="25">
        <f t="shared" si="30"/>
        <v>2000</v>
      </c>
    </row>
    <row r="514" spans="1:17" ht="12.75" customHeight="1">
      <c r="A514" s="23"/>
      <c r="B514" s="23"/>
      <c r="C514" s="439"/>
      <c r="D514" s="440" t="s">
        <v>198</v>
      </c>
      <c r="E514" s="185"/>
      <c r="F514" s="658"/>
      <c r="G514" s="25"/>
      <c r="H514" s="298"/>
      <c r="I514" s="25"/>
      <c r="J514" s="25"/>
      <c r="K514" s="25"/>
      <c r="L514" s="15"/>
      <c r="M514" s="25"/>
      <c r="N514" s="25"/>
      <c r="O514" s="25"/>
      <c r="P514" s="25"/>
      <c r="Q514" s="25"/>
    </row>
    <row r="515" spans="1:17" ht="25.5" customHeight="1">
      <c r="A515" s="23"/>
      <c r="B515" s="23"/>
      <c r="C515" s="441" t="s">
        <v>496</v>
      </c>
      <c r="D515" s="442" t="s">
        <v>1079</v>
      </c>
      <c r="E515" s="443"/>
      <c r="F515" s="664">
        <v>162162</v>
      </c>
      <c r="G515" s="25">
        <f>0+'táj.2.'!G515</f>
        <v>0</v>
      </c>
      <c r="H515" s="25">
        <f>0+'táj.2.'!H515</f>
        <v>0</v>
      </c>
      <c r="I515" s="25">
        <f>0+'táj.2.'!I515</f>
        <v>0</v>
      </c>
      <c r="J515" s="25">
        <f>0+'táj.2.'!J515</f>
        <v>0</v>
      </c>
      <c r="K515" s="25">
        <f>0+'táj.2.'!K515</f>
        <v>0</v>
      </c>
      <c r="L515" s="25">
        <f>11400+'táj.2.'!L515</f>
        <v>10400</v>
      </c>
      <c r="M515" s="25">
        <f>0+'táj.2.'!M515</f>
        <v>0</v>
      </c>
      <c r="N515" s="25">
        <f>0+'táj.2.'!N515</f>
        <v>0</v>
      </c>
      <c r="O515" s="25">
        <f>0+'táj.2.'!O515</f>
        <v>0</v>
      </c>
      <c r="P515" s="25">
        <f>0+'táj.2.'!P515</f>
        <v>0</v>
      </c>
      <c r="Q515" s="153">
        <f aca="true" t="shared" si="31" ref="Q515:Q526">SUM(G515:P515)</f>
        <v>10400</v>
      </c>
    </row>
    <row r="516" spans="1:17" ht="25.5" customHeight="1">
      <c r="A516" s="23"/>
      <c r="B516" s="23"/>
      <c r="C516" s="446" t="s">
        <v>534</v>
      </c>
      <c r="D516" s="135" t="s">
        <v>1154</v>
      </c>
      <c r="E516" s="185"/>
      <c r="F516" s="658">
        <v>162160</v>
      </c>
      <c r="G516" s="25">
        <f>0+'táj.2.'!G516</f>
        <v>0</v>
      </c>
      <c r="H516" s="25">
        <f>0+'táj.2.'!H516</f>
        <v>0</v>
      </c>
      <c r="I516" s="25">
        <f>6387+'táj.2.'!I516</f>
        <v>6387</v>
      </c>
      <c r="J516" s="25">
        <f>0+'táj.2.'!J516</f>
        <v>0</v>
      </c>
      <c r="K516" s="25">
        <f>0+'táj.2.'!K516</f>
        <v>0</v>
      </c>
      <c r="L516" s="25">
        <f>24391+'táj.2.'!L516</f>
        <v>24391</v>
      </c>
      <c r="M516" s="25">
        <f>0+'táj.2.'!M516</f>
        <v>0</v>
      </c>
      <c r="N516" s="25">
        <f>0+'táj.2.'!N516</f>
        <v>0</v>
      </c>
      <c r="O516" s="25">
        <f>0+'táj.2.'!O516</f>
        <v>0</v>
      </c>
      <c r="P516" s="25">
        <f>0+'táj.2.'!P516</f>
        <v>0</v>
      </c>
      <c r="Q516" s="25">
        <f t="shared" si="31"/>
        <v>30778</v>
      </c>
    </row>
    <row r="517" spans="1:17" ht="26.25" customHeight="1">
      <c r="A517" s="23"/>
      <c r="B517" s="23"/>
      <c r="C517" s="446" t="s">
        <v>535</v>
      </c>
      <c r="D517" s="129" t="s">
        <v>1155</v>
      </c>
      <c r="E517" s="185"/>
      <c r="F517" s="658">
        <v>152113</v>
      </c>
      <c r="G517" s="25">
        <f>0+'táj.2.'!G517</f>
        <v>0</v>
      </c>
      <c r="H517" s="25">
        <f>0+'táj.2.'!H517</f>
        <v>0</v>
      </c>
      <c r="I517" s="25">
        <f>47+'táj.2.'!I517</f>
        <v>47</v>
      </c>
      <c r="J517" s="25">
        <f>0+'táj.2.'!J517</f>
        <v>0</v>
      </c>
      <c r="K517" s="25">
        <f>0+'táj.2.'!K517</f>
        <v>0</v>
      </c>
      <c r="L517" s="25">
        <f>1460+'táj.2.'!L517</f>
        <v>1460</v>
      </c>
      <c r="M517" s="25">
        <f>0+'táj.2.'!M517</f>
        <v>0</v>
      </c>
      <c r="N517" s="25">
        <f>0+'táj.2.'!N517</f>
        <v>0</v>
      </c>
      <c r="O517" s="25">
        <f>0+'táj.2.'!O517</f>
        <v>0</v>
      </c>
      <c r="P517" s="25">
        <f>0+'táj.2.'!P517</f>
        <v>0</v>
      </c>
      <c r="Q517" s="25">
        <f t="shared" si="31"/>
        <v>1507</v>
      </c>
    </row>
    <row r="518" spans="1:17" ht="12.75" customHeight="1">
      <c r="A518" s="23"/>
      <c r="B518" s="23"/>
      <c r="C518" s="446" t="s">
        <v>536</v>
      </c>
      <c r="D518" s="129" t="s">
        <v>913</v>
      </c>
      <c r="E518" s="185"/>
      <c r="F518" s="658">
        <v>162164</v>
      </c>
      <c r="G518" s="25">
        <f>0+'táj.2.'!G518</f>
        <v>0</v>
      </c>
      <c r="H518" s="25">
        <f>0+'táj.2.'!H518</f>
        <v>0</v>
      </c>
      <c r="I518" s="25">
        <f>0+'táj.2.'!I518</f>
        <v>0</v>
      </c>
      <c r="J518" s="25">
        <f>0+'táj.2.'!J518</f>
        <v>0</v>
      </c>
      <c r="K518" s="25">
        <f>0+'táj.2.'!K518</f>
        <v>0</v>
      </c>
      <c r="L518" s="25">
        <f>846+'táj.2.'!L518</f>
        <v>846</v>
      </c>
      <c r="M518" s="25">
        <f>0+'táj.2.'!M518</f>
        <v>0</v>
      </c>
      <c r="N518" s="25">
        <f>0+'táj.2.'!N518</f>
        <v>0</v>
      </c>
      <c r="O518" s="25">
        <f>0+'táj.2.'!O518</f>
        <v>0</v>
      </c>
      <c r="P518" s="25">
        <f>0+'táj.2.'!P518</f>
        <v>0</v>
      </c>
      <c r="Q518" s="25">
        <f t="shared" si="31"/>
        <v>846</v>
      </c>
    </row>
    <row r="519" spans="1:17" ht="12.75" customHeight="1">
      <c r="A519" s="23"/>
      <c r="B519" s="23"/>
      <c r="C519" s="447" t="s">
        <v>626</v>
      </c>
      <c r="D519" s="448" t="s">
        <v>277</v>
      </c>
      <c r="E519" s="185"/>
      <c r="F519" s="658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</row>
    <row r="520" spans="1:17" ht="12.75" customHeight="1">
      <c r="A520" s="23"/>
      <c r="B520" s="23"/>
      <c r="C520" s="449" t="s">
        <v>627</v>
      </c>
      <c r="D520" s="369" t="s">
        <v>914</v>
      </c>
      <c r="E520" s="185"/>
      <c r="F520" s="658">
        <v>162207</v>
      </c>
      <c r="G520" s="25">
        <f>0+'táj.2.'!G520</f>
        <v>0</v>
      </c>
      <c r="H520" s="25">
        <f>0+'táj.2.'!H520</f>
        <v>0</v>
      </c>
      <c r="I520" s="25">
        <f>0+'táj.2.'!I520</f>
        <v>0</v>
      </c>
      <c r="J520" s="25">
        <f>0+'táj.2.'!J520</f>
        <v>0</v>
      </c>
      <c r="K520" s="25">
        <f>0+'táj.2.'!K520</f>
        <v>0</v>
      </c>
      <c r="L520" s="25">
        <f>24010+'táj.2.'!L520</f>
        <v>21402</v>
      </c>
      <c r="M520" s="25">
        <f>0+'táj.2.'!M520</f>
        <v>0</v>
      </c>
      <c r="N520" s="25">
        <f>0+'táj.2.'!N520</f>
        <v>0</v>
      </c>
      <c r="O520" s="25">
        <f>0+'táj.2.'!O520</f>
        <v>0</v>
      </c>
      <c r="P520" s="25">
        <f>0+'táj.2.'!P520</f>
        <v>0</v>
      </c>
      <c r="Q520" s="25">
        <f t="shared" si="31"/>
        <v>21402</v>
      </c>
    </row>
    <row r="521" spans="1:17" ht="12.75" customHeight="1">
      <c r="A521" s="23"/>
      <c r="B521" s="23"/>
      <c r="C521" s="449" t="s">
        <v>474</v>
      </c>
      <c r="D521" s="369" t="s">
        <v>915</v>
      </c>
      <c r="E521" s="185"/>
      <c r="F521" s="658">
        <v>162206</v>
      </c>
      <c r="G521" s="25">
        <f>0+'táj.2.'!G521</f>
        <v>0</v>
      </c>
      <c r="H521" s="25">
        <f>0+'táj.2.'!H521</f>
        <v>0</v>
      </c>
      <c r="I521" s="25">
        <f>0+'táj.2.'!I521</f>
        <v>0</v>
      </c>
      <c r="J521" s="25">
        <f>0+'táj.2.'!J521</f>
        <v>0</v>
      </c>
      <c r="K521" s="25">
        <f>0+'táj.2.'!K521</f>
        <v>0</v>
      </c>
      <c r="L521" s="25">
        <f>4871+'táj.2.'!L521</f>
        <v>5166</v>
      </c>
      <c r="M521" s="25">
        <f>0+'táj.2.'!M521</f>
        <v>0</v>
      </c>
      <c r="N521" s="25">
        <f>0+'táj.2.'!N521</f>
        <v>0</v>
      </c>
      <c r="O521" s="25">
        <f>0+'táj.2.'!O521</f>
        <v>0</v>
      </c>
      <c r="P521" s="25">
        <f>0+'táj.2.'!P521</f>
        <v>0</v>
      </c>
      <c r="Q521" s="25">
        <f t="shared" si="31"/>
        <v>5166</v>
      </c>
    </row>
    <row r="522" spans="1:17" ht="12.75" customHeight="1">
      <c r="A522" s="23"/>
      <c r="B522" s="23"/>
      <c r="C522" s="684" t="s">
        <v>12</v>
      </c>
      <c r="D522" s="685" t="s">
        <v>13</v>
      </c>
      <c r="E522" s="185"/>
      <c r="F522" s="658">
        <v>162208</v>
      </c>
      <c r="G522" s="25">
        <f>0+'táj.2.'!G522</f>
        <v>0</v>
      </c>
      <c r="H522" s="25">
        <f>0+'táj.2.'!H522</f>
        <v>0</v>
      </c>
      <c r="I522" s="25">
        <f>0+'táj.2.'!I522</f>
        <v>0</v>
      </c>
      <c r="J522" s="25">
        <f>0+'táj.2.'!J522</f>
        <v>0</v>
      </c>
      <c r="K522" s="25">
        <f>0+'táj.2.'!K522</f>
        <v>0</v>
      </c>
      <c r="L522" s="25">
        <f>1000+'táj.2.'!L522</f>
        <v>2000</v>
      </c>
      <c r="M522" s="25">
        <f>0+'táj.2.'!M522</f>
        <v>0</v>
      </c>
      <c r="N522" s="25">
        <f>0+'táj.2.'!N522</f>
        <v>0</v>
      </c>
      <c r="O522" s="25">
        <f>0+'táj.2.'!O522</f>
        <v>0</v>
      </c>
      <c r="P522" s="25">
        <f>0+'táj.2.'!P522</f>
        <v>0</v>
      </c>
      <c r="Q522" s="25">
        <f t="shared" si="31"/>
        <v>2000</v>
      </c>
    </row>
    <row r="523" spans="1:17" ht="12.75" customHeight="1">
      <c r="A523" s="23"/>
      <c r="B523" s="23"/>
      <c r="C523" s="684" t="s">
        <v>148</v>
      </c>
      <c r="D523" s="749" t="s">
        <v>149</v>
      </c>
      <c r="E523" s="185"/>
      <c r="F523" s="658">
        <v>162209</v>
      </c>
      <c r="G523" s="25">
        <f>0+'táj.2.'!G523</f>
        <v>0</v>
      </c>
      <c r="H523" s="25">
        <f>0+'táj.2.'!H523</f>
        <v>0</v>
      </c>
      <c r="I523" s="25">
        <f>0+'táj.2.'!I523</f>
        <v>0</v>
      </c>
      <c r="J523" s="25">
        <f>0+'táj.2.'!J523</f>
        <v>0</v>
      </c>
      <c r="K523" s="25">
        <f>0+'táj.2.'!K523</f>
        <v>0</v>
      </c>
      <c r="L523" s="25">
        <f>0+'táj.2.'!L523</f>
        <v>200</v>
      </c>
      <c r="M523" s="25">
        <f>0+'táj.2.'!M523</f>
        <v>0</v>
      </c>
      <c r="N523" s="25">
        <f>0+'táj.2.'!N523</f>
        <v>0</v>
      </c>
      <c r="O523" s="25">
        <f>0+'táj.2.'!O523</f>
        <v>0</v>
      </c>
      <c r="P523" s="25">
        <f>0+'táj.2.'!P523</f>
        <v>0</v>
      </c>
      <c r="Q523" s="25">
        <f t="shared" si="31"/>
        <v>200</v>
      </c>
    </row>
    <row r="524" spans="1:17" ht="12.75" customHeight="1">
      <c r="A524" s="23"/>
      <c r="B524" s="23"/>
      <c r="C524" s="684" t="s">
        <v>161</v>
      </c>
      <c r="D524" s="749" t="s">
        <v>150</v>
      </c>
      <c r="E524" s="185"/>
      <c r="F524" s="658">
        <v>162210</v>
      </c>
      <c r="G524" s="25">
        <f>0+'táj.2.'!G524</f>
        <v>0</v>
      </c>
      <c r="H524" s="25">
        <f>0+'táj.2.'!H524</f>
        <v>0</v>
      </c>
      <c r="I524" s="25">
        <f>0+'táj.2.'!I524</f>
        <v>0</v>
      </c>
      <c r="J524" s="25">
        <f>0+'táj.2.'!J524</f>
        <v>0</v>
      </c>
      <c r="K524" s="25">
        <f>0+'táj.2.'!K524</f>
        <v>0</v>
      </c>
      <c r="L524" s="25">
        <f>0+'táj.2.'!L524</f>
        <v>2608</v>
      </c>
      <c r="M524" s="25">
        <f>0+'táj.2.'!M524</f>
        <v>0</v>
      </c>
      <c r="N524" s="25">
        <f>0+'táj.2.'!N524</f>
        <v>0</v>
      </c>
      <c r="O524" s="25">
        <f>0+'táj.2.'!O524</f>
        <v>0</v>
      </c>
      <c r="P524" s="25">
        <f>0+'táj.2.'!P524</f>
        <v>0</v>
      </c>
      <c r="Q524" s="25">
        <f t="shared" si="31"/>
        <v>2608</v>
      </c>
    </row>
    <row r="525" spans="1:17" ht="12.75" customHeight="1">
      <c r="A525" s="23"/>
      <c r="B525" s="23"/>
      <c r="C525" s="449"/>
      <c r="D525" s="440" t="s">
        <v>198</v>
      </c>
      <c r="E525" s="185"/>
      <c r="F525" s="658"/>
      <c r="G525" s="25">
        <f>0+'táj.2.'!G525</f>
        <v>0</v>
      </c>
      <c r="H525" s="298"/>
      <c r="I525" s="25"/>
      <c r="J525" s="25"/>
      <c r="K525" s="25"/>
      <c r="L525" s="15"/>
      <c r="M525" s="25"/>
      <c r="N525" s="25"/>
      <c r="O525" s="25"/>
      <c r="P525" s="25"/>
      <c r="Q525" s="25"/>
    </row>
    <row r="526" spans="1:17" ht="38.25" customHeight="1">
      <c r="A526" s="23"/>
      <c r="B526" s="23"/>
      <c r="C526" s="449" t="s">
        <v>803</v>
      </c>
      <c r="D526" s="138" t="s">
        <v>916</v>
      </c>
      <c r="E526" s="185"/>
      <c r="F526" s="658">
        <v>162204</v>
      </c>
      <c r="G526" s="25">
        <f>0+'táj.2.'!G526</f>
        <v>0</v>
      </c>
      <c r="H526" s="25">
        <f>0+'táj.2.'!H526</f>
        <v>0</v>
      </c>
      <c r="I526" s="25">
        <f>0+'táj.2.'!I526</f>
        <v>0</v>
      </c>
      <c r="J526" s="25">
        <f>0+'táj.2.'!J526</f>
        <v>0</v>
      </c>
      <c r="K526" s="25">
        <f>0+'táj.2.'!K526</f>
        <v>0</v>
      </c>
      <c r="L526" s="25">
        <f>346+'táj.2.'!L526</f>
        <v>346</v>
      </c>
      <c r="M526" s="25">
        <f>0+'táj.2.'!M526</f>
        <v>0</v>
      </c>
      <c r="N526" s="25">
        <f>0+'táj.2.'!N526</f>
        <v>0</v>
      </c>
      <c r="O526" s="25">
        <f>0+'táj.2.'!O526</f>
        <v>0</v>
      </c>
      <c r="P526" s="25">
        <f>0+'táj.2.'!P526</f>
        <v>0</v>
      </c>
      <c r="Q526" s="25">
        <f t="shared" si="31"/>
        <v>346</v>
      </c>
    </row>
    <row r="527" spans="1:17" ht="12.75" customHeight="1">
      <c r="A527" s="23"/>
      <c r="B527" s="23"/>
      <c r="C527" s="422" t="s">
        <v>628</v>
      </c>
      <c r="D527" s="423" t="s">
        <v>563</v>
      </c>
      <c r="E527" s="185"/>
      <c r="F527" s="658"/>
      <c r="G527" s="25"/>
      <c r="H527" s="298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1:17" ht="12.75" customHeight="1">
      <c r="A528" s="23"/>
      <c r="B528" s="23"/>
      <c r="C528" s="422"/>
      <c r="D528" s="450" t="s">
        <v>198</v>
      </c>
      <c r="E528" s="185"/>
      <c r="F528" s="658"/>
      <c r="G528" s="25"/>
      <c r="H528" s="298"/>
      <c r="I528" s="25"/>
      <c r="J528" s="25"/>
      <c r="K528" s="25"/>
      <c r="L528" s="25"/>
      <c r="M528" s="25"/>
      <c r="N528" s="25"/>
      <c r="O528" s="25"/>
      <c r="P528" s="25"/>
      <c r="Q528" s="25"/>
    </row>
    <row r="529" spans="1:17" ht="26.25" customHeight="1">
      <c r="A529" s="23"/>
      <c r="B529" s="23"/>
      <c r="C529" s="449" t="s">
        <v>765</v>
      </c>
      <c r="D529" s="451" t="s">
        <v>917</v>
      </c>
      <c r="E529" s="185" t="s">
        <v>469</v>
      </c>
      <c r="F529" s="658">
        <v>162973</v>
      </c>
      <c r="G529" s="25">
        <f>0+'táj.2.'!G529</f>
        <v>0</v>
      </c>
      <c r="H529" s="25">
        <f>0+'táj.2.'!H529</f>
        <v>0</v>
      </c>
      <c r="I529" s="25">
        <f>10998+'táj.2.'!I529</f>
        <v>10998</v>
      </c>
      <c r="J529" s="25">
        <f>0+'táj.2.'!J529</f>
        <v>0</v>
      </c>
      <c r="K529" s="25">
        <f>0+'táj.2.'!K529</f>
        <v>0</v>
      </c>
      <c r="L529" s="25">
        <f>556749+'táj.2.'!L529</f>
        <v>556749</v>
      </c>
      <c r="M529" s="25">
        <f>0+'táj.2.'!M529</f>
        <v>0</v>
      </c>
      <c r="N529" s="25">
        <f>0+'táj.2.'!N529</f>
        <v>0</v>
      </c>
      <c r="O529" s="25">
        <f>0+'táj.2.'!O529</f>
        <v>0</v>
      </c>
      <c r="P529" s="25">
        <f>0+'táj.2.'!P529</f>
        <v>0</v>
      </c>
      <c r="Q529" s="25">
        <f>SUM(G529:P529)</f>
        <v>567747</v>
      </c>
    </row>
    <row r="530" spans="1:17" ht="28.5" customHeight="1">
      <c r="A530" s="23"/>
      <c r="B530" s="23"/>
      <c r="C530" s="449" t="s">
        <v>1156</v>
      </c>
      <c r="D530" s="451" t="s">
        <v>918</v>
      </c>
      <c r="E530" s="185" t="s">
        <v>469</v>
      </c>
      <c r="F530" s="658">
        <v>162974</v>
      </c>
      <c r="G530" s="25">
        <f>0+'táj.2.'!G530</f>
        <v>0</v>
      </c>
      <c r="H530" s="25">
        <f>0+'táj.2.'!H530</f>
        <v>0</v>
      </c>
      <c r="I530" s="25">
        <f>10871+'táj.2.'!I530</f>
        <v>10871</v>
      </c>
      <c r="J530" s="25">
        <f>0+'táj.2.'!J530</f>
        <v>0</v>
      </c>
      <c r="K530" s="25">
        <f>0+'táj.2.'!K530</f>
        <v>0</v>
      </c>
      <c r="L530" s="25">
        <f>560854+'táj.2.'!L530</f>
        <v>560854</v>
      </c>
      <c r="M530" s="25">
        <f>0+'táj.2.'!M530</f>
        <v>0</v>
      </c>
      <c r="N530" s="25">
        <f>0+'táj.2.'!N530</f>
        <v>0</v>
      </c>
      <c r="O530" s="25">
        <f>0+'táj.2.'!O530</f>
        <v>0</v>
      </c>
      <c r="P530" s="25">
        <f>0+'táj.2.'!P530</f>
        <v>0</v>
      </c>
      <c r="Q530" s="25">
        <f>SUM(G530:P530)</f>
        <v>571725</v>
      </c>
    </row>
    <row r="531" spans="1:17" ht="12.75" customHeight="1">
      <c r="A531" s="23"/>
      <c r="B531" s="23"/>
      <c r="C531" s="422" t="s">
        <v>629</v>
      </c>
      <c r="D531" s="423" t="s">
        <v>634</v>
      </c>
      <c r="E531" s="185"/>
      <c r="F531" s="658"/>
      <c r="G531" s="25"/>
      <c r="H531" s="298"/>
      <c r="I531" s="25"/>
      <c r="J531" s="25"/>
      <c r="K531" s="25"/>
      <c r="L531" s="25"/>
      <c r="M531" s="25"/>
      <c r="N531" s="25"/>
      <c r="O531" s="25"/>
      <c r="P531" s="25"/>
      <c r="Q531" s="25"/>
    </row>
    <row r="532" spans="1:17" ht="27.75" customHeight="1">
      <c r="A532" s="23"/>
      <c r="B532" s="23"/>
      <c r="C532" s="452" t="s">
        <v>635</v>
      </c>
      <c r="D532" s="369" t="s">
        <v>919</v>
      </c>
      <c r="E532" s="185"/>
      <c r="F532" s="658">
        <v>162412</v>
      </c>
      <c r="G532" s="25">
        <f>0+'táj.2.'!G532</f>
        <v>0</v>
      </c>
      <c r="H532" s="25">
        <f>0+'táj.2.'!H532</f>
        <v>0</v>
      </c>
      <c r="I532" s="25">
        <f>0+'táj.2.'!I532</f>
        <v>0</v>
      </c>
      <c r="J532" s="25">
        <f>0+'táj.2.'!J532</f>
        <v>0</v>
      </c>
      <c r="K532" s="25">
        <f>0+'táj.2.'!K532</f>
        <v>0</v>
      </c>
      <c r="L532" s="25">
        <f>79000+'táj.2.'!L532</f>
        <v>78070</v>
      </c>
      <c r="M532" s="25">
        <f>0+'táj.2.'!M532</f>
        <v>0</v>
      </c>
      <c r="N532" s="25">
        <f>0+'táj.2.'!N532</f>
        <v>0</v>
      </c>
      <c r="O532" s="25">
        <f>0+'táj.2.'!O532</f>
        <v>0</v>
      </c>
      <c r="P532" s="25">
        <f>0+'táj.2.'!P532</f>
        <v>0</v>
      </c>
      <c r="Q532" s="25">
        <f aca="true" t="shared" si="32" ref="Q532:Q540">SUM(G532:P532)</f>
        <v>78070</v>
      </c>
    </row>
    <row r="533" spans="1:17" ht="38.25" customHeight="1">
      <c r="A533" s="23"/>
      <c r="B533" s="23"/>
      <c r="C533" s="452" t="s">
        <v>636</v>
      </c>
      <c r="D533" s="369" t="s">
        <v>920</v>
      </c>
      <c r="E533" s="185"/>
      <c r="F533" s="658">
        <v>162457</v>
      </c>
      <c r="G533" s="25">
        <f>0+'táj.2.'!G533</f>
        <v>0</v>
      </c>
      <c r="H533" s="25">
        <f>0+'táj.2.'!H533</f>
        <v>0</v>
      </c>
      <c r="I533" s="25">
        <f>0+'táj.2.'!I533</f>
        <v>0</v>
      </c>
      <c r="J533" s="25">
        <f>0+'táj.2.'!J533</f>
        <v>0</v>
      </c>
      <c r="K533" s="25">
        <f>0+'táj.2.'!K533</f>
        <v>0</v>
      </c>
      <c r="L533" s="25">
        <f>6000+'táj.2.'!L533</f>
        <v>6930</v>
      </c>
      <c r="M533" s="25">
        <f>0+'táj.2.'!M533</f>
        <v>0</v>
      </c>
      <c r="N533" s="25">
        <f>0+'táj.2.'!N533</f>
        <v>0</v>
      </c>
      <c r="O533" s="25">
        <f>0+'táj.2.'!O533</f>
        <v>0</v>
      </c>
      <c r="P533" s="25">
        <f>0+'táj.2.'!P533</f>
        <v>0</v>
      </c>
      <c r="Q533" s="25">
        <f t="shared" si="32"/>
        <v>6930</v>
      </c>
    </row>
    <row r="534" spans="1:17" ht="27.75" customHeight="1">
      <c r="A534" s="23"/>
      <c r="B534" s="23"/>
      <c r="C534" s="452" t="s">
        <v>637</v>
      </c>
      <c r="D534" s="369" t="s">
        <v>922</v>
      </c>
      <c r="E534" s="185"/>
      <c r="F534" s="658">
        <v>162413</v>
      </c>
      <c r="G534" s="25">
        <f>0+'táj.2.'!G534</f>
        <v>0</v>
      </c>
      <c r="H534" s="25">
        <f>0+'táj.2.'!H534</f>
        <v>0</v>
      </c>
      <c r="I534" s="25">
        <f>0+'táj.2.'!I534</f>
        <v>0</v>
      </c>
      <c r="J534" s="25">
        <f>0+'táj.2.'!J534</f>
        <v>0</v>
      </c>
      <c r="K534" s="25">
        <f>0+'táj.2.'!K534</f>
        <v>0</v>
      </c>
      <c r="L534" s="25">
        <f>23142+'táj.2.'!L534</f>
        <v>23142</v>
      </c>
      <c r="M534" s="25">
        <f>0+'táj.2.'!M534</f>
        <v>0</v>
      </c>
      <c r="N534" s="25">
        <f>0+'táj.2.'!N534</f>
        <v>0</v>
      </c>
      <c r="O534" s="25">
        <f>0+'táj.2.'!O534</f>
        <v>0</v>
      </c>
      <c r="P534" s="25">
        <f>0+'táj.2.'!P534</f>
        <v>0</v>
      </c>
      <c r="Q534" s="25">
        <f t="shared" si="32"/>
        <v>23142</v>
      </c>
    </row>
    <row r="535" spans="1:17" ht="16.5" customHeight="1">
      <c r="A535" s="23"/>
      <c r="B535" s="23"/>
      <c r="C535" s="452" t="s">
        <v>638</v>
      </c>
      <c r="D535" s="369" t="s">
        <v>923</v>
      </c>
      <c r="E535" s="185"/>
      <c r="F535" s="658">
        <v>162414</v>
      </c>
      <c r="G535" s="25">
        <f>0+'táj.2.'!G535</f>
        <v>0</v>
      </c>
      <c r="H535" s="25">
        <f>0+'táj.2.'!H535</f>
        <v>0</v>
      </c>
      <c r="I535" s="25">
        <f>0+'táj.2.'!I535</f>
        <v>0</v>
      </c>
      <c r="J535" s="25">
        <f>0+'táj.2.'!J535</f>
        <v>0</v>
      </c>
      <c r="K535" s="25">
        <f>0+'táj.2.'!K535</f>
        <v>0</v>
      </c>
      <c r="L535" s="25">
        <f>4000+'táj.2.'!L535</f>
        <v>4000</v>
      </c>
      <c r="M535" s="25">
        <f>0+'táj.2.'!M535</f>
        <v>0</v>
      </c>
      <c r="N535" s="25">
        <f>0+'táj.2.'!N535</f>
        <v>0</v>
      </c>
      <c r="O535" s="25">
        <f>0+'táj.2.'!O535</f>
        <v>0</v>
      </c>
      <c r="P535" s="25">
        <f>0+'táj.2.'!P535</f>
        <v>0</v>
      </c>
      <c r="Q535" s="25">
        <f t="shared" si="32"/>
        <v>4000</v>
      </c>
    </row>
    <row r="536" spans="1:17" ht="15" customHeight="1">
      <c r="A536" s="23"/>
      <c r="B536" s="23"/>
      <c r="C536" s="452" t="s">
        <v>639</v>
      </c>
      <c r="D536" s="369" t="s">
        <v>924</v>
      </c>
      <c r="E536" s="185"/>
      <c r="F536" s="658">
        <v>162447</v>
      </c>
      <c r="G536" s="25">
        <f>0+'táj.2.'!G536</f>
        <v>0</v>
      </c>
      <c r="H536" s="25">
        <f>0+'táj.2.'!H536</f>
        <v>0</v>
      </c>
      <c r="I536" s="25">
        <f>0+'táj.2.'!I536</f>
        <v>0</v>
      </c>
      <c r="J536" s="25">
        <f>0+'táj.2.'!J536</f>
        <v>0</v>
      </c>
      <c r="K536" s="25">
        <f>0+'táj.2.'!K536</f>
        <v>0</v>
      </c>
      <c r="L536" s="25">
        <f>5080+'táj.2.'!L536</f>
        <v>5080</v>
      </c>
      <c r="M536" s="25">
        <f>0+'táj.2.'!M536</f>
        <v>0</v>
      </c>
      <c r="N536" s="25">
        <f>0+'táj.2.'!N536</f>
        <v>0</v>
      </c>
      <c r="O536" s="25">
        <f>0+'táj.2.'!O536</f>
        <v>0</v>
      </c>
      <c r="P536" s="25">
        <f>0+'táj.2.'!P536</f>
        <v>0</v>
      </c>
      <c r="Q536" s="25">
        <f t="shared" si="32"/>
        <v>5080</v>
      </c>
    </row>
    <row r="537" spans="1:17" ht="27.75" customHeight="1">
      <c r="A537" s="23"/>
      <c r="B537" s="23"/>
      <c r="C537" s="452" t="s">
        <v>640</v>
      </c>
      <c r="D537" s="369" t="s">
        <v>925</v>
      </c>
      <c r="E537" s="185"/>
      <c r="F537" s="658">
        <v>162458</v>
      </c>
      <c r="G537" s="25">
        <f>0+'táj.2.'!G537</f>
        <v>0</v>
      </c>
      <c r="H537" s="25">
        <f>0+'táj.2.'!H537</f>
        <v>0</v>
      </c>
      <c r="I537" s="25">
        <f>0+'táj.2.'!I537</f>
        <v>0</v>
      </c>
      <c r="J537" s="25">
        <f>0+'táj.2.'!J537</f>
        <v>0</v>
      </c>
      <c r="K537" s="25">
        <f>0+'táj.2.'!K537</f>
        <v>0</v>
      </c>
      <c r="L537" s="25">
        <f>5000+'táj.2.'!L537</f>
        <v>6400</v>
      </c>
      <c r="M537" s="25">
        <f>0+'táj.2.'!M537</f>
        <v>0</v>
      </c>
      <c r="N537" s="25">
        <f>0+'táj.2.'!N537</f>
        <v>0</v>
      </c>
      <c r="O537" s="25">
        <f>0+'táj.2.'!O537</f>
        <v>0</v>
      </c>
      <c r="P537" s="25">
        <f>0+'táj.2.'!P537</f>
        <v>0</v>
      </c>
      <c r="Q537" s="25">
        <f t="shared" si="32"/>
        <v>6400</v>
      </c>
    </row>
    <row r="538" spans="1:17" ht="12.75" customHeight="1">
      <c r="A538" s="23"/>
      <c r="B538" s="23"/>
      <c r="C538" s="452" t="s">
        <v>641</v>
      </c>
      <c r="D538" s="369" t="s">
        <v>926</v>
      </c>
      <c r="E538" s="185"/>
      <c r="F538" s="658">
        <v>162415</v>
      </c>
      <c r="G538" s="25">
        <f>0+'táj.2.'!G538</f>
        <v>0</v>
      </c>
      <c r="H538" s="25">
        <f>0+'táj.2.'!H538</f>
        <v>0</v>
      </c>
      <c r="I538" s="25">
        <f>0+'táj.2.'!I538</f>
        <v>0</v>
      </c>
      <c r="J538" s="25">
        <f>0+'táj.2.'!J538</f>
        <v>0</v>
      </c>
      <c r="K538" s="25">
        <f>0+'táj.2.'!K538</f>
        <v>0</v>
      </c>
      <c r="L538" s="25">
        <f>5000+'táj.2.'!L538</f>
        <v>4078</v>
      </c>
      <c r="M538" s="25">
        <f>0+'táj.2.'!M538</f>
        <v>0</v>
      </c>
      <c r="N538" s="25">
        <f>0+'táj.2.'!N538</f>
        <v>0</v>
      </c>
      <c r="O538" s="25">
        <f>0+'táj.2.'!O538</f>
        <v>0</v>
      </c>
      <c r="P538" s="25">
        <f>0+'táj.2.'!P538</f>
        <v>0</v>
      </c>
      <c r="Q538" s="25">
        <f t="shared" si="32"/>
        <v>4078</v>
      </c>
    </row>
    <row r="539" spans="1:17" ht="12.75" customHeight="1">
      <c r="A539" s="23"/>
      <c r="B539" s="23"/>
      <c r="C539" s="452" t="s">
        <v>661</v>
      </c>
      <c r="D539" s="369" t="s">
        <v>927</v>
      </c>
      <c r="E539" s="185"/>
      <c r="F539" s="658">
        <v>162416</v>
      </c>
      <c r="G539" s="25">
        <f>0+'táj.2.'!G539</f>
        <v>0</v>
      </c>
      <c r="H539" s="25">
        <f>0+'táj.2.'!H539</f>
        <v>0</v>
      </c>
      <c r="I539" s="25">
        <f>0+'táj.2.'!I539</f>
        <v>0</v>
      </c>
      <c r="J539" s="25">
        <f>0+'táj.2.'!J539</f>
        <v>0</v>
      </c>
      <c r="K539" s="25">
        <f>0+'táj.2.'!K539</f>
        <v>0</v>
      </c>
      <c r="L539" s="25">
        <f>1500+'táj.2.'!L539</f>
        <v>1500</v>
      </c>
      <c r="M539" s="25">
        <f>0+'táj.2.'!M539</f>
        <v>0</v>
      </c>
      <c r="N539" s="25">
        <f>0+'táj.2.'!N539</f>
        <v>0</v>
      </c>
      <c r="O539" s="25">
        <f>0+'táj.2.'!O539</f>
        <v>0</v>
      </c>
      <c r="P539" s="25">
        <f>0+'táj.2.'!P539</f>
        <v>0</v>
      </c>
      <c r="Q539" s="25">
        <f t="shared" si="32"/>
        <v>1500</v>
      </c>
    </row>
    <row r="540" spans="1:17" ht="12.75" customHeight="1">
      <c r="A540" s="23"/>
      <c r="B540" s="23"/>
      <c r="C540" s="452" t="s">
        <v>662</v>
      </c>
      <c r="D540" s="369" t="s">
        <v>928</v>
      </c>
      <c r="E540" s="185"/>
      <c r="F540" s="658">
        <v>154445</v>
      </c>
      <c r="G540" s="25">
        <f>0+'táj.2.'!G540</f>
        <v>0</v>
      </c>
      <c r="H540" s="25">
        <f>0+'táj.2.'!H540</f>
        <v>0</v>
      </c>
      <c r="I540" s="25">
        <f>0+'táj.2.'!I540</f>
        <v>0</v>
      </c>
      <c r="J540" s="25">
        <f>0+'táj.2.'!J540</f>
        <v>0</v>
      </c>
      <c r="K540" s="25">
        <f>0+'táj.2.'!K540</f>
        <v>0</v>
      </c>
      <c r="L540" s="25">
        <f>0+'táj.2.'!L540</f>
        <v>0</v>
      </c>
      <c r="M540" s="25">
        <f>5000+'táj.2.'!M540</f>
        <v>8790</v>
      </c>
      <c r="N540" s="25">
        <f>0+'táj.2.'!N540</f>
        <v>0</v>
      </c>
      <c r="O540" s="25">
        <f>0+'táj.2.'!O540</f>
        <v>0</v>
      </c>
      <c r="P540" s="25">
        <f>0+'táj.2.'!P540</f>
        <v>0</v>
      </c>
      <c r="Q540" s="25">
        <f t="shared" si="32"/>
        <v>8790</v>
      </c>
    </row>
    <row r="541" spans="1:17" ht="12.75" customHeight="1">
      <c r="A541" s="23"/>
      <c r="B541" s="23"/>
      <c r="C541" s="422"/>
      <c r="D541" s="130" t="s">
        <v>198</v>
      </c>
      <c r="E541" s="185"/>
      <c r="F541" s="658"/>
      <c r="G541" s="25"/>
      <c r="H541" s="298"/>
      <c r="I541" s="25"/>
      <c r="J541" s="25"/>
      <c r="K541" s="25"/>
      <c r="L541" s="15"/>
      <c r="M541" s="15"/>
      <c r="N541" s="25"/>
      <c r="O541" s="25"/>
      <c r="P541" s="25"/>
      <c r="Q541" s="25"/>
    </row>
    <row r="542" spans="1:17" ht="12.75" customHeight="1">
      <c r="A542" s="23"/>
      <c r="B542" s="23"/>
      <c r="C542" s="452" t="s">
        <v>537</v>
      </c>
      <c r="D542" s="369" t="s">
        <v>1157</v>
      </c>
      <c r="E542" s="185"/>
      <c r="F542" s="658">
        <v>162486</v>
      </c>
      <c r="G542" s="25">
        <f>0+'táj.2.'!G542</f>
        <v>0</v>
      </c>
      <c r="H542" s="25">
        <f>0+'táj.2.'!H542</f>
        <v>0</v>
      </c>
      <c r="I542" s="25">
        <f>0+'táj.2.'!I542</f>
        <v>0</v>
      </c>
      <c r="J542" s="25">
        <f>0+'táj.2.'!J542</f>
        <v>0</v>
      </c>
      <c r="K542" s="25">
        <f>0+'táj.2.'!K542</f>
        <v>0</v>
      </c>
      <c r="L542" s="25">
        <f>19539+'táj.2.'!L542</f>
        <v>16749</v>
      </c>
      <c r="M542" s="25">
        <f>0+'táj.2.'!M542</f>
        <v>0</v>
      </c>
      <c r="N542" s="25">
        <f>0+'táj.2.'!N542</f>
        <v>0</v>
      </c>
      <c r="O542" s="25">
        <f>0+'táj.2.'!O542</f>
        <v>0</v>
      </c>
      <c r="P542" s="25">
        <f>0+'táj.2.'!P542</f>
        <v>0</v>
      </c>
      <c r="Q542" s="25">
        <f aca="true" t="shared" si="33" ref="Q542:Q549">SUM(G542:P542)</f>
        <v>16749</v>
      </c>
    </row>
    <row r="543" spans="1:17" ht="12.75" customHeight="1">
      <c r="A543" s="23"/>
      <c r="B543" s="23"/>
      <c r="C543" s="452" t="s">
        <v>538</v>
      </c>
      <c r="D543" s="369" t="s">
        <v>428</v>
      </c>
      <c r="E543" s="185"/>
      <c r="F543" s="658">
        <v>162475</v>
      </c>
      <c r="G543" s="25">
        <f>0+'táj.2.'!G543</f>
        <v>0</v>
      </c>
      <c r="H543" s="25">
        <f>0+'táj.2.'!H543</f>
        <v>0</v>
      </c>
      <c r="I543" s="25">
        <f>5706+'táj.2.'!I543</f>
        <v>5706</v>
      </c>
      <c r="J543" s="25">
        <f>0+'táj.2.'!J543</f>
        <v>0</v>
      </c>
      <c r="K543" s="25">
        <f>0+'táj.2.'!K543</f>
        <v>0</v>
      </c>
      <c r="L543" s="25">
        <f>22241+'táj.2.'!L543</f>
        <v>22241</v>
      </c>
      <c r="M543" s="25">
        <f>0+'táj.2.'!M543</f>
        <v>0</v>
      </c>
      <c r="N543" s="25">
        <f>0+'táj.2.'!N543</f>
        <v>0</v>
      </c>
      <c r="O543" s="25">
        <f>0+'táj.2.'!O543</f>
        <v>0</v>
      </c>
      <c r="P543" s="25">
        <f>0+'táj.2.'!P543</f>
        <v>0</v>
      </c>
      <c r="Q543" s="25">
        <f t="shared" si="33"/>
        <v>27947</v>
      </c>
    </row>
    <row r="544" spans="1:17" ht="12.75" customHeight="1">
      <c r="A544" s="23"/>
      <c r="B544" s="23"/>
      <c r="C544" s="452" t="s">
        <v>539</v>
      </c>
      <c r="D544" s="453" t="s">
        <v>929</v>
      </c>
      <c r="E544" s="185"/>
      <c r="F544" s="658">
        <v>164406</v>
      </c>
      <c r="G544" s="25">
        <f>0+'táj.2.'!G544</f>
        <v>0</v>
      </c>
      <c r="H544" s="25">
        <f>0+'táj.2.'!H544</f>
        <v>0</v>
      </c>
      <c r="I544" s="25">
        <f>0+'táj.2.'!I544</f>
        <v>0</v>
      </c>
      <c r="J544" s="25">
        <f>0+'táj.2.'!J544</f>
        <v>0</v>
      </c>
      <c r="K544" s="25">
        <f>0+'táj.2.'!K544</f>
        <v>0</v>
      </c>
      <c r="L544" s="25">
        <f>0+'táj.2.'!L544</f>
        <v>0</v>
      </c>
      <c r="M544" s="25">
        <f>2000+'táj.2.'!M544</f>
        <v>0</v>
      </c>
      <c r="N544" s="25">
        <f>0+'táj.2.'!N544</f>
        <v>0</v>
      </c>
      <c r="O544" s="25">
        <f>0+'táj.2.'!O544</f>
        <v>0</v>
      </c>
      <c r="P544" s="25">
        <f>0+'táj.2.'!P544</f>
        <v>0</v>
      </c>
      <c r="Q544" s="25">
        <f t="shared" si="33"/>
        <v>0</v>
      </c>
    </row>
    <row r="545" spans="1:17" ht="12.75" customHeight="1">
      <c r="A545" s="23"/>
      <c r="B545" s="23"/>
      <c r="C545" s="452" t="s">
        <v>540</v>
      </c>
      <c r="D545" s="420" t="s">
        <v>458</v>
      </c>
      <c r="E545" s="185"/>
      <c r="F545" s="658">
        <v>154472</v>
      </c>
      <c r="G545" s="25">
        <f>0+'táj.2.'!G545</f>
        <v>0</v>
      </c>
      <c r="H545" s="25">
        <f>0+'táj.2.'!H545</f>
        <v>0</v>
      </c>
      <c r="I545" s="25">
        <f>0+'táj.2.'!I545</f>
        <v>0</v>
      </c>
      <c r="J545" s="25">
        <f>0+'táj.2.'!J545</f>
        <v>0</v>
      </c>
      <c r="K545" s="25">
        <f>0+'táj.2.'!K545</f>
        <v>0</v>
      </c>
      <c r="L545" s="25">
        <f>0+'táj.2.'!L545</f>
        <v>0</v>
      </c>
      <c r="M545" s="25">
        <f>1765+'táj.2.'!M545</f>
        <v>1765</v>
      </c>
      <c r="N545" s="25">
        <f>0+'táj.2.'!N545</f>
        <v>0</v>
      </c>
      <c r="O545" s="25">
        <f>0+'táj.2.'!O545</f>
        <v>0</v>
      </c>
      <c r="P545" s="25">
        <f>0+'táj.2.'!P545</f>
        <v>0</v>
      </c>
      <c r="Q545" s="375">
        <f t="shared" si="33"/>
        <v>1765</v>
      </c>
    </row>
    <row r="546" spans="1:17" ht="12.75" customHeight="1">
      <c r="A546" s="23"/>
      <c r="B546" s="23"/>
      <c r="C546" s="422" t="s">
        <v>630</v>
      </c>
      <c r="D546" s="28" t="s">
        <v>564</v>
      </c>
      <c r="E546" s="185"/>
      <c r="F546" s="658"/>
      <c r="G546" s="25"/>
      <c r="H546" s="298"/>
      <c r="I546" s="25"/>
      <c r="J546" s="25"/>
      <c r="K546" s="25"/>
      <c r="L546" s="15"/>
      <c r="M546" s="15"/>
      <c r="N546" s="25"/>
      <c r="O546" s="25"/>
      <c r="P546" s="25"/>
      <c r="Q546" s="25"/>
    </row>
    <row r="547" spans="1:17" ht="12.75" customHeight="1">
      <c r="A547" s="23"/>
      <c r="B547" s="23"/>
      <c r="C547" s="452" t="s">
        <v>669</v>
      </c>
      <c r="D547" s="148" t="s">
        <v>930</v>
      </c>
      <c r="E547" s="185"/>
      <c r="F547" s="658">
        <v>162501</v>
      </c>
      <c r="G547" s="25">
        <f>0+'táj.2.'!G547</f>
        <v>0</v>
      </c>
      <c r="H547" s="25">
        <f>0+'táj.2.'!H547</f>
        <v>0</v>
      </c>
      <c r="I547" s="25">
        <f>0+'táj.2.'!I547</f>
        <v>0</v>
      </c>
      <c r="J547" s="25">
        <f>0+'táj.2.'!J547</f>
        <v>0</v>
      </c>
      <c r="K547" s="25">
        <f>0+'táj.2.'!K547</f>
        <v>0</v>
      </c>
      <c r="L547" s="25">
        <f>3000+'táj.2.'!L547</f>
        <v>3300</v>
      </c>
      <c r="M547" s="25">
        <f>0+'táj.2.'!M547</f>
        <v>0</v>
      </c>
      <c r="N547" s="25">
        <f>0+'táj.2.'!N547</f>
        <v>0</v>
      </c>
      <c r="O547" s="25">
        <f>0+'táj.2.'!O547</f>
        <v>0</v>
      </c>
      <c r="P547" s="25">
        <f>0+'táj.2.'!P547</f>
        <v>0</v>
      </c>
      <c r="Q547" s="25">
        <f t="shared" si="33"/>
        <v>3300</v>
      </c>
    </row>
    <row r="548" spans="1:17" ht="12.75" customHeight="1">
      <c r="A548" s="23"/>
      <c r="B548" s="23"/>
      <c r="C548" s="422"/>
      <c r="D548" s="450" t="s">
        <v>198</v>
      </c>
      <c r="E548" s="185"/>
      <c r="F548" s="658"/>
      <c r="G548" s="25"/>
      <c r="H548" s="298"/>
      <c r="I548" s="25"/>
      <c r="J548" s="25"/>
      <c r="K548" s="25"/>
      <c r="L548" s="15"/>
      <c r="M548" s="15"/>
      <c r="N548" s="25"/>
      <c r="O548" s="25"/>
      <c r="P548" s="25"/>
      <c r="Q548" s="25"/>
    </row>
    <row r="549" spans="1:17" ht="29.25" customHeight="1">
      <c r="A549" s="23"/>
      <c r="B549" s="23"/>
      <c r="C549" s="452" t="s">
        <v>747</v>
      </c>
      <c r="D549" s="454" t="s">
        <v>275</v>
      </c>
      <c r="E549" s="185"/>
      <c r="F549" s="658">
        <v>164501</v>
      </c>
      <c r="G549" s="25">
        <f>0+'táj.2.'!G549</f>
        <v>0</v>
      </c>
      <c r="H549" s="25">
        <f>0+'táj.2.'!H549</f>
        <v>0</v>
      </c>
      <c r="I549" s="25">
        <f>0+'táj.2.'!I549</f>
        <v>0</v>
      </c>
      <c r="J549" s="25">
        <f>0+'táj.2.'!J549</f>
        <v>0</v>
      </c>
      <c r="K549" s="25">
        <f>0+'táj.2.'!K549</f>
        <v>0</v>
      </c>
      <c r="L549" s="25">
        <f>0+'táj.2.'!L549</f>
        <v>0</v>
      </c>
      <c r="M549" s="25">
        <f>3000+'táj.2.'!M549</f>
        <v>0</v>
      </c>
      <c r="N549" s="25">
        <f>0+'táj.2.'!N549</f>
        <v>0</v>
      </c>
      <c r="O549" s="25">
        <f>0+'táj.2.'!O549</f>
        <v>0</v>
      </c>
      <c r="P549" s="25">
        <f>0+'táj.2.'!P549</f>
        <v>0</v>
      </c>
      <c r="Q549" s="25">
        <f t="shared" si="33"/>
        <v>0</v>
      </c>
    </row>
    <row r="550" spans="1:17" ht="12.75" customHeight="1">
      <c r="A550" s="23"/>
      <c r="B550" s="23"/>
      <c r="C550" s="422" t="s">
        <v>631</v>
      </c>
      <c r="D550" s="423" t="s">
        <v>931</v>
      </c>
      <c r="E550" s="185"/>
      <c r="F550" s="658"/>
      <c r="G550" s="25"/>
      <c r="H550" s="298"/>
      <c r="I550" s="25"/>
      <c r="J550" s="25"/>
      <c r="K550" s="25"/>
      <c r="L550" s="15"/>
      <c r="M550" s="15"/>
      <c r="N550" s="25"/>
      <c r="O550" s="25"/>
      <c r="P550" s="25"/>
      <c r="Q550" s="25"/>
    </row>
    <row r="551" spans="1:17" ht="12.75" customHeight="1">
      <c r="A551" s="23"/>
      <c r="B551" s="23"/>
      <c r="C551" s="452" t="s">
        <v>674</v>
      </c>
      <c r="D551" s="421" t="s">
        <v>544</v>
      </c>
      <c r="E551" s="185"/>
      <c r="F551" s="658">
        <v>162601</v>
      </c>
      <c r="G551" s="25">
        <f>0+'táj.2.'!G551</f>
        <v>0</v>
      </c>
      <c r="H551" s="25">
        <f>0+'táj.2.'!H551</f>
        <v>0</v>
      </c>
      <c r="I551" s="25">
        <f>1000+'táj.2.'!I551</f>
        <v>1000</v>
      </c>
      <c r="J551" s="25">
        <f>0+'táj.2.'!J551</f>
        <v>0</v>
      </c>
      <c r="K551" s="25">
        <f>0+'táj.2.'!K551</f>
        <v>0</v>
      </c>
      <c r="L551" s="25">
        <f>11904+'táj.2.'!L551</f>
        <v>11904</v>
      </c>
      <c r="M551" s="25">
        <f>0+'táj.2.'!M551</f>
        <v>0</v>
      </c>
      <c r="N551" s="25">
        <f>0+'táj.2.'!N551</f>
        <v>0</v>
      </c>
      <c r="O551" s="25">
        <f>0+'táj.2.'!O551</f>
        <v>0</v>
      </c>
      <c r="P551" s="25">
        <f>0+'táj.2.'!P551</f>
        <v>0</v>
      </c>
      <c r="Q551" s="25">
        <f aca="true" t="shared" si="34" ref="Q551:Q557">SUM(G551:P551)</f>
        <v>12904</v>
      </c>
    </row>
    <row r="552" spans="1:17" ht="12.75" customHeight="1">
      <c r="A552" s="23"/>
      <c r="B552" s="23"/>
      <c r="C552" s="452" t="s">
        <v>675</v>
      </c>
      <c r="D552" s="455" t="s">
        <v>932</v>
      </c>
      <c r="E552" s="185"/>
      <c r="F552" s="658">
        <v>162602</v>
      </c>
      <c r="G552" s="25">
        <f>0+'táj.2.'!G552</f>
        <v>0</v>
      </c>
      <c r="H552" s="25">
        <f>0+'táj.2.'!H552</f>
        <v>0</v>
      </c>
      <c r="I552" s="25">
        <f>0+'táj.2.'!I552</f>
        <v>0</v>
      </c>
      <c r="J552" s="25">
        <f>0+'táj.2.'!J552</f>
        <v>0</v>
      </c>
      <c r="K552" s="25">
        <f>0+'táj.2.'!K552</f>
        <v>0</v>
      </c>
      <c r="L552" s="25">
        <f>8300+'táj.2.'!L552</f>
        <v>8300</v>
      </c>
      <c r="M552" s="25">
        <f>0+'táj.2.'!M552</f>
        <v>0</v>
      </c>
      <c r="N552" s="25">
        <f>0+'táj.2.'!N552</f>
        <v>0</v>
      </c>
      <c r="O552" s="25">
        <f>0+'táj.2.'!O552</f>
        <v>0</v>
      </c>
      <c r="P552" s="25">
        <f>0+'táj.2.'!P552</f>
        <v>0</v>
      </c>
      <c r="Q552" s="25">
        <f t="shared" si="34"/>
        <v>8300</v>
      </c>
    </row>
    <row r="553" spans="1:17" ht="12.75" customHeight="1">
      <c r="A553" s="23"/>
      <c r="B553" s="23"/>
      <c r="C553" s="452" t="s">
        <v>676</v>
      </c>
      <c r="D553" s="456" t="s">
        <v>933</v>
      </c>
      <c r="E553" s="185"/>
      <c r="F553" s="658">
        <v>162614</v>
      </c>
      <c r="G553" s="25">
        <f>0+'táj.2.'!G553</f>
        <v>0</v>
      </c>
      <c r="H553" s="25">
        <f>0+'táj.2.'!H553</f>
        <v>0</v>
      </c>
      <c r="I553" s="25">
        <f>0+'táj.2.'!I553</f>
        <v>0</v>
      </c>
      <c r="J553" s="25">
        <f>0+'táj.2.'!J553</f>
        <v>0</v>
      </c>
      <c r="K553" s="25">
        <f>0+'táj.2.'!K553</f>
        <v>0</v>
      </c>
      <c r="L553" s="25">
        <f>0+'táj.2.'!L553</f>
        <v>0</v>
      </c>
      <c r="M553" s="25">
        <f>0+'táj.2.'!M553</f>
        <v>0</v>
      </c>
      <c r="N553" s="25">
        <f>87624+'táj.2.'!N553</f>
        <v>87624</v>
      </c>
      <c r="O553" s="25">
        <f>0+'táj.2.'!O553</f>
        <v>0</v>
      </c>
      <c r="P553" s="25">
        <f>0+'táj.2.'!P553</f>
        <v>0</v>
      </c>
      <c r="Q553" s="25">
        <f t="shared" si="34"/>
        <v>87624</v>
      </c>
    </row>
    <row r="554" spans="1:17" ht="12.75" customHeight="1">
      <c r="A554" s="23"/>
      <c r="B554" s="23"/>
      <c r="C554" s="452" t="s">
        <v>506</v>
      </c>
      <c r="D554" s="457" t="s">
        <v>934</v>
      </c>
      <c r="E554" s="185"/>
      <c r="F554" s="658">
        <v>162451</v>
      </c>
      <c r="G554" s="25">
        <f>0+'táj.2.'!G554</f>
        <v>0</v>
      </c>
      <c r="H554" s="25">
        <f>0+'táj.2.'!H554</f>
        <v>0</v>
      </c>
      <c r="I554" s="25">
        <f>0+'táj.2.'!I554</f>
        <v>0</v>
      </c>
      <c r="J554" s="25">
        <f>0+'táj.2.'!J554</f>
        <v>0</v>
      </c>
      <c r="K554" s="25">
        <f>0+'táj.2.'!K554</f>
        <v>0</v>
      </c>
      <c r="L554" s="25">
        <f>10000+'táj.2.'!L554</f>
        <v>10000</v>
      </c>
      <c r="M554" s="25">
        <f>0+'táj.2.'!M554</f>
        <v>0</v>
      </c>
      <c r="N554" s="25">
        <f>0+'táj.2.'!N554</f>
        <v>0</v>
      </c>
      <c r="O554" s="25">
        <f>0+'táj.2.'!O554</f>
        <v>0</v>
      </c>
      <c r="P554" s="25">
        <f>0+'táj.2.'!P554</f>
        <v>0</v>
      </c>
      <c r="Q554" s="25">
        <f t="shared" si="34"/>
        <v>10000</v>
      </c>
    </row>
    <row r="555" spans="1:17" ht="28.5" customHeight="1">
      <c r="A555" s="23"/>
      <c r="B555" s="23"/>
      <c r="C555" s="686" t="s">
        <v>598</v>
      </c>
      <c r="D555" s="386" t="s">
        <v>700</v>
      </c>
      <c r="E555" s="185"/>
      <c r="F555" s="658">
        <v>162641</v>
      </c>
      <c r="G555" s="25">
        <f>472+'táj.2.'!G555</f>
        <v>472</v>
      </c>
      <c r="H555" s="25">
        <f>128+'táj.2.'!H555</f>
        <v>128</v>
      </c>
      <c r="I555" s="25">
        <f>842+'táj.2.'!I555</f>
        <v>842</v>
      </c>
      <c r="J555" s="25">
        <f>0+'táj.2.'!J555</f>
        <v>0</v>
      </c>
      <c r="K555" s="25">
        <f>0+'táj.2.'!K555</f>
        <v>0</v>
      </c>
      <c r="L555" s="25">
        <f>27432+'táj.2.'!L555</f>
        <v>27432</v>
      </c>
      <c r="M555" s="25">
        <f>0+'táj.2.'!M555</f>
        <v>0</v>
      </c>
      <c r="N555" s="25">
        <f>0+'táj.2.'!N555</f>
        <v>0</v>
      </c>
      <c r="O555" s="25">
        <f>0+'táj.2.'!O555</f>
        <v>0</v>
      </c>
      <c r="P555" s="25">
        <f>0+'táj.2.'!P555</f>
        <v>0</v>
      </c>
      <c r="Q555" s="25">
        <f t="shared" si="34"/>
        <v>28874</v>
      </c>
    </row>
    <row r="556" spans="1:17" ht="14.25" customHeight="1">
      <c r="A556" s="23"/>
      <c r="B556" s="23"/>
      <c r="C556" s="686" t="s">
        <v>444</v>
      </c>
      <c r="D556" s="386" t="s">
        <v>445</v>
      </c>
      <c r="E556" s="185"/>
      <c r="F556" s="658">
        <v>162686</v>
      </c>
      <c r="G556" s="25">
        <f>0+'táj.2.'!G556</f>
        <v>0</v>
      </c>
      <c r="H556" s="25">
        <f>0+'táj.2.'!H556</f>
        <v>0</v>
      </c>
      <c r="I556" s="25">
        <f>0+'táj.2.'!I556</f>
        <v>0</v>
      </c>
      <c r="J556" s="25">
        <f>0+'táj.2.'!J556</f>
        <v>0</v>
      </c>
      <c r="K556" s="25">
        <f>0+'táj.2.'!K556</f>
        <v>0</v>
      </c>
      <c r="L556" s="25">
        <f>10000+'táj.2.'!L556</f>
        <v>10000</v>
      </c>
      <c r="M556" s="25">
        <f>0+'táj.2.'!M556</f>
        <v>0</v>
      </c>
      <c r="N556" s="25">
        <f>0+'táj.2.'!N556</f>
        <v>0</v>
      </c>
      <c r="O556" s="25">
        <f>0+'táj.2.'!O556</f>
        <v>0</v>
      </c>
      <c r="P556" s="25">
        <f>0+'táj.2.'!P556</f>
        <v>0</v>
      </c>
      <c r="Q556" s="25">
        <f t="shared" si="34"/>
        <v>10000</v>
      </c>
    </row>
    <row r="557" spans="1:17" ht="14.25" customHeight="1">
      <c r="A557" s="23"/>
      <c r="B557" s="23"/>
      <c r="C557" s="698" t="s">
        <v>449</v>
      </c>
      <c r="D557" s="386" t="s">
        <v>450</v>
      </c>
      <c r="E557" s="185"/>
      <c r="F557" s="658">
        <v>162687</v>
      </c>
      <c r="G557" s="25">
        <f>0+'táj.2.'!G557</f>
        <v>0</v>
      </c>
      <c r="H557" s="25">
        <f>0+'táj.2.'!H557</f>
        <v>0</v>
      </c>
      <c r="I557" s="25">
        <f>0+'táj.2.'!I557</f>
        <v>0</v>
      </c>
      <c r="J557" s="25">
        <f>0+'táj.2.'!J557</f>
        <v>0</v>
      </c>
      <c r="K557" s="25">
        <f>0+'táj.2.'!K557</f>
        <v>0</v>
      </c>
      <c r="L557" s="25">
        <f>10000+'táj.2.'!L557</f>
        <v>10000</v>
      </c>
      <c r="M557" s="25">
        <f>0+'táj.2.'!M557</f>
        <v>0</v>
      </c>
      <c r="N557" s="25">
        <f>0+'táj.2.'!N557</f>
        <v>0</v>
      </c>
      <c r="O557" s="25">
        <f>0+'táj.2.'!O557</f>
        <v>0</v>
      </c>
      <c r="P557" s="25">
        <f>0+'táj.2.'!P557</f>
        <v>0</v>
      </c>
      <c r="Q557" s="25">
        <f t="shared" si="34"/>
        <v>10000</v>
      </c>
    </row>
    <row r="558" spans="1:17" ht="12.75" customHeight="1">
      <c r="A558" s="23"/>
      <c r="B558" s="23"/>
      <c r="C558" s="452"/>
      <c r="D558" s="450" t="s">
        <v>198</v>
      </c>
      <c r="E558" s="185"/>
      <c r="F558" s="658"/>
      <c r="G558" s="25"/>
      <c r="H558" s="298"/>
      <c r="I558" s="25"/>
      <c r="J558" s="25"/>
      <c r="K558" s="25"/>
      <c r="L558" s="25"/>
      <c r="M558" s="25"/>
      <c r="N558" s="25"/>
      <c r="O558" s="25"/>
      <c r="P558" s="25"/>
      <c r="Q558" s="25"/>
    </row>
    <row r="559" spans="1:17" ht="24" customHeight="1">
      <c r="A559" s="23"/>
      <c r="B559" s="23"/>
      <c r="C559" s="452" t="s">
        <v>545</v>
      </c>
      <c r="D559" s="141" t="s">
        <v>1162</v>
      </c>
      <c r="E559" s="185"/>
      <c r="F559" s="658">
        <v>162606</v>
      </c>
      <c r="G559" s="25">
        <f>0+'táj.2.'!G559</f>
        <v>0</v>
      </c>
      <c r="H559" s="25">
        <f>0+'táj.2.'!H559</f>
        <v>0</v>
      </c>
      <c r="I559" s="25">
        <f>35593+'táj.2.'!I559</f>
        <v>35593</v>
      </c>
      <c r="J559" s="25">
        <f>0+'táj.2.'!J559</f>
        <v>0</v>
      </c>
      <c r="K559" s="25">
        <f>0+'táj.2.'!K559</f>
        <v>0</v>
      </c>
      <c r="L559" s="25">
        <f>0+'táj.2.'!L559</f>
        <v>0</v>
      </c>
      <c r="M559" s="25">
        <f>0+'táj.2.'!M559</f>
        <v>0</v>
      </c>
      <c r="N559" s="25">
        <f>0+'táj.2.'!N559</f>
        <v>0</v>
      </c>
      <c r="O559" s="25">
        <f>0+'táj.2.'!O559</f>
        <v>0</v>
      </c>
      <c r="P559" s="25">
        <f>0+'táj.2.'!P559</f>
        <v>0</v>
      </c>
      <c r="Q559" s="25">
        <f aca="true" t="shared" si="35" ref="Q559:Q574">SUM(G559:P559)</f>
        <v>35593</v>
      </c>
    </row>
    <row r="560" spans="1:17" ht="12.75" customHeight="1">
      <c r="A560" s="23"/>
      <c r="B560" s="23"/>
      <c r="C560" s="458" t="s">
        <v>546</v>
      </c>
      <c r="D560" s="459" t="s">
        <v>491</v>
      </c>
      <c r="E560" s="14"/>
      <c r="F560" s="650">
        <v>162613</v>
      </c>
      <c r="G560" s="25">
        <f>0+'táj.2.'!G560</f>
        <v>0</v>
      </c>
      <c r="H560" s="25">
        <f>0+'táj.2.'!H560</f>
        <v>0</v>
      </c>
      <c r="I560" s="25">
        <f>0+'táj.2.'!I560</f>
        <v>0</v>
      </c>
      <c r="J560" s="25">
        <f>0+'táj.2.'!J560</f>
        <v>0</v>
      </c>
      <c r="K560" s="25">
        <f>0+'táj.2.'!K560</f>
        <v>0</v>
      </c>
      <c r="L560" s="25">
        <f>0+'táj.2.'!L560</f>
        <v>0</v>
      </c>
      <c r="M560" s="25">
        <f>0+'táj.2.'!M560</f>
        <v>0</v>
      </c>
      <c r="N560" s="25">
        <f>17500+'táj.2.'!N560</f>
        <v>17500</v>
      </c>
      <c r="O560" s="25">
        <f>0+'táj.2.'!O560</f>
        <v>0</v>
      </c>
      <c r="P560" s="25">
        <f>0+'táj.2.'!P560</f>
        <v>0</v>
      </c>
      <c r="Q560" s="15">
        <f t="shared" si="35"/>
        <v>17500</v>
      </c>
    </row>
    <row r="561" spans="1:17" ht="26.25" customHeight="1">
      <c r="A561" s="23"/>
      <c r="B561" s="23"/>
      <c r="C561" s="452" t="s">
        <v>547</v>
      </c>
      <c r="D561" s="146" t="s">
        <v>943</v>
      </c>
      <c r="E561" s="185" t="s">
        <v>469</v>
      </c>
      <c r="F561" s="658">
        <v>162683</v>
      </c>
      <c r="G561" s="25">
        <f>0+'táj.2.'!G561</f>
        <v>0</v>
      </c>
      <c r="H561" s="25">
        <f>0+'táj.2.'!H561</f>
        <v>0</v>
      </c>
      <c r="I561" s="25">
        <f>0+'táj.2.'!I561</f>
        <v>0</v>
      </c>
      <c r="J561" s="25">
        <f>0+'táj.2.'!J561</f>
        <v>0</v>
      </c>
      <c r="K561" s="25">
        <f>0+'táj.2.'!K561</f>
        <v>0</v>
      </c>
      <c r="L561" s="25">
        <f>104913+'táj.2.'!L561</f>
        <v>104913</v>
      </c>
      <c r="M561" s="25">
        <f>0+'táj.2.'!M561</f>
        <v>0</v>
      </c>
      <c r="N561" s="25">
        <f>0+'táj.2.'!N561</f>
        <v>0</v>
      </c>
      <c r="O561" s="25">
        <f>0+'táj.2.'!O561</f>
        <v>0</v>
      </c>
      <c r="P561" s="25">
        <f>0+'táj.2.'!P561</f>
        <v>0</v>
      </c>
      <c r="Q561" s="25">
        <f t="shared" si="35"/>
        <v>104913</v>
      </c>
    </row>
    <row r="562" spans="1:17" ht="12.75" customHeight="1">
      <c r="A562" s="23"/>
      <c r="B562" s="23"/>
      <c r="C562" s="452" t="s">
        <v>548</v>
      </c>
      <c r="D562" s="139" t="s">
        <v>944</v>
      </c>
      <c r="E562" s="185" t="s">
        <v>469</v>
      </c>
      <c r="F562" s="658">
        <v>162403</v>
      </c>
      <c r="G562" s="25">
        <f>0+'táj.2.'!G562</f>
        <v>0</v>
      </c>
      <c r="H562" s="25">
        <f>0+'táj.2.'!H562</f>
        <v>0</v>
      </c>
      <c r="I562" s="25">
        <f>0+'táj.2.'!I562</f>
        <v>0</v>
      </c>
      <c r="J562" s="25">
        <f>0+'táj.2.'!J562</f>
        <v>0</v>
      </c>
      <c r="K562" s="25">
        <f>0+'táj.2.'!K562</f>
        <v>0</v>
      </c>
      <c r="L562" s="25">
        <f>110033+'táj.2.'!L562</f>
        <v>110033</v>
      </c>
      <c r="M562" s="25">
        <f>0+'táj.2.'!M562</f>
        <v>0</v>
      </c>
      <c r="N562" s="25">
        <f>0+'táj.2.'!N562</f>
        <v>0</v>
      </c>
      <c r="O562" s="25">
        <f>0+'táj.2.'!O562</f>
        <v>0</v>
      </c>
      <c r="P562" s="25">
        <f>0+'táj.2.'!P562</f>
        <v>0</v>
      </c>
      <c r="Q562" s="25">
        <f t="shared" si="35"/>
        <v>110033</v>
      </c>
    </row>
    <row r="563" spans="1:17" ht="12.75" customHeight="1">
      <c r="A563" s="23"/>
      <c r="B563" s="23"/>
      <c r="C563" s="458" t="s">
        <v>549</v>
      </c>
      <c r="D563" s="136" t="s">
        <v>429</v>
      </c>
      <c r="E563" s="185"/>
      <c r="F563" s="658">
        <v>162642</v>
      </c>
      <c r="G563" s="25">
        <f>0+'táj.2.'!G563</f>
        <v>0</v>
      </c>
      <c r="H563" s="25">
        <f>0+'táj.2.'!H563</f>
        <v>0</v>
      </c>
      <c r="I563" s="25">
        <f>1500+'táj.2.'!I563</f>
        <v>2039</v>
      </c>
      <c r="J563" s="25">
        <f>0+'táj.2.'!J563</f>
        <v>0</v>
      </c>
      <c r="K563" s="25">
        <f>0+'táj.2.'!K563</f>
        <v>0</v>
      </c>
      <c r="L563" s="25">
        <f>6122+'táj.2.'!L563</f>
        <v>5583</v>
      </c>
      <c r="M563" s="25">
        <f>0+'táj.2.'!M563</f>
        <v>0</v>
      </c>
      <c r="N563" s="25">
        <f>0+'táj.2.'!N563</f>
        <v>0</v>
      </c>
      <c r="O563" s="25">
        <f>0+'táj.2.'!O563</f>
        <v>0</v>
      </c>
      <c r="P563" s="25">
        <f>0+'táj.2.'!P563</f>
        <v>0</v>
      </c>
      <c r="Q563" s="25">
        <f t="shared" si="35"/>
        <v>7622</v>
      </c>
    </row>
    <row r="564" spans="1:17" ht="25.5" customHeight="1">
      <c r="A564" s="23"/>
      <c r="B564" s="23"/>
      <c r="C564" s="458" t="s">
        <v>550</v>
      </c>
      <c r="D564" s="136" t="s">
        <v>453</v>
      </c>
      <c r="E564" s="185"/>
      <c r="F564" s="658">
        <v>162643</v>
      </c>
      <c r="G564" s="25">
        <f>0+'táj.2.'!G564</f>
        <v>0</v>
      </c>
      <c r="H564" s="25">
        <f>0+'táj.2.'!H564</f>
        <v>0</v>
      </c>
      <c r="I564" s="25">
        <f>1405+'táj.2.'!I564</f>
        <v>1405</v>
      </c>
      <c r="J564" s="25">
        <f>0+'táj.2.'!J564</f>
        <v>0</v>
      </c>
      <c r="K564" s="25">
        <f>0+'táj.2.'!K564</f>
        <v>0</v>
      </c>
      <c r="L564" s="25">
        <f>0+'táj.2.'!L564</f>
        <v>0</v>
      </c>
      <c r="M564" s="25">
        <f>0+'táj.2.'!M564</f>
        <v>0</v>
      </c>
      <c r="N564" s="25">
        <f>0+'táj.2.'!N564</f>
        <v>0</v>
      </c>
      <c r="O564" s="25">
        <f>0+'táj.2.'!O564</f>
        <v>0</v>
      </c>
      <c r="P564" s="25">
        <f>0+'táj.2.'!P564</f>
        <v>0</v>
      </c>
      <c r="Q564" s="25">
        <f t="shared" si="35"/>
        <v>1405</v>
      </c>
    </row>
    <row r="565" spans="1:17" ht="26.25" customHeight="1">
      <c r="A565" s="23"/>
      <c r="B565" s="23"/>
      <c r="C565" s="458" t="s">
        <v>1169</v>
      </c>
      <c r="D565" s="369" t="s">
        <v>945</v>
      </c>
      <c r="E565" s="185"/>
      <c r="F565" s="658">
        <v>162678</v>
      </c>
      <c r="G565" s="25">
        <f>0+'táj.2.'!G565</f>
        <v>0</v>
      </c>
      <c r="H565" s="25">
        <f>0+'táj.2.'!H565</f>
        <v>0</v>
      </c>
      <c r="I565" s="25">
        <f>0+'táj.2.'!I565</f>
        <v>19528</v>
      </c>
      <c r="J565" s="25">
        <f>0+'táj.2.'!J565</f>
        <v>0</v>
      </c>
      <c r="K565" s="25">
        <f>0+'táj.2.'!K565</f>
        <v>0</v>
      </c>
      <c r="L565" s="25">
        <f>189230+'táj.2.'!L565</f>
        <v>170699</v>
      </c>
      <c r="M565" s="25">
        <f>0+'táj.2.'!M565</f>
        <v>0</v>
      </c>
      <c r="N565" s="25">
        <f>0+'táj.2.'!N565</f>
        <v>0</v>
      </c>
      <c r="O565" s="25">
        <f>0+'táj.2.'!O565</f>
        <v>0</v>
      </c>
      <c r="P565" s="25">
        <f>0+'táj.2.'!P565</f>
        <v>0</v>
      </c>
      <c r="Q565" s="25">
        <f t="shared" si="35"/>
        <v>190227</v>
      </c>
    </row>
    <row r="566" spans="1:17" ht="12.75" customHeight="1">
      <c r="A566" s="23"/>
      <c r="B566" s="23"/>
      <c r="C566" s="458" t="s">
        <v>1170</v>
      </c>
      <c r="D566" s="460" t="s">
        <v>1168</v>
      </c>
      <c r="E566" s="185"/>
      <c r="F566" s="658">
        <v>162672</v>
      </c>
      <c r="G566" s="25">
        <f>0+'táj.2.'!G566</f>
        <v>0</v>
      </c>
      <c r="H566" s="25">
        <f>0+'táj.2.'!H566</f>
        <v>0</v>
      </c>
      <c r="I566" s="25">
        <f>0+'táj.2.'!I566</f>
        <v>5380</v>
      </c>
      <c r="J566" s="25">
        <f>0+'táj.2.'!J566</f>
        <v>0</v>
      </c>
      <c r="K566" s="25">
        <f>0+'táj.2.'!K566</f>
        <v>0</v>
      </c>
      <c r="L566" s="25">
        <f>26170+'táj.2.'!L566</f>
        <v>20790</v>
      </c>
      <c r="M566" s="25">
        <f>0+'táj.2.'!M566</f>
        <v>0</v>
      </c>
      <c r="N566" s="25">
        <f>0+'táj.2.'!N566</f>
        <v>0</v>
      </c>
      <c r="O566" s="25">
        <f>0+'táj.2.'!O566</f>
        <v>0</v>
      </c>
      <c r="P566" s="25">
        <f>0+'táj.2.'!P566</f>
        <v>0</v>
      </c>
      <c r="Q566" s="25">
        <f t="shared" si="35"/>
        <v>26170</v>
      </c>
    </row>
    <row r="567" spans="1:17" ht="27.75" customHeight="1">
      <c r="A567" s="23"/>
      <c r="B567" s="23"/>
      <c r="C567" s="458" t="s">
        <v>1171</v>
      </c>
      <c r="D567" s="461" t="s">
        <v>701</v>
      </c>
      <c r="E567" s="185"/>
      <c r="F567" s="658">
        <v>162664</v>
      </c>
      <c r="G567" s="25">
        <f>0+'táj.2.'!G567</f>
        <v>0</v>
      </c>
      <c r="H567" s="25">
        <f>0+'táj.2.'!H567</f>
        <v>0</v>
      </c>
      <c r="I567" s="25">
        <f>261239+'táj.2.'!I567</f>
        <v>261239</v>
      </c>
      <c r="J567" s="25">
        <f>0+'táj.2.'!J567</f>
        <v>0</v>
      </c>
      <c r="K567" s="25">
        <f>0+'táj.2.'!K567</f>
        <v>0</v>
      </c>
      <c r="L567" s="25">
        <f>0+'táj.2.'!L567</f>
        <v>0</v>
      </c>
      <c r="M567" s="25">
        <f>0+'táj.2.'!M567</f>
        <v>0</v>
      </c>
      <c r="N567" s="25">
        <f>0+'táj.2.'!N567</f>
        <v>0</v>
      </c>
      <c r="O567" s="25">
        <f>0+'táj.2.'!O567</f>
        <v>0</v>
      </c>
      <c r="P567" s="25">
        <f>0+'táj.2.'!P567</f>
        <v>0</v>
      </c>
      <c r="Q567" s="25">
        <f t="shared" si="35"/>
        <v>261239</v>
      </c>
    </row>
    <row r="568" spans="1:17" ht="38.25" customHeight="1">
      <c r="A568" s="23"/>
      <c r="B568" s="23"/>
      <c r="C568" s="458" t="s">
        <v>1173</v>
      </c>
      <c r="D568" s="461" t="s">
        <v>702</v>
      </c>
      <c r="E568" s="185"/>
      <c r="F568" s="658">
        <v>162665</v>
      </c>
      <c r="G568" s="25">
        <f>0+'táj.2.'!G568</f>
        <v>0</v>
      </c>
      <c r="H568" s="25">
        <f>0+'táj.2.'!H568</f>
        <v>0</v>
      </c>
      <c r="I568" s="25">
        <f>293117+'táj.2.'!I568</f>
        <v>293117</v>
      </c>
      <c r="J568" s="25">
        <f>0+'táj.2.'!J568</f>
        <v>0</v>
      </c>
      <c r="K568" s="25">
        <f>0+'táj.2.'!K568</f>
        <v>0</v>
      </c>
      <c r="L568" s="25">
        <f>0+'táj.2.'!L568</f>
        <v>0</v>
      </c>
      <c r="M568" s="25">
        <f>0+'táj.2.'!M568</f>
        <v>0</v>
      </c>
      <c r="N568" s="25">
        <f>0+'táj.2.'!N568</f>
        <v>0</v>
      </c>
      <c r="O568" s="25">
        <f>0+'táj.2.'!O568</f>
        <v>0</v>
      </c>
      <c r="P568" s="25">
        <f>0+'táj.2.'!P568</f>
        <v>0</v>
      </c>
      <c r="Q568" s="25">
        <f t="shared" si="35"/>
        <v>293117</v>
      </c>
    </row>
    <row r="569" spans="1:17" ht="42" customHeight="1">
      <c r="A569" s="23"/>
      <c r="B569" s="23"/>
      <c r="C569" s="458" t="s">
        <v>1174</v>
      </c>
      <c r="D569" s="462" t="s">
        <v>476</v>
      </c>
      <c r="E569" s="185"/>
      <c r="F569" s="658">
        <v>162662</v>
      </c>
      <c r="G569" s="25">
        <f>0+'táj.2.'!G569</f>
        <v>0</v>
      </c>
      <c r="H569" s="25">
        <f>0+'táj.2.'!H569</f>
        <v>0</v>
      </c>
      <c r="I569" s="25">
        <f>2000+'táj.2.'!I569</f>
        <v>2000</v>
      </c>
      <c r="J569" s="25">
        <f>0+'táj.2.'!J569</f>
        <v>0</v>
      </c>
      <c r="K569" s="25">
        <f>0+'táj.2.'!K569</f>
        <v>0</v>
      </c>
      <c r="L569" s="25">
        <f>194777+'táj.2.'!L569</f>
        <v>194777</v>
      </c>
      <c r="M569" s="25">
        <f>0+'táj.2.'!M569</f>
        <v>0</v>
      </c>
      <c r="N569" s="25">
        <f>0+'táj.2.'!N569</f>
        <v>0</v>
      </c>
      <c r="O569" s="25">
        <f>0+'táj.2.'!O569</f>
        <v>0</v>
      </c>
      <c r="P569" s="25">
        <f>0+'táj.2.'!P569</f>
        <v>0</v>
      </c>
      <c r="Q569" s="25">
        <f t="shared" si="35"/>
        <v>196777</v>
      </c>
    </row>
    <row r="570" spans="1:17" ht="40.5" customHeight="1">
      <c r="A570" s="23"/>
      <c r="B570" s="23"/>
      <c r="C570" s="458" t="s">
        <v>1175</v>
      </c>
      <c r="D570" s="463" t="s">
        <v>1172</v>
      </c>
      <c r="E570" s="185"/>
      <c r="F570" s="658">
        <v>162671</v>
      </c>
      <c r="G570" s="25">
        <f>0+'táj.2.'!G570</f>
        <v>0</v>
      </c>
      <c r="H570" s="25">
        <f>0+'táj.2.'!H570</f>
        <v>0</v>
      </c>
      <c r="I570" s="25">
        <f>32978+'táj.2.'!I570</f>
        <v>32978</v>
      </c>
      <c r="J570" s="25">
        <f>0+'táj.2.'!J570</f>
        <v>0</v>
      </c>
      <c r="K570" s="25">
        <f>0+'táj.2.'!K570</f>
        <v>0</v>
      </c>
      <c r="L570" s="25">
        <f>411830+'táj.2.'!L570</f>
        <v>411830</v>
      </c>
      <c r="M570" s="25">
        <f>0+'táj.2.'!M570</f>
        <v>0</v>
      </c>
      <c r="N570" s="25">
        <f>0+'táj.2.'!N570</f>
        <v>0</v>
      </c>
      <c r="O570" s="25">
        <f>0+'táj.2.'!O570</f>
        <v>0</v>
      </c>
      <c r="P570" s="25">
        <f>0+'táj.2.'!P570</f>
        <v>0</v>
      </c>
      <c r="Q570" s="25">
        <f t="shared" si="35"/>
        <v>444808</v>
      </c>
    </row>
    <row r="571" spans="1:17" ht="25.5" customHeight="1">
      <c r="A571" s="23"/>
      <c r="B571" s="23"/>
      <c r="C571" s="458" t="s">
        <v>1177</v>
      </c>
      <c r="D571" s="461" t="s">
        <v>1176</v>
      </c>
      <c r="E571" s="185"/>
      <c r="F571" s="658">
        <v>162673</v>
      </c>
      <c r="G571" s="25">
        <f>0+'táj.2.'!G571</f>
        <v>0</v>
      </c>
      <c r="H571" s="25">
        <f>0+'táj.2.'!H571</f>
        <v>0</v>
      </c>
      <c r="I571" s="25">
        <f>31453+'táj.2.'!I571</f>
        <v>31453</v>
      </c>
      <c r="J571" s="25">
        <f>0+'táj.2.'!J571</f>
        <v>0</v>
      </c>
      <c r="K571" s="25">
        <f>0+'táj.2.'!K571</f>
        <v>0</v>
      </c>
      <c r="L571" s="25">
        <f>98068+'táj.2.'!L571</f>
        <v>98068</v>
      </c>
      <c r="M571" s="25">
        <f>90339+'táj.2.'!M571</f>
        <v>90339</v>
      </c>
      <c r="N571" s="25">
        <f>0+'táj.2.'!N571</f>
        <v>0</v>
      </c>
      <c r="O571" s="25">
        <f>0+'táj.2.'!O571</f>
        <v>0</v>
      </c>
      <c r="P571" s="25">
        <f>0+'táj.2.'!P571</f>
        <v>0</v>
      </c>
      <c r="Q571" s="25">
        <f t="shared" si="35"/>
        <v>219860</v>
      </c>
    </row>
    <row r="572" spans="1:17" ht="12.75" customHeight="1">
      <c r="A572" s="23"/>
      <c r="B572" s="23"/>
      <c r="C572" s="458" t="s">
        <v>1178</v>
      </c>
      <c r="D572" s="464" t="s">
        <v>492</v>
      </c>
      <c r="E572" s="185"/>
      <c r="F572" s="658">
        <v>162618</v>
      </c>
      <c r="G572" s="25">
        <f>0+'táj.2.'!G572</f>
        <v>0</v>
      </c>
      <c r="H572" s="25">
        <f>0+'táj.2.'!H572</f>
        <v>0</v>
      </c>
      <c r="I572" s="25">
        <f>889+'táj.2.'!I572</f>
        <v>889</v>
      </c>
      <c r="J572" s="25">
        <f>0+'táj.2.'!J572</f>
        <v>0</v>
      </c>
      <c r="K572" s="25">
        <f>0+'táj.2.'!K572</f>
        <v>0</v>
      </c>
      <c r="L572" s="25">
        <f>0+'táj.2.'!L572</f>
        <v>0</v>
      </c>
      <c r="M572" s="25">
        <f>0+'táj.2.'!M572</f>
        <v>0</v>
      </c>
      <c r="N572" s="25">
        <f>0+'táj.2.'!N572</f>
        <v>0</v>
      </c>
      <c r="O572" s="25">
        <f>0+'táj.2.'!O572</f>
        <v>0</v>
      </c>
      <c r="P572" s="25">
        <f>0+'táj.2.'!P572</f>
        <v>0</v>
      </c>
      <c r="Q572" s="25">
        <f t="shared" si="35"/>
        <v>889</v>
      </c>
    </row>
    <row r="573" spans="1:17" ht="12.75" customHeight="1">
      <c r="A573" s="23"/>
      <c r="B573" s="23"/>
      <c r="C573" s="458" t="s">
        <v>1179</v>
      </c>
      <c r="D573" s="465" t="s">
        <v>419</v>
      </c>
      <c r="E573" s="185"/>
      <c r="F573" s="658">
        <v>162653</v>
      </c>
      <c r="G573" s="25">
        <f>0+'táj.2.'!G573</f>
        <v>0</v>
      </c>
      <c r="H573" s="25">
        <f>0+'táj.2.'!H573</f>
        <v>0</v>
      </c>
      <c r="I573" s="25">
        <f>0+'táj.2.'!I573</f>
        <v>0</v>
      </c>
      <c r="J573" s="25">
        <f>0+'táj.2.'!J573</f>
        <v>0</v>
      </c>
      <c r="K573" s="25">
        <f>0+'táj.2.'!K573</f>
        <v>0</v>
      </c>
      <c r="L573" s="25">
        <f>191+'táj.2.'!L573</f>
        <v>191</v>
      </c>
      <c r="M573" s="25">
        <f>0+'táj.2.'!M573</f>
        <v>0</v>
      </c>
      <c r="N573" s="25">
        <f>0+'táj.2.'!N573</f>
        <v>0</v>
      </c>
      <c r="O573" s="25">
        <f>0+'táj.2.'!O573</f>
        <v>0</v>
      </c>
      <c r="P573" s="25">
        <f>0+'táj.2.'!P573</f>
        <v>0</v>
      </c>
      <c r="Q573" s="25">
        <f t="shared" si="35"/>
        <v>191</v>
      </c>
    </row>
    <row r="574" spans="1:17" ht="12.75" customHeight="1">
      <c r="A574" s="23"/>
      <c r="B574" s="23"/>
      <c r="C574" s="458" t="s">
        <v>418</v>
      </c>
      <c r="D574" s="466" t="s">
        <v>383</v>
      </c>
      <c r="E574" s="185"/>
      <c r="F574" s="658">
        <v>164604</v>
      </c>
      <c r="G574" s="25">
        <f>0+'táj.2.'!G574</f>
        <v>0</v>
      </c>
      <c r="H574" s="25">
        <f>0+'táj.2.'!H574</f>
        <v>0</v>
      </c>
      <c r="I574" s="25">
        <f>0+'táj.2.'!I574</f>
        <v>0</v>
      </c>
      <c r="J574" s="25">
        <f>0+'táj.2.'!J574</f>
        <v>0</v>
      </c>
      <c r="K574" s="25">
        <f>0+'táj.2.'!K574</f>
        <v>0</v>
      </c>
      <c r="L574" s="25">
        <f>0+'táj.2.'!L574</f>
        <v>0</v>
      </c>
      <c r="M574" s="25">
        <f>11000+'táj.2.'!M574</f>
        <v>0</v>
      </c>
      <c r="N574" s="25">
        <f>0+'táj.2.'!N574</f>
        <v>0</v>
      </c>
      <c r="O574" s="25">
        <f>0+'táj.2.'!O574</f>
        <v>0</v>
      </c>
      <c r="P574" s="25">
        <f>0+'táj.2.'!P574</f>
        <v>0</v>
      </c>
      <c r="Q574" s="25">
        <f t="shared" si="35"/>
        <v>0</v>
      </c>
    </row>
    <row r="575" spans="1:17" ht="12.75" customHeight="1">
      <c r="A575" s="23" t="s">
        <v>1366</v>
      </c>
      <c r="B575" s="23"/>
      <c r="C575" s="422" t="s">
        <v>891</v>
      </c>
      <c r="D575" s="423" t="s">
        <v>551</v>
      </c>
      <c r="E575" s="185"/>
      <c r="F575" s="658"/>
      <c r="G575" s="25"/>
      <c r="H575" s="298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1:17" ht="12.75" customHeight="1">
      <c r="A576" s="23"/>
      <c r="B576" s="23"/>
      <c r="C576" s="452"/>
      <c r="D576" s="450" t="s">
        <v>198</v>
      </c>
      <c r="E576" s="185"/>
      <c r="F576" s="658"/>
      <c r="G576" s="25"/>
      <c r="H576" s="298"/>
      <c r="I576" s="25"/>
      <c r="J576" s="25"/>
      <c r="K576" s="25"/>
      <c r="L576" s="25"/>
      <c r="M576" s="25"/>
      <c r="N576" s="25"/>
      <c r="O576" s="25"/>
      <c r="P576" s="25"/>
      <c r="Q576" s="25"/>
    </row>
    <row r="577" spans="1:17" ht="25.5" customHeight="1">
      <c r="A577" s="23"/>
      <c r="B577" s="23"/>
      <c r="C577" s="452" t="s">
        <v>350</v>
      </c>
      <c r="D577" s="467" t="s">
        <v>1180</v>
      </c>
      <c r="E577" s="185"/>
      <c r="F577" s="658">
        <v>162701</v>
      </c>
      <c r="G577" s="25">
        <f>0+'táj.2.'!G577</f>
        <v>0</v>
      </c>
      <c r="H577" s="25">
        <f>0+'táj.2.'!H577</f>
        <v>0</v>
      </c>
      <c r="I577" s="25">
        <f>0+'táj.2.'!I577</f>
        <v>2530</v>
      </c>
      <c r="J577" s="25">
        <f>0+'táj.2.'!J577</f>
        <v>0</v>
      </c>
      <c r="K577" s="25">
        <f>0+'táj.2.'!K577</f>
        <v>0</v>
      </c>
      <c r="L577" s="25">
        <f>7600+'táj.2.'!L577</f>
        <v>5070</v>
      </c>
      <c r="M577" s="25">
        <f>0+'táj.2.'!M577</f>
        <v>0</v>
      </c>
      <c r="N577" s="25">
        <f>0+'táj.2.'!N577</f>
        <v>0</v>
      </c>
      <c r="O577" s="25">
        <f>0+'táj.2.'!O577</f>
        <v>0</v>
      </c>
      <c r="P577" s="25">
        <f>0+'táj.2.'!P577</f>
        <v>0</v>
      </c>
      <c r="Q577" s="25">
        <f>SUM(G577:P577)</f>
        <v>7600</v>
      </c>
    </row>
    <row r="578" spans="1:17" ht="39" customHeight="1">
      <c r="A578" s="23"/>
      <c r="B578" s="23"/>
      <c r="C578" s="452" t="s">
        <v>1181</v>
      </c>
      <c r="D578" s="468" t="s">
        <v>477</v>
      </c>
      <c r="E578" s="185"/>
      <c r="F578" s="658">
        <v>162711</v>
      </c>
      <c r="G578" s="25">
        <f>0+'táj.2.'!G578</f>
        <v>0</v>
      </c>
      <c r="H578" s="25">
        <f>0+'táj.2.'!H578</f>
        <v>0</v>
      </c>
      <c r="I578" s="25">
        <f>54676+'táj.2.'!I578</f>
        <v>54676</v>
      </c>
      <c r="J578" s="25">
        <f>0+'táj.2.'!J578</f>
        <v>0</v>
      </c>
      <c r="K578" s="25">
        <f>0+'táj.2.'!K578</f>
        <v>0</v>
      </c>
      <c r="L578" s="25">
        <f>154276+'táj.2.'!L578</f>
        <v>154276</v>
      </c>
      <c r="M578" s="25">
        <f>0+'táj.2.'!M578</f>
        <v>0</v>
      </c>
      <c r="N578" s="25">
        <f>0+'táj.2.'!N578</f>
        <v>0</v>
      </c>
      <c r="O578" s="25">
        <f>0+'táj.2.'!O578</f>
        <v>0</v>
      </c>
      <c r="P578" s="25">
        <f>0+'táj.2.'!P578</f>
        <v>0</v>
      </c>
      <c r="Q578" s="25">
        <f>SUM(G578:P578)</f>
        <v>208952</v>
      </c>
    </row>
    <row r="579" spans="1:17" ht="50.25" customHeight="1">
      <c r="A579" s="23"/>
      <c r="B579" s="23"/>
      <c r="C579" s="452" t="s">
        <v>946</v>
      </c>
      <c r="D579" s="469" t="s">
        <v>947</v>
      </c>
      <c r="E579" s="185"/>
      <c r="F579" s="658">
        <v>162712</v>
      </c>
      <c r="G579" s="25">
        <f>0+'táj.2.'!G579</f>
        <v>0</v>
      </c>
      <c r="H579" s="25">
        <f>0+'táj.2.'!H579</f>
        <v>0</v>
      </c>
      <c r="I579" s="25">
        <f>23413+'táj.2.'!I579</f>
        <v>23413</v>
      </c>
      <c r="J579" s="25">
        <f>0+'táj.2.'!J579</f>
        <v>0</v>
      </c>
      <c r="K579" s="25">
        <f>0+'táj.2.'!K579</f>
        <v>0</v>
      </c>
      <c r="L579" s="25">
        <f>300331+'táj.2.'!L579</f>
        <v>300331</v>
      </c>
      <c r="M579" s="25">
        <f>0+'táj.2.'!M579</f>
        <v>0</v>
      </c>
      <c r="N579" s="25">
        <f>0+'táj.2.'!N579</f>
        <v>0</v>
      </c>
      <c r="O579" s="25">
        <f>0+'táj.2.'!O579</f>
        <v>0</v>
      </c>
      <c r="P579" s="25">
        <f>0+'táj.2.'!P579</f>
        <v>0</v>
      </c>
      <c r="Q579" s="25">
        <f>SUM(G579:P579)</f>
        <v>323744</v>
      </c>
    </row>
    <row r="580" spans="1:17" ht="12.75" customHeight="1">
      <c r="A580" s="23"/>
      <c r="B580" s="23"/>
      <c r="C580" s="422" t="s">
        <v>678</v>
      </c>
      <c r="D580" s="714" t="s">
        <v>679</v>
      </c>
      <c r="E580" s="185"/>
      <c r="F580" s="658"/>
      <c r="G580" s="25"/>
      <c r="H580" s="298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1:17" ht="12.75" customHeight="1">
      <c r="A581" s="23"/>
      <c r="B581" s="23"/>
      <c r="C581" s="446"/>
      <c r="D581" s="147" t="s">
        <v>198</v>
      </c>
      <c r="E581" s="185"/>
      <c r="F581" s="658"/>
      <c r="G581" s="25"/>
      <c r="H581" s="298"/>
      <c r="I581" s="25"/>
      <c r="J581" s="25"/>
      <c r="K581" s="25"/>
      <c r="L581" s="25"/>
      <c r="M581" s="25"/>
      <c r="N581" s="25"/>
      <c r="O581" s="25"/>
      <c r="P581" s="25"/>
      <c r="Q581" s="25"/>
    </row>
    <row r="582" spans="1:17" ht="15" customHeight="1">
      <c r="A582" s="23"/>
      <c r="B582" s="23"/>
      <c r="C582" s="446" t="s">
        <v>1182</v>
      </c>
      <c r="D582" s="368" t="s">
        <v>948</v>
      </c>
      <c r="E582" s="185"/>
      <c r="F582" s="658">
        <v>164906</v>
      </c>
      <c r="G582" s="25">
        <f>0+'táj.2.'!G582</f>
        <v>0</v>
      </c>
      <c r="H582" s="25">
        <f>0+'táj.2.'!H582</f>
        <v>0</v>
      </c>
      <c r="I582" s="25">
        <f>0+'táj.2.'!I582</f>
        <v>0</v>
      </c>
      <c r="J582" s="25">
        <f>0+'táj.2.'!J582</f>
        <v>0</v>
      </c>
      <c r="K582" s="25">
        <f>0+'táj.2.'!K582</f>
        <v>0</v>
      </c>
      <c r="L582" s="25">
        <f>0+'táj.2.'!L582</f>
        <v>0</v>
      </c>
      <c r="M582" s="25">
        <f>2631+'táj.2.'!M582</f>
        <v>2631</v>
      </c>
      <c r="N582" s="25">
        <f>0+'táj.2.'!N582</f>
        <v>0</v>
      </c>
      <c r="O582" s="25">
        <f>0+'táj.2.'!O582</f>
        <v>0</v>
      </c>
      <c r="P582" s="25">
        <f>0+'táj.2.'!P582</f>
        <v>0</v>
      </c>
      <c r="Q582" s="25">
        <f>SUM(G582:P582)</f>
        <v>2631</v>
      </c>
    </row>
    <row r="583" spans="1:17" ht="12.75" customHeight="1">
      <c r="A583" s="23"/>
      <c r="B583" s="23"/>
      <c r="C583" s="422" t="s">
        <v>680</v>
      </c>
      <c r="D583" s="544" t="s">
        <v>681</v>
      </c>
      <c r="E583" s="185"/>
      <c r="F583" s="658"/>
      <c r="G583" s="25"/>
      <c r="H583" s="298"/>
      <c r="I583" s="25"/>
      <c r="J583" s="25"/>
      <c r="K583" s="25"/>
      <c r="L583" s="15"/>
      <c r="M583" s="15"/>
      <c r="N583" s="25"/>
      <c r="O583" s="25"/>
      <c r="P583" s="25"/>
      <c r="Q583" s="25"/>
    </row>
    <row r="584" spans="1:17" ht="12.75" customHeight="1">
      <c r="A584" s="23"/>
      <c r="B584" s="23"/>
      <c r="C584" s="452" t="s">
        <v>682</v>
      </c>
      <c r="D584" s="538" t="s">
        <v>949</v>
      </c>
      <c r="E584" s="185"/>
      <c r="F584" s="658">
        <v>162903</v>
      </c>
      <c r="G584" s="25">
        <f>0+'táj.2.'!G584</f>
        <v>0</v>
      </c>
      <c r="H584" s="25">
        <f>0+'táj.2.'!H584</f>
        <v>0</v>
      </c>
      <c r="I584" s="25">
        <f>0+'táj.2.'!I584</f>
        <v>0</v>
      </c>
      <c r="J584" s="25">
        <f>0+'táj.2.'!J584</f>
        <v>0</v>
      </c>
      <c r="K584" s="25">
        <f>0+'táj.2.'!K584</f>
        <v>0</v>
      </c>
      <c r="L584" s="25">
        <f>10207+'táj.2.'!L584</f>
        <v>10207</v>
      </c>
      <c r="M584" s="25">
        <f>15852+'táj.2.'!M584</f>
        <v>15852</v>
      </c>
      <c r="N584" s="25">
        <f>0+'táj.2.'!N584</f>
        <v>0</v>
      </c>
      <c r="O584" s="25">
        <f>0+'táj.2.'!O584</f>
        <v>0</v>
      </c>
      <c r="P584" s="25">
        <f>0+'táj.2.'!P584</f>
        <v>0</v>
      </c>
      <c r="Q584" s="25">
        <f aca="true" t="shared" si="36" ref="Q584:Q597">SUM(G584:P584)</f>
        <v>26059</v>
      </c>
    </row>
    <row r="585" spans="1:17" ht="26.25" customHeight="1">
      <c r="A585" s="23"/>
      <c r="B585" s="23"/>
      <c r="C585" s="452" t="s">
        <v>683</v>
      </c>
      <c r="D585" s="526" t="s">
        <v>950</v>
      </c>
      <c r="E585" s="185"/>
      <c r="F585" s="658">
        <v>162904</v>
      </c>
      <c r="G585" s="25">
        <f>0+'táj.2.'!G585</f>
        <v>0</v>
      </c>
      <c r="H585" s="25">
        <f>0+'táj.2.'!H585</f>
        <v>0</v>
      </c>
      <c r="I585" s="25">
        <f>24091+'táj.2.'!I585</f>
        <v>24119</v>
      </c>
      <c r="J585" s="25">
        <f>0+'táj.2.'!J585</f>
        <v>0</v>
      </c>
      <c r="K585" s="25">
        <f>0+'táj.2.'!K585</f>
        <v>0</v>
      </c>
      <c r="L585" s="25">
        <f>91485+'táj.2.'!L585</f>
        <v>91485</v>
      </c>
      <c r="M585" s="25">
        <f>0+'táj.2.'!M585</f>
        <v>0</v>
      </c>
      <c r="N585" s="25">
        <f>13590+'táj.2.'!N585</f>
        <v>13590</v>
      </c>
      <c r="O585" s="25">
        <f>0+'táj.2.'!O585</f>
        <v>0</v>
      </c>
      <c r="P585" s="25">
        <f>0+'táj.2.'!P585</f>
        <v>0</v>
      </c>
      <c r="Q585" s="25">
        <f t="shared" si="36"/>
        <v>129194</v>
      </c>
    </row>
    <row r="586" spans="1:17" ht="12.75" customHeight="1">
      <c r="A586" s="23"/>
      <c r="B586" s="23"/>
      <c r="C586" s="452" t="s">
        <v>684</v>
      </c>
      <c r="D586" s="526" t="s">
        <v>951</v>
      </c>
      <c r="E586" s="185"/>
      <c r="F586" s="658">
        <v>164506</v>
      </c>
      <c r="G586" s="25">
        <f>0+'táj.2.'!G586</f>
        <v>0</v>
      </c>
      <c r="H586" s="25">
        <f>0+'táj.2.'!H586</f>
        <v>0</v>
      </c>
      <c r="I586" s="25">
        <f>0+'táj.2.'!I586</f>
        <v>0</v>
      </c>
      <c r="J586" s="25">
        <f>0+'táj.2.'!J586</f>
        <v>0</v>
      </c>
      <c r="K586" s="25">
        <f>0+'táj.2.'!K586</f>
        <v>0</v>
      </c>
      <c r="L586" s="25">
        <f>1200+'táj.2.'!L586</f>
        <v>1200</v>
      </c>
      <c r="M586" s="25">
        <f>0+'táj.2.'!M586</f>
        <v>0</v>
      </c>
      <c r="N586" s="25">
        <f>0+'táj.2.'!N586</f>
        <v>0</v>
      </c>
      <c r="O586" s="25">
        <f>0+'táj.2.'!O586</f>
        <v>0</v>
      </c>
      <c r="P586" s="25">
        <f>0+'táj.2.'!P586</f>
        <v>0</v>
      </c>
      <c r="Q586" s="25">
        <f t="shared" si="36"/>
        <v>1200</v>
      </c>
    </row>
    <row r="587" spans="1:17" ht="26.25" customHeight="1">
      <c r="A587" s="23"/>
      <c r="B587" s="23"/>
      <c r="C587" s="452" t="s">
        <v>685</v>
      </c>
      <c r="D587" s="368" t="s">
        <v>952</v>
      </c>
      <c r="E587" s="14"/>
      <c r="F587" s="650">
        <v>162905</v>
      </c>
      <c r="G587" s="25">
        <f>0+'táj.2.'!G587</f>
        <v>0</v>
      </c>
      <c r="H587" s="25">
        <f>0+'táj.2.'!H587</f>
        <v>0</v>
      </c>
      <c r="I587" s="25">
        <f>0+'táj.2.'!I587</f>
        <v>0</v>
      </c>
      <c r="J587" s="25">
        <f>0+'táj.2.'!J587</f>
        <v>0</v>
      </c>
      <c r="K587" s="25">
        <f>0+'táj.2.'!K587</f>
        <v>0</v>
      </c>
      <c r="L587" s="25">
        <f>600+'táj.2.'!L587</f>
        <v>600</v>
      </c>
      <c r="M587" s="25">
        <f>0+'táj.2.'!M587</f>
        <v>0</v>
      </c>
      <c r="N587" s="25">
        <f>0+'táj.2.'!N587</f>
        <v>0</v>
      </c>
      <c r="O587" s="25">
        <f>0+'táj.2.'!O587</f>
        <v>0</v>
      </c>
      <c r="P587" s="25">
        <f>0+'táj.2.'!P587</f>
        <v>0</v>
      </c>
      <c r="Q587" s="15">
        <f t="shared" si="36"/>
        <v>600</v>
      </c>
    </row>
    <row r="588" spans="1:17" ht="27" customHeight="1">
      <c r="A588" s="23"/>
      <c r="B588" s="23"/>
      <c r="C588" s="452" t="s">
        <v>279</v>
      </c>
      <c r="D588" s="715" t="s">
        <v>494</v>
      </c>
      <c r="E588" s="14"/>
      <c r="F588" s="650">
        <v>172905</v>
      </c>
      <c r="G588" s="25">
        <f>0+'táj.2.'!G588</f>
        <v>0</v>
      </c>
      <c r="H588" s="25">
        <f>0+'táj.2.'!H588</f>
        <v>0</v>
      </c>
      <c r="I588" s="25">
        <f>0+'táj.2.'!I588</f>
        <v>0</v>
      </c>
      <c r="J588" s="25">
        <f>0+'táj.2.'!J588</f>
        <v>0</v>
      </c>
      <c r="K588" s="25">
        <f>0+'táj.2.'!K588</f>
        <v>0</v>
      </c>
      <c r="L588" s="25">
        <f>3747+'táj.2.'!L588</f>
        <v>3747</v>
      </c>
      <c r="M588" s="25">
        <f>0+'táj.2.'!M588</f>
        <v>0</v>
      </c>
      <c r="N588" s="25">
        <f>0+'táj.2.'!N588</f>
        <v>0</v>
      </c>
      <c r="O588" s="25">
        <f>0+'táj.2.'!O588</f>
        <v>0</v>
      </c>
      <c r="P588" s="25">
        <f>0+'táj.2.'!P588</f>
        <v>0</v>
      </c>
      <c r="Q588" s="15">
        <f t="shared" si="36"/>
        <v>3747</v>
      </c>
    </row>
    <row r="589" spans="1:17" ht="14.25" customHeight="1">
      <c r="A589" s="23"/>
      <c r="B589" s="23"/>
      <c r="C589" s="452" t="s">
        <v>280</v>
      </c>
      <c r="D589" s="368" t="s">
        <v>953</v>
      </c>
      <c r="E589" s="185"/>
      <c r="F589" s="658">
        <v>154908</v>
      </c>
      <c r="G589" s="25">
        <f>0+'táj.2.'!G589</f>
        <v>0</v>
      </c>
      <c r="H589" s="25">
        <f>0+'táj.2.'!H589</f>
        <v>0</v>
      </c>
      <c r="I589" s="25">
        <f>0+'táj.2.'!I589</f>
        <v>0</v>
      </c>
      <c r="J589" s="25">
        <f>0+'táj.2.'!J589</f>
        <v>0</v>
      </c>
      <c r="K589" s="25">
        <f>0+'táj.2.'!K589</f>
        <v>0</v>
      </c>
      <c r="L589" s="25">
        <f>0+'táj.2.'!L589</f>
        <v>0</v>
      </c>
      <c r="M589" s="25">
        <f>1000+'táj.2.'!M589</f>
        <v>1320</v>
      </c>
      <c r="N589" s="25">
        <f>0+'táj.2.'!N589</f>
        <v>0</v>
      </c>
      <c r="O589" s="25">
        <f>0+'táj.2.'!O589</f>
        <v>0</v>
      </c>
      <c r="P589" s="25">
        <f>0+'táj.2.'!P589</f>
        <v>0</v>
      </c>
      <c r="Q589" s="25">
        <f t="shared" si="36"/>
        <v>1320</v>
      </c>
    </row>
    <row r="590" spans="1:17" ht="29.25" customHeight="1">
      <c r="A590" s="23"/>
      <c r="B590" s="23"/>
      <c r="C590" s="452" t="s">
        <v>384</v>
      </c>
      <c r="D590" s="128" t="s">
        <v>954</v>
      </c>
      <c r="E590" s="185"/>
      <c r="F590" s="658">
        <v>162906</v>
      </c>
      <c r="G590" s="25">
        <f>0+'táj.2.'!G590</f>
        <v>0</v>
      </c>
      <c r="H590" s="25">
        <f>0+'táj.2.'!H590</f>
        <v>0</v>
      </c>
      <c r="I590" s="25">
        <f>0+'táj.2.'!I590</f>
        <v>0</v>
      </c>
      <c r="J590" s="25">
        <f>0+'táj.2.'!J590</f>
        <v>0</v>
      </c>
      <c r="K590" s="25">
        <f>0+'táj.2.'!K590</f>
        <v>0</v>
      </c>
      <c r="L590" s="25">
        <f>0+'táj.2.'!L590</f>
        <v>0</v>
      </c>
      <c r="M590" s="25">
        <f>1410+'táj.2.'!M590</f>
        <v>1410</v>
      </c>
      <c r="N590" s="25">
        <f>0+'táj.2.'!N590</f>
        <v>0</v>
      </c>
      <c r="O590" s="25">
        <f>0+'táj.2.'!O590</f>
        <v>0</v>
      </c>
      <c r="P590" s="25">
        <f>0+'táj.2.'!P590</f>
        <v>0</v>
      </c>
      <c r="Q590" s="25">
        <f t="shared" si="36"/>
        <v>1410</v>
      </c>
    </row>
    <row r="591" spans="1:17" ht="36" customHeight="1">
      <c r="A591" s="23"/>
      <c r="B591" s="23"/>
      <c r="C591" s="452" t="s">
        <v>381</v>
      </c>
      <c r="D591" s="150" t="s">
        <v>553</v>
      </c>
      <c r="E591" s="14"/>
      <c r="F591" s="650">
        <v>174902</v>
      </c>
      <c r="G591" s="25">
        <f>0+'táj.2.'!G591</f>
        <v>0</v>
      </c>
      <c r="H591" s="25">
        <f>0+'táj.2.'!H591</f>
        <v>0</v>
      </c>
      <c r="I591" s="25">
        <f>0+'táj.2.'!I591</f>
        <v>0</v>
      </c>
      <c r="J591" s="25">
        <f>0+'táj.2.'!J591</f>
        <v>0</v>
      </c>
      <c r="K591" s="25">
        <f>0+'táj.2.'!K591</f>
        <v>0</v>
      </c>
      <c r="L591" s="25">
        <f>0+'táj.2.'!L591</f>
        <v>0</v>
      </c>
      <c r="M591" s="25">
        <f>43692+'táj.2.'!M591</f>
        <v>43692</v>
      </c>
      <c r="N591" s="25">
        <f>0+'táj.2.'!N591</f>
        <v>0</v>
      </c>
      <c r="O591" s="25">
        <f>0+'táj.2.'!O591</f>
        <v>0</v>
      </c>
      <c r="P591" s="25">
        <f>0+'táj.2.'!P591</f>
        <v>0</v>
      </c>
      <c r="Q591" s="15">
        <f t="shared" si="36"/>
        <v>43692</v>
      </c>
    </row>
    <row r="592" spans="1:17" ht="14.25" customHeight="1">
      <c r="A592" s="23"/>
      <c r="B592" s="23"/>
      <c r="C592" s="452" t="s">
        <v>382</v>
      </c>
      <c r="D592" s="16" t="s">
        <v>955</v>
      </c>
      <c r="E592" s="14"/>
      <c r="F592" s="650">
        <v>162907</v>
      </c>
      <c r="G592" s="25">
        <f>0+'táj.2.'!G592</f>
        <v>0</v>
      </c>
      <c r="H592" s="25">
        <f>0+'táj.2.'!H592</f>
        <v>0</v>
      </c>
      <c r="I592" s="25">
        <f>0+'táj.2.'!I592</f>
        <v>0</v>
      </c>
      <c r="J592" s="25">
        <f>0+'táj.2.'!J592</f>
        <v>0</v>
      </c>
      <c r="K592" s="25">
        <f>0+'táj.2.'!K592</f>
        <v>0</v>
      </c>
      <c r="L592" s="25">
        <f>0+'táj.2.'!L592</f>
        <v>0</v>
      </c>
      <c r="M592" s="25">
        <f>10000+'táj.2.'!M592</f>
        <v>10000</v>
      </c>
      <c r="N592" s="25">
        <f>0+'táj.2.'!N592</f>
        <v>0</v>
      </c>
      <c r="O592" s="25">
        <f>0+'táj.2.'!O592</f>
        <v>0</v>
      </c>
      <c r="P592" s="25">
        <f>0+'táj.2.'!P592</f>
        <v>0</v>
      </c>
      <c r="Q592" s="15">
        <f t="shared" si="36"/>
        <v>10000</v>
      </c>
    </row>
    <row r="593" spans="1:17" ht="14.25" customHeight="1">
      <c r="A593" s="23"/>
      <c r="B593" s="23"/>
      <c r="C593" s="452" t="s">
        <v>439</v>
      </c>
      <c r="D593" s="57" t="s">
        <v>440</v>
      </c>
      <c r="E593" s="14"/>
      <c r="F593" s="650">
        <v>162908</v>
      </c>
      <c r="G593" s="25">
        <f>0+'táj.2.'!G594</f>
        <v>0</v>
      </c>
      <c r="H593" s="25">
        <f>0+'táj.2.'!H594</f>
        <v>0</v>
      </c>
      <c r="I593" s="25">
        <f>10000+'táj.2.'!I593</f>
        <v>0</v>
      </c>
      <c r="J593" s="25">
        <f>0+'táj.2.'!J594</f>
        <v>0</v>
      </c>
      <c r="K593" s="25">
        <f>0+'táj.2.'!K594</f>
        <v>0</v>
      </c>
      <c r="L593" s="25">
        <f>0+'táj.2.'!L593</f>
        <v>0</v>
      </c>
      <c r="M593" s="25">
        <f>0+'táj.2.'!M594</f>
        <v>0</v>
      </c>
      <c r="N593" s="25">
        <f>0+'táj.2.'!N594</f>
        <v>0</v>
      </c>
      <c r="O593" s="25">
        <f>0+'táj.2.'!O594</f>
        <v>0</v>
      </c>
      <c r="P593" s="25">
        <f>0+'táj.2.'!P594</f>
        <v>0</v>
      </c>
      <c r="Q593" s="15">
        <f t="shared" si="36"/>
        <v>0</v>
      </c>
    </row>
    <row r="594" spans="1:17" ht="12.75" customHeight="1">
      <c r="A594" s="23"/>
      <c r="B594" s="23"/>
      <c r="C594" s="422"/>
      <c r="D594" s="147" t="s">
        <v>198</v>
      </c>
      <c r="E594" s="185"/>
      <c r="F594" s="658"/>
      <c r="G594" s="25"/>
      <c r="H594" s="298"/>
      <c r="I594" s="25"/>
      <c r="J594" s="25"/>
      <c r="K594" s="25"/>
      <c r="L594" s="15"/>
      <c r="M594" s="15"/>
      <c r="N594" s="25"/>
      <c r="O594" s="25"/>
      <c r="P594" s="25"/>
      <c r="Q594" s="25">
        <f t="shared" si="36"/>
        <v>0</v>
      </c>
    </row>
    <row r="595" spans="1:17" ht="25.5" customHeight="1">
      <c r="A595" s="23"/>
      <c r="B595" s="23"/>
      <c r="C595" s="452" t="s">
        <v>552</v>
      </c>
      <c r="D595" s="716" t="s">
        <v>1183</v>
      </c>
      <c r="E595" s="185"/>
      <c r="F595" s="658">
        <v>162109</v>
      </c>
      <c r="G595" s="25">
        <f>0+'táj.2.'!G595</f>
        <v>0</v>
      </c>
      <c r="H595" s="25">
        <f>0+'táj.2.'!H595</f>
        <v>0</v>
      </c>
      <c r="I595" s="25">
        <f>0+'táj.2.'!I595</f>
        <v>0</v>
      </c>
      <c r="J595" s="25">
        <f>0+'táj.2.'!J595</f>
        <v>0</v>
      </c>
      <c r="K595" s="25">
        <f>0+'táj.2.'!K595</f>
        <v>0</v>
      </c>
      <c r="L595" s="25">
        <f>900+'táj.2.'!L595</f>
        <v>900</v>
      </c>
      <c r="M595" s="25">
        <f>0+'táj.2.'!M595</f>
        <v>0</v>
      </c>
      <c r="N595" s="25">
        <f>0+'táj.2.'!N595</f>
        <v>0</v>
      </c>
      <c r="O595" s="25">
        <f>0+'táj.2.'!O595</f>
        <v>0</v>
      </c>
      <c r="P595" s="25">
        <f>0+'táj.2.'!P595</f>
        <v>0</v>
      </c>
      <c r="Q595" s="25">
        <f t="shared" si="36"/>
        <v>900</v>
      </c>
    </row>
    <row r="596" spans="1:17" ht="14.25" customHeight="1">
      <c r="A596" s="23"/>
      <c r="B596" s="23"/>
      <c r="C596" s="452" t="s">
        <v>493</v>
      </c>
      <c r="D596" s="716" t="s">
        <v>1184</v>
      </c>
      <c r="E596" s="185"/>
      <c r="F596" s="658">
        <v>162901</v>
      </c>
      <c r="G596" s="25">
        <f>0+'táj.2.'!G596</f>
        <v>0</v>
      </c>
      <c r="H596" s="25">
        <f>0+'táj.2.'!H596</f>
        <v>0</v>
      </c>
      <c r="I596" s="25">
        <f>0+'táj.2.'!I596</f>
        <v>0</v>
      </c>
      <c r="J596" s="25">
        <f>0+'táj.2.'!J596</f>
        <v>0</v>
      </c>
      <c r="K596" s="25">
        <f>0+'táj.2.'!K596</f>
        <v>0</v>
      </c>
      <c r="L596" s="25">
        <f>28063+'táj.2.'!L596</f>
        <v>32763</v>
      </c>
      <c r="M596" s="25">
        <f>0+'táj.2.'!M596</f>
        <v>0</v>
      </c>
      <c r="N596" s="25">
        <f>0+'táj.2.'!N596</f>
        <v>0</v>
      </c>
      <c r="O596" s="25">
        <f>0+'táj.2.'!O596</f>
        <v>0</v>
      </c>
      <c r="P596" s="25">
        <f>0+'táj.2.'!P596</f>
        <v>0</v>
      </c>
      <c r="Q596" s="25">
        <f t="shared" si="36"/>
        <v>32763</v>
      </c>
    </row>
    <row r="597" spans="1:17" ht="26.25" customHeight="1">
      <c r="A597" s="23"/>
      <c r="B597" s="23"/>
      <c r="C597" s="452" t="s">
        <v>790</v>
      </c>
      <c r="D597" s="135" t="s">
        <v>1185</v>
      </c>
      <c r="E597" s="185"/>
      <c r="F597" s="658">
        <v>162910</v>
      </c>
      <c r="G597" s="25">
        <f>0+'táj.2.'!G597</f>
        <v>0</v>
      </c>
      <c r="H597" s="25">
        <f>0+'táj.2.'!H597</f>
        <v>0</v>
      </c>
      <c r="I597" s="25">
        <f>906+'táj.2.'!I597</f>
        <v>1406</v>
      </c>
      <c r="J597" s="25">
        <f>0+'táj.2.'!J597</f>
        <v>0</v>
      </c>
      <c r="K597" s="25">
        <f>0+'táj.2.'!K597</f>
        <v>0</v>
      </c>
      <c r="L597" s="25">
        <f>5953+'táj.2.'!L597</f>
        <v>5453</v>
      </c>
      <c r="M597" s="25">
        <f>0+'táj.2.'!M597</f>
        <v>0</v>
      </c>
      <c r="N597" s="25">
        <f>0+'táj.2.'!N597</f>
        <v>0</v>
      </c>
      <c r="O597" s="25">
        <f>0+'táj.2.'!O597</f>
        <v>0</v>
      </c>
      <c r="P597" s="25">
        <f>0+'táj.2.'!P597</f>
        <v>0</v>
      </c>
      <c r="Q597" s="25">
        <f t="shared" si="36"/>
        <v>6859</v>
      </c>
    </row>
    <row r="598" spans="1:17" ht="12.75" customHeight="1">
      <c r="A598" s="23"/>
      <c r="B598" s="23"/>
      <c r="C598" s="474">
        <v>10</v>
      </c>
      <c r="D598" s="717" t="s">
        <v>956</v>
      </c>
      <c r="E598" s="437"/>
      <c r="F598" s="665"/>
      <c r="G598" s="25"/>
      <c r="H598" s="388"/>
      <c r="I598" s="388"/>
      <c r="J598" s="388"/>
      <c r="K598" s="388"/>
      <c r="L598" s="388"/>
      <c r="M598" s="388"/>
      <c r="N598" s="388"/>
      <c r="O598" s="388"/>
      <c r="P598" s="388"/>
      <c r="Q598" s="388"/>
    </row>
    <row r="599" spans="1:17" ht="21" customHeight="1">
      <c r="A599" s="23"/>
      <c r="B599" s="23"/>
      <c r="C599" s="387" t="s">
        <v>957</v>
      </c>
      <c r="D599" s="204" t="s">
        <v>958</v>
      </c>
      <c r="E599" s="185"/>
      <c r="F599" s="658">
        <v>162684</v>
      </c>
      <c r="G599" s="25">
        <f>0+'táj.2.'!G599</f>
        <v>0</v>
      </c>
      <c r="H599" s="25">
        <f>0+'táj.2.'!H599</f>
        <v>0</v>
      </c>
      <c r="I599" s="25">
        <f>0+'táj.2.'!I599</f>
        <v>5398</v>
      </c>
      <c r="J599" s="25">
        <f>0+'táj.2.'!J599</f>
        <v>0</v>
      </c>
      <c r="K599" s="25">
        <f>0+'táj.2.'!K599</f>
        <v>0</v>
      </c>
      <c r="L599" s="25">
        <f>60000+'táj.2.'!L599</f>
        <v>54602</v>
      </c>
      <c r="M599" s="25">
        <f>0+'táj.2.'!M599</f>
        <v>0</v>
      </c>
      <c r="N599" s="25">
        <f>0+'táj.2.'!N599</f>
        <v>0</v>
      </c>
      <c r="O599" s="25">
        <f>0+'táj.2.'!O599</f>
        <v>0</v>
      </c>
      <c r="P599" s="25">
        <f>0+'táj.2.'!P599</f>
        <v>0</v>
      </c>
      <c r="Q599" s="25">
        <f>SUM(G599:P599)</f>
        <v>60000</v>
      </c>
    </row>
    <row r="600" spans="1:17" ht="15.75" customHeight="1">
      <c r="A600" s="23"/>
      <c r="B600" s="23"/>
      <c r="C600" s="387" t="s">
        <v>433</v>
      </c>
      <c r="D600" s="204" t="s">
        <v>438</v>
      </c>
      <c r="E600" s="185"/>
      <c r="F600" s="658">
        <v>162688</v>
      </c>
      <c r="G600" s="25">
        <f>0+'táj.2.'!G600</f>
        <v>0</v>
      </c>
      <c r="H600" s="25">
        <f>0+'táj.2.'!H600</f>
        <v>0</v>
      </c>
      <c r="I600" s="25">
        <f>0+'táj.2.'!I600</f>
        <v>0</v>
      </c>
      <c r="J600" s="25">
        <f>0+'táj.2.'!J600</f>
        <v>0</v>
      </c>
      <c r="K600" s="25">
        <f>0+'táj.2.'!K600</f>
        <v>0</v>
      </c>
      <c r="L600" s="25">
        <f>23000+'táj.2.'!L600</f>
        <v>23000</v>
      </c>
      <c r="M600" s="25">
        <f>0+'táj.2.'!M600</f>
        <v>0</v>
      </c>
      <c r="N600" s="25">
        <f>0+'táj.2.'!N600</f>
        <v>0</v>
      </c>
      <c r="O600" s="25">
        <f>0+'táj.2.'!O600</f>
        <v>0</v>
      </c>
      <c r="P600" s="25">
        <f>0+'táj.2.'!P600</f>
        <v>0</v>
      </c>
      <c r="Q600" s="25">
        <f>SUM(G600:P600)</f>
        <v>23000</v>
      </c>
    </row>
    <row r="601" spans="1:17" ht="12.75" customHeight="1">
      <c r="A601" s="17"/>
      <c r="B601" s="17"/>
      <c r="C601" s="346"/>
      <c r="D601" s="18" t="s">
        <v>463</v>
      </c>
      <c r="E601" s="347"/>
      <c r="F601" s="649"/>
      <c r="G601" s="19">
        <f>SUM(G502:G600)</f>
        <v>23514</v>
      </c>
      <c r="H601" s="19">
        <f aca="true" t="shared" si="37" ref="H601:Q601">SUM(H502:H600)</f>
        <v>5813</v>
      </c>
      <c r="I601" s="19">
        <f t="shared" si="37"/>
        <v>899606</v>
      </c>
      <c r="J601" s="19">
        <f t="shared" si="37"/>
        <v>0</v>
      </c>
      <c r="K601" s="19">
        <f t="shared" si="37"/>
        <v>0</v>
      </c>
      <c r="L601" s="19">
        <f t="shared" si="37"/>
        <v>3312200</v>
      </c>
      <c r="M601" s="19">
        <f t="shared" si="37"/>
        <v>175799</v>
      </c>
      <c r="N601" s="19">
        <f t="shared" si="37"/>
        <v>118714</v>
      </c>
      <c r="O601" s="19">
        <f t="shared" si="37"/>
        <v>0</v>
      </c>
      <c r="P601" s="19">
        <f t="shared" si="37"/>
        <v>0</v>
      </c>
      <c r="Q601" s="19">
        <f t="shared" si="37"/>
        <v>4535646</v>
      </c>
    </row>
    <row r="602" spans="1:17" ht="13.5" customHeight="1">
      <c r="A602" s="23">
        <v>1</v>
      </c>
      <c r="B602" s="23">
        <v>17</v>
      </c>
      <c r="C602" s="387"/>
      <c r="D602" s="28" t="s">
        <v>1186</v>
      </c>
      <c r="E602" s="185"/>
      <c r="F602" s="658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ht="13.5" customHeight="1">
      <c r="A603" s="23"/>
      <c r="B603" s="23"/>
      <c r="C603" s="387"/>
      <c r="D603" s="382" t="s">
        <v>360</v>
      </c>
      <c r="E603" s="476"/>
      <c r="F603" s="650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25"/>
    </row>
    <row r="604" spans="1:17" ht="13.5" customHeight="1">
      <c r="A604" s="23"/>
      <c r="B604" s="23"/>
      <c r="C604" s="387"/>
      <c r="D604" s="16" t="s">
        <v>1238</v>
      </c>
      <c r="E604" s="15">
        <v>1</v>
      </c>
      <c r="F604" s="13">
        <v>171905</v>
      </c>
      <c r="G604" s="15">
        <f>0+'táj.2.'!G604</f>
        <v>0</v>
      </c>
      <c r="H604" s="15">
        <f>0+'táj.2.'!H604</f>
        <v>0</v>
      </c>
      <c r="I604" s="15">
        <f>4500+'táj.2.'!I604</f>
        <v>6000</v>
      </c>
      <c r="J604" s="15">
        <f>0+'táj.2.'!J604</f>
        <v>0</v>
      </c>
      <c r="K604" s="15">
        <f>0+'táj.2.'!K604</f>
        <v>0</v>
      </c>
      <c r="L604" s="15">
        <f>0+'táj.2.'!L604</f>
        <v>0</v>
      </c>
      <c r="M604" s="15">
        <f>0+'táj.2.'!M604</f>
        <v>0</v>
      </c>
      <c r="N604" s="15">
        <f>0+'táj.2.'!N604</f>
        <v>0</v>
      </c>
      <c r="O604" s="15">
        <f>0+'táj.2.'!O604</f>
        <v>0</v>
      </c>
      <c r="P604" s="15">
        <f>0+'táj.2.'!P604</f>
        <v>0</v>
      </c>
      <c r="Q604" s="25">
        <f aca="true" t="shared" si="38" ref="Q604:Q614">SUM(G604:P604)</f>
        <v>6000</v>
      </c>
    </row>
    <row r="605" spans="1:17" ht="13.5" customHeight="1">
      <c r="A605" s="23"/>
      <c r="B605" s="23"/>
      <c r="C605" s="387"/>
      <c r="D605" s="16" t="s">
        <v>555</v>
      </c>
      <c r="E605" s="15">
        <v>1</v>
      </c>
      <c r="F605" s="13">
        <v>171903</v>
      </c>
      <c r="G605" s="15">
        <f>0+'táj.2.'!G605</f>
        <v>0</v>
      </c>
      <c r="H605" s="15">
        <f>0+'táj.2.'!H605</f>
        <v>0</v>
      </c>
      <c r="I605" s="15">
        <f>2000+'táj.2.'!I605</f>
        <v>1500</v>
      </c>
      <c r="J605" s="15">
        <f>0+'táj.2.'!J605</f>
        <v>0</v>
      </c>
      <c r="K605" s="15">
        <f>0+'táj.2.'!K605</f>
        <v>0</v>
      </c>
      <c r="L605" s="15">
        <f>0+'táj.2.'!L605</f>
        <v>0</v>
      </c>
      <c r="M605" s="15">
        <f>0+'táj.2.'!M605</f>
        <v>0</v>
      </c>
      <c r="N605" s="15">
        <f>0+'táj.2.'!N605</f>
        <v>0</v>
      </c>
      <c r="O605" s="15">
        <f>0+'táj.2.'!O605</f>
        <v>0</v>
      </c>
      <c r="P605" s="15">
        <f>0+'táj.2.'!P605</f>
        <v>0</v>
      </c>
      <c r="Q605" s="25">
        <f t="shared" si="38"/>
        <v>1500</v>
      </c>
    </row>
    <row r="606" spans="1:17" ht="13.5" customHeight="1">
      <c r="A606" s="23"/>
      <c r="B606" s="23"/>
      <c r="C606" s="387"/>
      <c r="D606" s="16" t="s">
        <v>959</v>
      </c>
      <c r="E606" s="477">
        <v>1</v>
      </c>
      <c r="F606" s="13">
        <v>171920</v>
      </c>
      <c r="G606" s="15">
        <f>0+'táj.2.'!G606</f>
        <v>0</v>
      </c>
      <c r="H606" s="15">
        <f>0+'táj.2.'!H606</f>
        <v>0</v>
      </c>
      <c r="I606" s="15">
        <f>6000+'táj.2.'!I606</f>
        <v>6000</v>
      </c>
      <c r="J606" s="15">
        <f>0+'táj.2.'!J606</f>
        <v>0</v>
      </c>
      <c r="K606" s="15">
        <f>0+'táj.2.'!K606</f>
        <v>0</v>
      </c>
      <c r="L606" s="15">
        <f>0+'táj.2.'!L606</f>
        <v>0</v>
      </c>
      <c r="M606" s="15">
        <f>0+'táj.2.'!M606</f>
        <v>0</v>
      </c>
      <c r="N606" s="15">
        <f>0+'táj.2.'!N606</f>
        <v>0</v>
      </c>
      <c r="O606" s="15">
        <f>0+'táj.2.'!O606</f>
        <v>0</v>
      </c>
      <c r="P606" s="15">
        <f>0+'táj.2.'!P606</f>
        <v>0</v>
      </c>
      <c r="Q606" s="25">
        <f t="shared" si="38"/>
        <v>6000</v>
      </c>
    </row>
    <row r="607" spans="1:17" ht="13.5" customHeight="1">
      <c r="A607" s="23"/>
      <c r="B607" s="23"/>
      <c r="C607" s="387"/>
      <c r="D607" s="197" t="s">
        <v>960</v>
      </c>
      <c r="E607" s="478">
        <v>1</v>
      </c>
      <c r="F607" s="13">
        <v>171940</v>
      </c>
      <c r="G607" s="15">
        <f>0+'táj.2.'!G607</f>
        <v>0</v>
      </c>
      <c r="H607" s="15">
        <f>0+'táj.2.'!H607</f>
        <v>0</v>
      </c>
      <c r="I607" s="15">
        <f>600+'táj.2.'!I607</f>
        <v>600</v>
      </c>
      <c r="J607" s="15">
        <f>0+'táj.2.'!J607</f>
        <v>0</v>
      </c>
      <c r="K607" s="15">
        <f>0+'táj.2.'!K607</f>
        <v>0</v>
      </c>
      <c r="L607" s="15">
        <f>0+'táj.2.'!L607</f>
        <v>0</v>
      </c>
      <c r="M607" s="15">
        <f>0+'táj.2.'!M607</f>
        <v>0</v>
      </c>
      <c r="N607" s="15">
        <f>0+'táj.2.'!N607</f>
        <v>0</v>
      </c>
      <c r="O607" s="15">
        <f>0+'táj.2.'!O607</f>
        <v>0</v>
      </c>
      <c r="P607" s="15">
        <f>0+'táj.2.'!P607</f>
        <v>0</v>
      </c>
      <c r="Q607" s="25">
        <f t="shared" si="38"/>
        <v>600</v>
      </c>
    </row>
    <row r="608" spans="1:17" ht="13.5" customHeight="1">
      <c r="A608" s="23"/>
      <c r="B608" s="23"/>
      <c r="C608" s="387"/>
      <c r="D608" s="197" t="s">
        <v>961</v>
      </c>
      <c r="E608" s="478">
        <v>1</v>
      </c>
      <c r="F608" s="13">
        <v>171956</v>
      </c>
      <c r="G608" s="15">
        <f>0+'táj.2.'!G608</f>
        <v>0</v>
      </c>
      <c r="H608" s="15">
        <f>0+'táj.2.'!H608</f>
        <v>0</v>
      </c>
      <c r="I608" s="15">
        <f>4000+'táj.2.'!I608</f>
        <v>3000</v>
      </c>
      <c r="J608" s="15">
        <f>0+'táj.2.'!J608</f>
        <v>0</v>
      </c>
      <c r="K608" s="15">
        <f>0+'táj.2.'!K608</f>
        <v>0</v>
      </c>
      <c r="L608" s="15">
        <f>0+'táj.2.'!L608</f>
        <v>0</v>
      </c>
      <c r="M608" s="15">
        <f>0+'táj.2.'!M608</f>
        <v>0</v>
      </c>
      <c r="N608" s="15">
        <f>0+'táj.2.'!N608</f>
        <v>0</v>
      </c>
      <c r="O608" s="15">
        <f>0+'táj.2.'!O608</f>
        <v>0</v>
      </c>
      <c r="P608" s="15">
        <f>0+'táj.2.'!P608</f>
        <v>0</v>
      </c>
      <c r="Q608" s="25">
        <f t="shared" si="38"/>
        <v>3000</v>
      </c>
    </row>
    <row r="609" spans="1:17" ht="13.5" customHeight="1">
      <c r="A609" s="23"/>
      <c r="B609" s="23"/>
      <c r="C609" s="387"/>
      <c r="D609" s="197" t="s">
        <v>962</v>
      </c>
      <c r="E609" s="478">
        <v>1</v>
      </c>
      <c r="F609" s="13">
        <v>171958</v>
      </c>
      <c r="G609" s="15">
        <f>0+'táj.2.'!G609</f>
        <v>0</v>
      </c>
      <c r="H609" s="15">
        <f>0+'táj.2.'!H609</f>
        <v>0</v>
      </c>
      <c r="I609" s="15">
        <f>2000+'táj.2.'!I609</f>
        <v>2000</v>
      </c>
      <c r="J609" s="15">
        <f>0+'táj.2.'!J609</f>
        <v>0</v>
      </c>
      <c r="K609" s="15">
        <f>0+'táj.2.'!K609</f>
        <v>0</v>
      </c>
      <c r="L609" s="15">
        <f>0+'táj.2.'!L609</f>
        <v>0</v>
      </c>
      <c r="M609" s="15">
        <f>0+'táj.2.'!M609</f>
        <v>0</v>
      </c>
      <c r="N609" s="15">
        <f>0+'táj.2.'!N609</f>
        <v>0</v>
      </c>
      <c r="O609" s="15">
        <f>0+'táj.2.'!O609</f>
        <v>0</v>
      </c>
      <c r="P609" s="15">
        <f>0+'táj.2.'!P609</f>
        <v>0</v>
      </c>
      <c r="Q609" s="25">
        <f t="shared" si="38"/>
        <v>2000</v>
      </c>
    </row>
    <row r="610" spans="1:17" ht="24.75" customHeight="1">
      <c r="A610" s="23"/>
      <c r="B610" s="23"/>
      <c r="C610" s="387"/>
      <c r="D610" s="197" t="s">
        <v>963</v>
      </c>
      <c r="E610" s="478">
        <v>1</v>
      </c>
      <c r="F610" s="13">
        <v>171959</v>
      </c>
      <c r="G610" s="15">
        <f>0+'táj.2.'!G610</f>
        <v>0</v>
      </c>
      <c r="H610" s="15">
        <f>0+'táj.2.'!H610</f>
        <v>0</v>
      </c>
      <c r="I610" s="15">
        <f>2000+'táj.2.'!I610</f>
        <v>2000</v>
      </c>
      <c r="J610" s="15">
        <f>0+'táj.2.'!J610</f>
        <v>0</v>
      </c>
      <c r="K610" s="15">
        <f>0+'táj.2.'!K610</f>
        <v>0</v>
      </c>
      <c r="L610" s="15">
        <f>0+'táj.2.'!L610</f>
        <v>0</v>
      </c>
      <c r="M610" s="15">
        <f>0+'táj.2.'!M610</f>
        <v>0</v>
      </c>
      <c r="N610" s="15">
        <f>0+'táj.2.'!N610</f>
        <v>0</v>
      </c>
      <c r="O610" s="15">
        <f>0+'táj.2.'!O610</f>
        <v>0</v>
      </c>
      <c r="P610" s="15">
        <f>0+'táj.2.'!P610</f>
        <v>0</v>
      </c>
      <c r="Q610" s="25">
        <f t="shared" si="38"/>
        <v>2000</v>
      </c>
    </row>
    <row r="611" spans="1:17" ht="15" customHeight="1">
      <c r="A611" s="23"/>
      <c r="B611" s="23"/>
      <c r="C611" s="387"/>
      <c r="D611" s="197" t="s">
        <v>964</v>
      </c>
      <c r="E611" s="478">
        <v>1</v>
      </c>
      <c r="F611" s="13">
        <v>171904</v>
      </c>
      <c r="G611" s="15">
        <f>0+'táj.2.'!G611</f>
        <v>0</v>
      </c>
      <c r="H611" s="15">
        <f>0+'táj.2.'!H611</f>
        <v>0</v>
      </c>
      <c r="I611" s="15">
        <f>4000+'táj.2.'!I611</f>
        <v>4000</v>
      </c>
      <c r="J611" s="15">
        <f>0+'táj.2.'!J611</f>
        <v>0</v>
      </c>
      <c r="K611" s="15">
        <f>0+'táj.2.'!K611</f>
        <v>0</v>
      </c>
      <c r="L611" s="15">
        <f>0+'táj.2.'!L611</f>
        <v>0</v>
      </c>
      <c r="M611" s="15">
        <f>0+'táj.2.'!M611</f>
        <v>0</v>
      </c>
      <c r="N611" s="15">
        <f>0+'táj.2.'!N611</f>
        <v>0</v>
      </c>
      <c r="O611" s="15">
        <f>0+'táj.2.'!O611</f>
        <v>0</v>
      </c>
      <c r="P611" s="15">
        <f>0+'táj.2.'!P611</f>
        <v>0</v>
      </c>
      <c r="Q611" s="25">
        <f t="shared" si="38"/>
        <v>4000</v>
      </c>
    </row>
    <row r="612" spans="1:17" ht="13.5" customHeight="1">
      <c r="A612" s="23"/>
      <c r="B612" s="23"/>
      <c r="C612" s="387"/>
      <c r="D612" s="16" t="s">
        <v>1240</v>
      </c>
      <c r="E612" s="15">
        <v>1</v>
      </c>
      <c r="F612" s="13">
        <v>171902</v>
      </c>
      <c r="G612" s="15">
        <f>0+'táj.2.'!G612</f>
        <v>0</v>
      </c>
      <c r="H612" s="15">
        <f>0+'táj.2.'!H612</f>
        <v>0</v>
      </c>
      <c r="I612" s="15">
        <f>9000+'táj.2.'!I612</f>
        <v>9000</v>
      </c>
      <c r="J612" s="15">
        <f>0+'táj.2.'!J612</f>
        <v>0</v>
      </c>
      <c r="K612" s="15">
        <f>0+'táj.2.'!K612</f>
        <v>0</v>
      </c>
      <c r="L612" s="15">
        <f>0+'táj.2.'!L612</f>
        <v>0</v>
      </c>
      <c r="M612" s="15">
        <f>0+'táj.2.'!M612</f>
        <v>0</v>
      </c>
      <c r="N612" s="15">
        <f>0+'táj.2.'!N612</f>
        <v>0</v>
      </c>
      <c r="O612" s="15">
        <f>0+'táj.2.'!O612</f>
        <v>0</v>
      </c>
      <c r="P612" s="15">
        <f>0+'táj.2.'!P612</f>
        <v>0</v>
      </c>
      <c r="Q612" s="25">
        <f t="shared" si="38"/>
        <v>9000</v>
      </c>
    </row>
    <row r="613" spans="1:17" ht="13.5" customHeight="1">
      <c r="A613" s="23"/>
      <c r="B613" s="23"/>
      <c r="C613" s="387"/>
      <c r="D613" s="16" t="s">
        <v>965</v>
      </c>
      <c r="E613" s="15">
        <v>1</v>
      </c>
      <c r="F613" s="13">
        <v>171925</v>
      </c>
      <c r="G613" s="15">
        <f>0+'táj.2.'!G613</f>
        <v>0</v>
      </c>
      <c r="H613" s="15">
        <f>0+'táj.2.'!H613</f>
        <v>0</v>
      </c>
      <c r="I613" s="15">
        <f>500+'táj.2.'!I613</f>
        <v>500</v>
      </c>
      <c r="J613" s="15">
        <f>0+'táj.2.'!J613</f>
        <v>0</v>
      </c>
      <c r="K613" s="15">
        <f>0+'táj.2.'!K613</f>
        <v>0</v>
      </c>
      <c r="L613" s="15">
        <f>0+'táj.2.'!L613</f>
        <v>0</v>
      </c>
      <c r="M613" s="15">
        <f>0+'táj.2.'!M613</f>
        <v>0</v>
      </c>
      <c r="N613" s="15">
        <f>0+'táj.2.'!N613</f>
        <v>0</v>
      </c>
      <c r="O613" s="15">
        <f>0+'táj.2.'!O613</f>
        <v>0</v>
      </c>
      <c r="P613" s="15">
        <f>0+'táj.2.'!P613</f>
        <v>0</v>
      </c>
      <c r="Q613" s="25">
        <f t="shared" si="38"/>
        <v>500</v>
      </c>
    </row>
    <row r="614" spans="1:17" ht="13.5" customHeight="1">
      <c r="A614" s="23"/>
      <c r="B614" s="23"/>
      <c r="C614" s="387"/>
      <c r="D614" s="16" t="s">
        <v>29</v>
      </c>
      <c r="E614" s="15">
        <v>1</v>
      </c>
      <c r="F614" s="13">
        <v>171954</v>
      </c>
      <c r="G614" s="15">
        <f>0+'táj.2.'!G614</f>
        <v>0</v>
      </c>
      <c r="H614" s="15">
        <f>0+'táj.2.'!H614</f>
        <v>0</v>
      </c>
      <c r="I614" s="15">
        <f>3500+'táj.2.'!I614</f>
        <v>3500</v>
      </c>
      <c r="J614" s="15">
        <f>0+'táj.2.'!J614</f>
        <v>0</v>
      </c>
      <c r="K614" s="15">
        <f>0+'táj.2.'!K614</f>
        <v>0</v>
      </c>
      <c r="L614" s="15">
        <f>0+'táj.2.'!L614</f>
        <v>0</v>
      </c>
      <c r="M614" s="15">
        <f>0+'táj.2.'!M614</f>
        <v>0</v>
      </c>
      <c r="N614" s="15">
        <f>0+'táj.2.'!N614</f>
        <v>0</v>
      </c>
      <c r="O614" s="15">
        <f>0+'táj.2.'!O614</f>
        <v>0</v>
      </c>
      <c r="P614" s="15">
        <f>0+'táj.2.'!P614</f>
        <v>0</v>
      </c>
      <c r="Q614" s="25">
        <f t="shared" si="38"/>
        <v>3500</v>
      </c>
    </row>
    <row r="615" spans="1:17" ht="13.5" customHeight="1">
      <c r="A615" s="23"/>
      <c r="B615" s="23"/>
      <c r="C615" s="387"/>
      <c r="D615" s="16" t="s">
        <v>966</v>
      </c>
      <c r="E615" s="15"/>
      <c r="F615" s="13"/>
      <c r="G615" s="15"/>
      <c r="H615" s="15"/>
      <c r="I615" s="15"/>
      <c r="J615" s="342"/>
      <c r="K615" s="342"/>
      <c r="L615" s="15"/>
      <c r="M615" s="15"/>
      <c r="N615" s="15"/>
      <c r="O615" s="15"/>
      <c r="P615" s="15"/>
      <c r="Q615" s="25"/>
    </row>
    <row r="616" spans="1:17" ht="13.5" customHeight="1">
      <c r="A616" s="23"/>
      <c r="B616" s="23"/>
      <c r="C616" s="387"/>
      <c r="D616" s="16" t="s">
        <v>967</v>
      </c>
      <c r="E616" s="15">
        <v>2</v>
      </c>
      <c r="F616" s="13">
        <v>171943</v>
      </c>
      <c r="G616" s="15">
        <f>0+'táj.2.'!G616</f>
        <v>0</v>
      </c>
      <c r="H616" s="15">
        <f>0+'táj.2.'!H616</f>
        <v>0</v>
      </c>
      <c r="I616" s="15">
        <f>0+'táj.2.'!I616</f>
        <v>0</v>
      </c>
      <c r="J616" s="15">
        <f>0+'táj.2.'!J616</f>
        <v>0</v>
      </c>
      <c r="K616" s="15">
        <f>0+'táj.2.'!K616</f>
        <v>0</v>
      </c>
      <c r="L616" s="15">
        <f>0+'táj.2.'!L616</f>
        <v>0</v>
      </c>
      <c r="M616" s="15">
        <f>0+'táj.2.'!M616</f>
        <v>0</v>
      </c>
      <c r="N616" s="15">
        <f>0+'táj.2.'!N616</f>
        <v>0</v>
      </c>
      <c r="O616" s="15">
        <f>0+'táj.2.'!O616</f>
        <v>0</v>
      </c>
      <c r="P616" s="15">
        <f>0+'táj.2.'!P616</f>
        <v>0</v>
      </c>
      <c r="Q616" s="25">
        <f>SUM(G616:P616)</f>
        <v>0</v>
      </c>
    </row>
    <row r="617" spans="1:17" ht="13.5" customHeight="1">
      <c r="A617" s="17"/>
      <c r="B617" s="17"/>
      <c r="C617" s="346"/>
      <c r="D617" s="18" t="s">
        <v>968</v>
      </c>
      <c r="E617" s="347"/>
      <c r="F617" s="649"/>
      <c r="G617" s="19">
        <f aca="true" t="shared" si="39" ref="G617:N617">SUM(G603:G616)</f>
        <v>0</v>
      </c>
      <c r="H617" s="19">
        <f t="shared" si="39"/>
        <v>0</v>
      </c>
      <c r="I617" s="19">
        <f t="shared" si="39"/>
        <v>38100</v>
      </c>
      <c r="J617" s="19">
        <f t="shared" si="39"/>
        <v>0</v>
      </c>
      <c r="K617" s="19">
        <f t="shared" si="39"/>
        <v>0</v>
      </c>
      <c r="L617" s="19">
        <f t="shared" si="39"/>
        <v>0</v>
      </c>
      <c r="M617" s="19">
        <f t="shared" si="39"/>
        <v>0</v>
      </c>
      <c r="N617" s="19">
        <f t="shared" si="39"/>
        <v>0</v>
      </c>
      <c r="O617" s="19"/>
      <c r="P617" s="19">
        <f>SUM(P603:P616)</f>
        <v>0</v>
      </c>
      <c r="Q617" s="19">
        <f>SUM(Q603:Q616)</f>
        <v>38100</v>
      </c>
    </row>
    <row r="618" spans="1:17" ht="13.5" customHeight="1">
      <c r="A618" s="183"/>
      <c r="B618" s="183"/>
      <c r="C618" s="365"/>
      <c r="D618" s="117" t="s">
        <v>969</v>
      </c>
      <c r="E618" s="22"/>
      <c r="F618" s="659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</row>
    <row r="619" spans="1:17" ht="27.75" customHeight="1">
      <c r="A619" s="183"/>
      <c r="B619" s="183"/>
      <c r="C619" s="205" t="s">
        <v>623</v>
      </c>
      <c r="D619" s="558" t="s">
        <v>970</v>
      </c>
      <c r="E619" s="479"/>
      <c r="F619" s="666">
        <v>171980</v>
      </c>
      <c r="G619" s="375">
        <f>0+'táj.2.'!G619</f>
        <v>0</v>
      </c>
      <c r="H619" s="375">
        <f>0+'táj.2.'!H619</f>
        <v>0</v>
      </c>
      <c r="I619" s="375">
        <f>0+'táj.2.'!I619</f>
        <v>0</v>
      </c>
      <c r="J619" s="375">
        <f>0+'táj.2.'!J619</f>
        <v>0</v>
      </c>
      <c r="K619" s="375">
        <f>0+'táj.2.'!K619</f>
        <v>0</v>
      </c>
      <c r="L619" s="375">
        <f>0+'táj.2.'!L619</f>
        <v>0</v>
      </c>
      <c r="M619" s="375">
        <f>0+'táj.2.'!M619</f>
        <v>0</v>
      </c>
      <c r="N619" s="375">
        <f>22000+'táj.2.'!N619</f>
        <v>22000</v>
      </c>
      <c r="O619" s="375">
        <f>0+'táj.2.'!O619</f>
        <v>0</v>
      </c>
      <c r="P619" s="375">
        <f>0+'táj.2.'!P619</f>
        <v>0</v>
      </c>
      <c r="Q619" s="375">
        <f>SUM(G619:P619)</f>
        <v>22000</v>
      </c>
    </row>
    <row r="620" spans="1:17" ht="16.5" customHeight="1">
      <c r="A620" s="183"/>
      <c r="B620" s="183"/>
      <c r="C620" s="13" t="s">
        <v>744</v>
      </c>
      <c r="D620" s="724" t="s">
        <v>30</v>
      </c>
      <c r="E620" s="725"/>
      <c r="F620" s="666">
        <v>172913</v>
      </c>
      <c r="G620" s="375">
        <f>0+'táj.2.'!G620</f>
        <v>0</v>
      </c>
      <c r="H620" s="375">
        <f>0+'táj.2.'!H620</f>
        <v>0</v>
      </c>
      <c r="I620" s="375">
        <f>0+'táj.2.'!I620</f>
        <v>0</v>
      </c>
      <c r="J620" s="375">
        <f>0+'táj.2.'!J620</f>
        <v>0</v>
      </c>
      <c r="K620" s="375">
        <f>0+'táj.2.'!K620</f>
        <v>0</v>
      </c>
      <c r="L620" s="375">
        <f>1300+'táj.2.'!L620</f>
        <v>1300</v>
      </c>
      <c r="M620" s="375">
        <f>0+'táj.2.'!M620</f>
        <v>0</v>
      </c>
      <c r="N620" s="375">
        <f>0+'táj.2.'!N620</f>
        <v>0</v>
      </c>
      <c r="O620" s="375"/>
      <c r="P620" s="375"/>
      <c r="Q620" s="375">
        <f>SUM(G620:P620)</f>
        <v>1300</v>
      </c>
    </row>
    <row r="621" spans="1:17" ht="16.5" customHeight="1">
      <c r="A621" s="183"/>
      <c r="B621" s="183"/>
      <c r="C621" s="733" t="s">
        <v>135</v>
      </c>
      <c r="D621" s="356" t="s">
        <v>499</v>
      </c>
      <c r="E621" s="734"/>
      <c r="F621" s="666">
        <v>172918</v>
      </c>
      <c r="G621" s="375">
        <f>0+'táj.2.'!G621</f>
        <v>0</v>
      </c>
      <c r="H621" s="375">
        <f>0+'táj.2.'!H621</f>
        <v>0</v>
      </c>
      <c r="I621" s="375">
        <f>0+'táj.2.'!I621</f>
        <v>2243</v>
      </c>
      <c r="J621" s="375">
        <f>0+'táj.2.'!J621</f>
        <v>0</v>
      </c>
      <c r="K621" s="375">
        <f>0+'táj.2.'!K621</f>
        <v>0</v>
      </c>
      <c r="L621" s="375">
        <f>50000+'táj.2.'!L621</f>
        <v>50000</v>
      </c>
      <c r="M621" s="375">
        <f>0+'táj.2.'!M621</f>
        <v>0</v>
      </c>
      <c r="N621" s="375">
        <f>0+'táj.2.'!N621</f>
        <v>0</v>
      </c>
      <c r="O621" s="375"/>
      <c r="P621" s="375"/>
      <c r="Q621" s="375">
        <f>SUM(G621:P621)</f>
        <v>52243</v>
      </c>
    </row>
    <row r="622" spans="1:17" ht="22.5" customHeight="1">
      <c r="A622" s="183"/>
      <c r="B622" s="365"/>
      <c r="C622" s="13" t="s">
        <v>151</v>
      </c>
      <c r="D622" s="178" t="s">
        <v>152</v>
      </c>
      <c r="E622" s="734"/>
      <c r="F622" s="666">
        <v>174904</v>
      </c>
      <c r="G622" s="375">
        <f>0+'táj.2.'!G622</f>
        <v>0</v>
      </c>
      <c r="H622" s="375">
        <f>0+'táj.2.'!H622</f>
        <v>0</v>
      </c>
      <c r="I622" s="375">
        <f>0+'táj.2.'!I622</f>
        <v>0</v>
      </c>
      <c r="J622" s="375">
        <f>0+'táj.2.'!J622</f>
        <v>0</v>
      </c>
      <c r="K622" s="375">
        <f>0+'táj.2.'!K622</f>
        <v>0</v>
      </c>
      <c r="L622" s="375">
        <f>0+'táj.2.'!L622</f>
        <v>0</v>
      </c>
      <c r="M622" s="375">
        <f>0+'táj.2.'!M622</f>
        <v>0</v>
      </c>
      <c r="N622" s="375">
        <f>0+'táj.2.'!N622</f>
        <v>2300</v>
      </c>
      <c r="O622" s="375"/>
      <c r="P622" s="375"/>
      <c r="Q622" s="375">
        <f>SUM(G622:P622)</f>
        <v>2300</v>
      </c>
    </row>
    <row r="623" spans="1:17" ht="13.5" customHeight="1">
      <c r="A623" s="183"/>
      <c r="B623" s="183"/>
      <c r="C623" s="764"/>
      <c r="D623" s="765" t="s">
        <v>198</v>
      </c>
      <c r="E623" s="22"/>
      <c r="F623" s="659"/>
      <c r="G623" s="375"/>
      <c r="H623" s="20"/>
      <c r="I623" s="20"/>
      <c r="J623" s="20"/>
      <c r="K623" s="20"/>
      <c r="L623" s="20"/>
      <c r="M623" s="20"/>
      <c r="N623" s="20"/>
      <c r="O623" s="20"/>
      <c r="P623" s="20"/>
      <c r="Q623" s="375"/>
    </row>
    <row r="624" spans="1:17" ht="13.5" customHeight="1">
      <c r="A624" s="183"/>
      <c r="B624" s="183"/>
      <c r="C624" s="718" t="s">
        <v>459</v>
      </c>
      <c r="D624" s="719" t="s">
        <v>454</v>
      </c>
      <c r="E624" s="22"/>
      <c r="F624" s="650">
        <v>172910</v>
      </c>
      <c r="G624" s="375">
        <f>0+'táj.2.'!G624</f>
        <v>0</v>
      </c>
      <c r="H624" s="375">
        <f>0+'táj.2.'!H624</f>
        <v>0</v>
      </c>
      <c r="I624" s="375">
        <f>504+'táj.2.'!I624</f>
        <v>504</v>
      </c>
      <c r="J624" s="375">
        <f>0+'táj.2.'!J624</f>
        <v>0</v>
      </c>
      <c r="K624" s="375">
        <f>0+'táj.2.'!K624</f>
        <v>0</v>
      </c>
      <c r="L624" s="375">
        <f>44496+'táj.2.'!L624</f>
        <v>44496</v>
      </c>
      <c r="M624" s="375">
        <f>0+'táj.2.'!M624</f>
        <v>0</v>
      </c>
      <c r="N624" s="375">
        <f>0+'táj.2.'!N624</f>
        <v>0</v>
      </c>
      <c r="O624" s="375">
        <f>0+'táj.2.'!O624</f>
        <v>0</v>
      </c>
      <c r="P624" s="375">
        <f>0+'táj.2.'!P624</f>
        <v>0</v>
      </c>
      <c r="Q624" s="375">
        <f aca="true" t="shared" si="40" ref="Q624:Q631">SUM(G624:P624)</f>
        <v>45000</v>
      </c>
    </row>
    <row r="625" spans="1:17" ht="27.75" customHeight="1">
      <c r="A625" s="183"/>
      <c r="B625" s="183"/>
      <c r="C625" s="718" t="s">
        <v>460</v>
      </c>
      <c r="D625" s="720" t="s">
        <v>1187</v>
      </c>
      <c r="E625" s="22"/>
      <c r="F625" s="650">
        <v>172904</v>
      </c>
      <c r="G625" s="375">
        <f>0+'táj.2.'!G625</f>
        <v>0</v>
      </c>
      <c r="H625" s="375">
        <f>0+'táj.2.'!H625</f>
        <v>0</v>
      </c>
      <c r="I625" s="375">
        <f>0+'táj.2.'!I625</f>
        <v>0</v>
      </c>
      <c r="J625" s="375">
        <f>0+'táj.2.'!J625</f>
        <v>0</v>
      </c>
      <c r="K625" s="375">
        <f>0+'táj.2.'!K625</f>
        <v>0</v>
      </c>
      <c r="L625" s="375">
        <f>43561+'táj.2.'!L625</f>
        <v>43561</v>
      </c>
      <c r="M625" s="375">
        <f>0+'táj.2.'!M625</f>
        <v>0</v>
      </c>
      <c r="N625" s="375">
        <f>0+'táj.2.'!N625</f>
        <v>0</v>
      </c>
      <c r="O625" s="375">
        <f>0+'táj.2.'!O625</f>
        <v>0</v>
      </c>
      <c r="P625" s="375">
        <f>0+'táj.2.'!P625</f>
        <v>0</v>
      </c>
      <c r="Q625" s="375">
        <f t="shared" si="40"/>
        <v>43561</v>
      </c>
    </row>
    <row r="626" spans="1:17" ht="14.25" customHeight="1">
      <c r="A626" s="391"/>
      <c r="B626" s="391"/>
      <c r="C626" s="718" t="s">
        <v>461</v>
      </c>
      <c r="D626" s="482" t="s">
        <v>758</v>
      </c>
      <c r="E626" s="483"/>
      <c r="F626" s="666">
        <v>174905</v>
      </c>
      <c r="G626" s="375">
        <f>0+'táj.2.'!G626</f>
        <v>0</v>
      </c>
      <c r="H626" s="375">
        <f>0+'táj.2.'!H626</f>
        <v>0</v>
      </c>
      <c r="I626" s="375">
        <f>0+'táj.2.'!I626</f>
        <v>0</v>
      </c>
      <c r="J626" s="375">
        <f>0+'táj.2.'!J626</f>
        <v>0</v>
      </c>
      <c r="K626" s="375">
        <f>0+'táj.2.'!K626</f>
        <v>0</v>
      </c>
      <c r="L626" s="375">
        <f>0+'táj.2.'!L626</f>
        <v>0</v>
      </c>
      <c r="M626" s="375">
        <f>373+'táj.2.'!M626</f>
        <v>373</v>
      </c>
      <c r="N626" s="375">
        <f>0+'táj.2.'!N626</f>
        <v>0</v>
      </c>
      <c r="O626" s="375">
        <f>0+'táj.2.'!O626</f>
        <v>0</v>
      </c>
      <c r="P626" s="375">
        <f>0+'táj.2.'!P626</f>
        <v>0</v>
      </c>
      <c r="Q626" s="375">
        <f t="shared" si="40"/>
        <v>373</v>
      </c>
    </row>
    <row r="627" spans="1:17" ht="14.25" customHeight="1">
      <c r="A627" s="391"/>
      <c r="B627" s="391"/>
      <c r="C627" s="718" t="s">
        <v>1188</v>
      </c>
      <c r="D627" s="726" t="s">
        <v>753</v>
      </c>
      <c r="E627" s="185"/>
      <c r="F627" s="658">
        <v>174908</v>
      </c>
      <c r="G627" s="375">
        <f>0+'táj.2.'!G627</f>
        <v>0</v>
      </c>
      <c r="H627" s="375">
        <f>0+'táj.2.'!H627</f>
        <v>0</v>
      </c>
      <c r="I627" s="375">
        <f>0+'táj.2.'!I627</f>
        <v>0</v>
      </c>
      <c r="J627" s="375">
        <f>0+'táj.2.'!J627</f>
        <v>0</v>
      </c>
      <c r="K627" s="375">
        <f>0+'táj.2.'!K627</f>
        <v>0</v>
      </c>
      <c r="L627" s="375">
        <f>0+'táj.2.'!L627</f>
        <v>0</v>
      </c>
      <c r="M627" s="375">
        <f>0+'táj.2.'!M627</f>
        <v>0</v>
      </c>
      <c r="N627" s="375">
        <f>0+'táj.2.'!N627</f>
        <v>0</v>
      </c>
      <c r="O627" s="375">
        <f>0+'táj.2.'!O627</f>
        <v>0</v>
      </c>
      <c r="P627" s="375">
        <f>0+'táj.2.'!P627</f>
        <v>0</v>
      </c>
      <c r="Q627" s="375">
        <f t="shared" si="40"/>
        <v>0</v>
      </c>
    </row>
    <row r="628" spans="1:17" ht="14.25" customHeight="1">
      <c r="A628" s="391"/>
      <c r="B628" s="391"/>
      <c r="C628" s="718" t="s">
        <v>1189</v>
      </c>
      <c r="D628" s="721" t="s">
        <v>972</v>
      </c>
      <c r="E628" s="185"/>
      <c r="F628" s="658">
        <v>162652</v>
      </c>
      <c r="G628" s="375">
        <f>0+'táj.2.'!G628</f>
        <v>0</v>
      </c>
      <c r="H628" s="375">
        <f>0+'táj.2.'!H628</f>
        <v>0</v>
      </c>
      <c r="I628" s="375">
        <f>0+'táj.2.'!I628</f>
        <v>0</v>
      </c>
      <c r="J628" s="375">
        <f>0+'táj.2.'!J628</f>
        <v>0</v>
      </c>
      <c r="K628" s="375">
        <f>0+'táj.2.'!K628</f>
        <v>0</v>
      </c>
      <c r="L628" s="375">
        <f>18000+'táj.2.'!L628</f>
        <v>18000</v>
      </c>
      <c r="M628" s="375">
        <f>0+'táj.2.'!M628</f>
        <v>0</v>
      </c>
      <c r="N628" s="375">
        <f>0+'táj.2.'!N628</f>
        <v>0</v>
      </c>
      <c r="O628" s="375">
        <f>0+'táj.2.'!O628</f>
        <v>0</v>
      </c>
      <c r="P628" s="375">
        <f>0+'táj.2.'!P628</f>
        <v>0</v>
      </c>
      <c r="Q628" s="375">
        <f t="shared" si="40"/>
        <v>18000</v>
      </c>
    </row>
    <row r="629" spans="1:17" ht="14.25" customHeight="1">
      <c r="A629" s="391"/>
      <c r="B629" s="391"/>
      <c r="C629" s="718" t="s">
        <v>971</v>
      </c>
      <c r="D629" s="721" t="s">
        <v>1163</v>
      </c>
      <c r="E629" s="185"/>
      <c r="F629" s="658">
        <v>162603</v>
      </c>
      <c r="G629" s="375">
        <f>0+'táj.2.'!G629</f>
        <v>0</v>
      </c>
      <c r="H629" s="375">
        <f>0+'táj.2.'!H629</f>
        <v>0</v>
      </c>
      <c r="I629" s="375">
        <f>0+'táj.2.'!I629</f>
        <v>0</v>
      </c>
      <c r="J629" s="375">
        <f>149+'táj.2.'!J629</f>
        <v>149</v>
      </c>
      <c r="K629" s="375">
        <f>0+'táj.2.'!K629</f>
        <v>0</v>
      </c>
      <c r="L629" s="375">
        <f>34851+'táj.2.'!L629</f>
        <v>34851</v>
      </c>
      <c r="M629" s="375">
        <f>0+'táj.2.'!M629</f>
        <v>0</v>
      </c>
      <c r="N629" s="375">
        <f>0+'táj.2.'!N629</f>
        <v>0</v>
      </c>
      <c r="O629" s="375">
        <f>0+'táj.2.'!O629</f>
        <v>0</v>
      </c>
      <c r="P629" s="375">
        <f>0+'táj.2.'!P629</f>
        <v>0</v>
      </c>
      <c r="Q629" s="375">
        <f t="shared" si="40"/>
        <v>35000</v>
      </c>
    </row>
    <row r="630" spans="1:17" ht="27" customHeight="1">
      <c r="A630" s="391"/>
      <c r="B630" s="391"/>
      <c r="C630" s="718" t="s">
        <v>973</v>
      </c>
      <c r="D630" s="722" t="s">
        <v>1164</v>
      </c>
      <c r="E630" s="185"/>
      <c r="F630" s="658">
        <v>162676</v>
      </c>
      <c r="G630" s="375">
        <f>0+'táj.2.'!G630</f>
        <v>0</v>
      </c>
      <c r="H630" s="375">
        <f>0+'táj.2.'!H630</f>
        <v>0</v>
      </c>
      <c r="I630" s="375">
        <f>0+'táj.2.'!I630</f>
        <v>0</v>
      </c>
      <c r="J630" s="375">
        <f>0+'táj.2.'!J630</f>
        <v>0</v>
      </c>
      <c r="K630" s="375">
        <f>0+'táj.2.'!K630</f>
        <v>0</v>
      </c>
      <c r="L630" s="375">
        <f>2500+'táj.2.'!L630</f>
        <v>2500</v>
      </c>
      <c r="M630" s="375">
        <f>0+'táj.2.'!M630</f>
        <v>0</v>
      </c>
      <c r="N630" s="375">
        <f>0+'táj.2.'!N630</f>
        <v>0</v>
      </c>
      <c r="O630" s="375">
        <f>0+'táj.2.'!O630</f>
        <v>0</v>
      </c>
      <c r="P630" s="375">
        <f>0+'táj.2.'!P630</f>
        <v>0</v>
      </c>
      <c r="Q630" s="375">
        <f t="shared" si="40"/>
        <v>2500</v>
      </c>
    </row>
    <row r="631" spans="1:17" ht="14.25" customHeight="1">
      <c r="A631" s="391"/>
      <c r="B631" s="391"/>
      <c r="C631" s="446" t="s">
        <v>974</v>
      </c>
      <c r="D631" s="142" t="s">
        <v>349</v>
      </c>
      <c r="E631" s="185"/>
      <c r="F631" s="658">
        <v>162631</v>
      </c>
      <c r="G631" s="375">
        <f>0+'táj.2.'!G631</f>
        <v>0</v>
      </c>
      <c r="H631" s="375">
        <f>0+'táj.2.'!H631</f>
        <v>0</v>
      </c>
      <c r="I631" s="375">
        <f>0+'táj.2.'!I631</f>
        <v>0</v>
      </c>
      <c r="J631" s="375">
        <f>0+'táj.2.'!J631</f>
        <v>0</v>
      </c>
      <c r="K631" s="375">
        <f>0+'táj.2.'!K631</f>
        <v>0</v>
      </c>
      <c r="L631" s="375">
        <f>11113+'táj.2.'!L631</f>
        <v>11113</v>
      </c>
      <c r="M631" s="375">
        <f>0+'táj.2.'!M631</f>
        <v>0</v>
      </c>
      <c r="N631" s="375">
        <f>0+'táj.2.'!N631</f>
        <v>0</v>
      </c>
      <c r="O631" s="375">
        <f>0+'táj.2.'!O631</f>
        <v>0</v>
      </c>
      <c r="P631" s="375">
        <f>0+'táj.2.'!P631</f>
        <v>0</v>
      </c>
      <c r="Q631" s="375">
        <f t="shared" si="40"/>
        <v>11113</v>
      </c>
    </row>
    <row r="632" spans="1:17" ht="13.5" customHeight="1">
      <c r="A632" s="17"/>
      <c r="B632" s="17"/>
      <c r="C632" s="346"/>
      <c r="D632" s="18" t="s">
        <v>464</v>
      </c>
      <c r="E632" s="347"/>
      <c r="F632" s="649"/>
      <c r="G632" s="19">
        <f aca="true" t="shared" si="41" ref="G632:Q632">SUM(G617:G631)</f>
        <v>0</v>
      </c>
      <c r="H632" s="19">
        <f t="shared" si="41"/>
        <v>0</v>
      </c>
      <c r="I632" s="19">
        <f t="shared" si="41"/>
        <v>40847</v>
      </c>
      <c r="J632" s="19">
        <f t="shared" si="41"/>
        <v>149</v>
      </c>
      <c r="K632" s="19">
        <f t="shared" si="41"/>
        <v>0</v>
      </c>
      <c r="L632" s="19">
        <f t="shared" si="41"/>
        <v>205821</v>
      </c>
      <c r="M632" s="19">
        <f t="shared" si="41"/>
        <v>373</v>
      </c>
      <c r="N632" s="19">
        <f t="shared" si="41"/>
        <v>24300</v>
      </c>
      <c r="O632" s="19">
        <f t="shared" si="41"/>
        <v>0</v>
      </c>
      <c r="P632" s="19">
        <f t="shared" si="41"/>
        <v>0</v>
      </c>
      <c r="Q632" s="19">
        <f t="shared" si="41"/>
        <v>271490</v>
      </c>
    </row>
    <row r="633" spans="1:17" ht="13.5" customHeight="1">
      <c r="A633" s="23">
        <v>1</v>
      </c>
      <c r="B633" s="23">
        <v>18</v>
      </c>
      <c r="C633" s="387"/>
      <c r="D633" s="28" t="s">
        <v>423</v>
      </c>
      <c r="E633" s="27"/>
      <c r="F633" s="667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1:17" ht="13.5" customHeight="1">
      <c r="A634" s="23"/>
      <c r="B634" s="23"/>
      <c r="C634" s="387"/>
      <c r="D634" s="24" t="s">
        <v>360</v>
      </c>
      <c r="E634" s="78"/>
      <c r="F634" s="658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1:17" ht="13.5" customHeight="1">
      <c r="A635" s="23"/>
      <c r="B635" s="23"/>
      <c r="C635" s="387"/>
      <c r="D635" s="24" t="s">
        <v>757</v>
      </c>
      <c r="E635" s="15">
        <v>2</v>
      </c>
      <c r="F635" s="13">
        <v>181905</v>
      </c>
      <c r="G635" s="25">
        <f>0+'táj.2.'!G635</f>
        <v>0</v>
      </c>
      <c r="H635" s="25">
        <f>0+'táj.2.'!H635</f>
        <v>0</v>
      </c>
      <c r="I635" s="25">
        <f>8000+'táj.2.'!I635</f>
        <v>8000</v>
      </c>
      <c r="J635" s="25">
        <f>0+'táj.2.'!J635</f>
        <v>0</v>
      </c>
      <c r="K635" s="25">
        <f>0+'táj.2.'!K635</f>
        <v>0</v>
      </c>
      <c r="L635" s="25">
        <f>0+'táj.2.'!L635</f>
        <v>0</v>
      </c>
      <c r="M635" s="25">
        <f>0+'táj.2.'!M635</f>
        <v>0</v>
      </c>
      <c r="N635" s="25">
        <f>0+'táj.2.'!N635</f>
        <v>0</v>
      </c>
      <c r="O635" s="25">
        <f>0+'táj.2.'!O635</f>
        <v>0</v>
      </c>
      <c r="P635" s="25">
        <f>0+'táj.2.'!P635</f>
        <v>0</v>
      </c>
      <c r="Q635" s="25">
        <f>SUM(G635:P635)</f>
        <v>8000</v>
      </c>
    </row>
    <row r="636" spans="1:17" ht="27.75" customHeight="1">
      <c r="A636" s="23"/>
      <c r="B636" s="23"/>
      <c r="C636" s="387"/>
      <c r="D636" s="197" t="s">
        <v>1239</v>
      </c>
      <c r="E636" s="15">
        <v>1</v>
      </c>
      <c r="F636" s="13">
        <v>181901</v>
      </c>
      <c r="G636" s="25">
        <f>0+'táj.2.'!G636</f>
        <v>30</v>
      </c>
      <c r="H636" s="25">
        <f>0+'táj.2.'!H636</f>
        <v>8</v>
      </c>
      <c r="I636" s="25">
        <f>27805+'táj.2.'!I636</f>
        <v>27767</v>
      </c>
      <c r="J636" s="25">
        <f>0+'táj.2.'!J636</f>
        <v>0</v>
      </c>
      <c r="K636" s="25">
        <f>0+'táj.2.'!K636</f>
        <v>0</v>
      </c>
      <c r="L636" s="25">
        <f>0+'táj.2.'!L636</f>
        <v>0</v>
      </c>
      <c r="M636" s="25">
        <f>0+'táj.2.'!M636</f>
        <v>0</v>
      </c>
      <c r="N636" s="25">
        <f>715+'táj.2.'!N636</f>
        <v>715</v>
      </c>
      <c r="O636" s="25">
        <f>0+'táj.2.'!O636</f>
        <v>0</v>
      </c>
      <c r="P636" s="25">
        <f>0+'táj.2.'!P636</f>
        <v>0</v>
      </c>
      <c r="Q636" s="25">
        <f>SUM(G636:P636)</f>
        <v>28520</v>
      </c>
    </row>
    <row r="637" spans="1:17" ht="13.5" customHeight="1">
      <c r="A637" s="23"/>
      <c r="B637" s="23"/>
      <c r="C637" s="387"/>
      <c r="D637" s="16" t="s">
        <v>975</v>
      </c>
      <c r="E637" s="15">
        <v>1</v>
      </c>
      <c r="F637" s="13">
        <v>181906</v>
      </c>
      <c r="G637" s="25">
        <f>0+'táj.2.'!G637</f>
        <v>0</v>
      </c>
      <c r="H637" s="25">
        <f>0+'táj.2.'!H637</f>
        <v>0</v>
      </c>
      <c r="I637" s="25">
        <f>1397+'táj.2.'!I637</f>
        <v>1397</v>
      </c>
      <c r="J637" s="25">
        <f>0+'táj.2.'!J637</f>
        <v>0</v>
      </c>
      <c r="K637" s="25">
        <f>0+'táj.2.'!K637</f>
        <v>0</v>
      </c>
      <c r="L637" s="25">
        <f>0+'táj.2.'!L637</f>
        <v>0</v>
      </c>
      <c r="M637" s="25">
        <f>0+'táj.2.'!M637</f>
        <v>0</v>
      </c>
      <c r="N637" s="25">
        <f>0+'táj.2.'!N637</f>
        <v>0</v>
      </c>
      <c r="O637" s="25">
        <f>0+'táj.2.'!O637</f>
        <v>0</v>
      </c>
      <c r="P637" s="25">
        <f>0+'táj.2.'!P637</f>
        <v>0</v>
      </c>
      <c r="Q637" s="25">
        <f>SUM(G637:P637)</f>
        <v>1397</v>
      </c>
    </row>
    <row r="638" spans="1:17" ht="15" customHeight="1">
      <c r="A638" s="23"/>
      <c r="B638" s="23"/>
      <c r="C638" s="387"/>
      <c r="D638" s="343" t="s">
        <v>414</v>
      </c>
      <c r="E638" s="353"/>
      <c r="F638" s="652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ht="24.75" customHeight="1">
      <c r="A639" s="23"/>
      <c r="B639" s="23"/>
      <c r="C639" s="387"/>
      <c r="D639" s="202" t="s">
        <v>976</v>
      </c>
      <c r="E639" s="337">
        <v>1</v>
      </c>
      <c r="F639" s="23">
        <v>181907</v>
      </c>
      <c r="G639" s="25">
        <f>0+'táj.2.'!G639</f>
        <v>0</v>
      </c>
      <c r="H639" s="25">
        <f>0+'táj.2.'!H639</f>
        <v>0</v>
      </c>
      <c r="I639" s="25">
        <f>4255+'táj.2.'!I639</f>
        <v>4530</v>
      </c>
      <c r="J639" s="25">
        <f>0+'táj.2.'!J639</f>
        <v>0</v>
      </c>
      <c r="K639" s="25">
        <f>0+'táj.2.'!K639</f>
        <v>0</v>
      </c>
      <c r="L639" s="25">
        <f>0+'táj.2.'!L639</f>
        <v>0</v>
      </c>
      <c r="M639" s="25">
        <f>0+'táj.2.'!M639</f>
        <v>0</v>
      </c>
      <c r="N639" s="25">
        <f>0+'táj.2.'!N639</f>
        <v>0</v>
      </c>
      <c r="O639" s="25">
        <f>0+'táj.2.'!O639</f>
        <v>0</v>
      </c>
      <c r="P639" s="25"/>
      <c r="Q639" s="25">
        <f>SUM(G639:P639)</f>
        <v>4530</v>
      </c>
    </row>
    <row r="640" spans="1:17" ht="12.75" customHeight="1">
      <c r="A640" s="23"/>
      <c r="B640" s="23"/>
      <c r="C640" s="387"/>
      <c r="D640" s="202" t="s">
        <v>977</v>
      </c>
      <c r="E640" s="337">
        <v>1</v>
      </c>
      <c r="F640" s="23">
        <v>181909</v>
      </c>
      <c r="G640" s="25">
        <f>0+'táj.2.'!G640</f>
        <v>0</v>
      </c>
      <c r="H640" s="25">
        <f>0+'táj.2.'!H640</f>
        <v>0</v>
      </c>
      <c r="I640" s="25">
        <f>724+'táj.2.'!I640</f>
        <v>724</v>
      </c>
      <c r="J640" s="25">
        <f>0+'táj.2.'!J640</f>
        <v>0</v>
      </c>
      <c r="K640" s="25">
        <f>450+'táj.2.'!K640</f>
        <v>450</v>
      </c>
      <c r="L640" s="25">
        <f>0+'táj.2.'!L640</f>
        <v>0</v>
      </c>
      <c r="M640" s="25">
        <f>0+'táj.2.'!M640</f>
        <v>0</v>
      </c>
      <c r="N640" s="25">
        <f>0+'táj.2.'!N640</f>
        <v>0</v>
      </c>
      <c r="O640" s="25">
        <f>0+'táj.2.'!O640</f>
        <v>0</v>
      </c>
      <c r="P640" s="25">
        <f>0+'táj.2.'!P640</f>
        <v>0</v>
      </c>
      <c r="Q640" s="25">
        <f>SUM(G640:P640)</f>
        <v>1174</v>
      </c>
    </row>
    <row r="641" spans="1:17" ht="17.25" customHeight="1">
      <c r="A641" s="23"/>
      <c r="B641" s="23"/>
      <c r="C641" s="387"/>
      <c r="D641" s="202" t="s">
        <v>978</v>
      </c>
      <c r="E641" s="337">
        <v>1</v>
      </c>
      <c r="F641" s="23">
        <v>181913</v>
      </c>
      <c r="G641" s="25">
        <f>0+'táj.2.'!G641</f>
        <v>0</v>
      </c>
      <c r="H641" s="25">
        <f>0+'táj.2.'!H641</f>
        <v>0</v>
      </c>
      <c r="I641" s="25">
        <f>300+'táj.2.'!I641</f>
        <v>300</v>
      </c>
      <c r="J641" s="25">
        <f>0+'táj.2.'!J641</f>
        <v>0</v>
      </c>
      <c r="K641" s="25">
        <f>0+'táj.2.'!K641</f>
        <v>0</v>
      </c>
      <c r="L641" s="25">
        <f>0+'táj.2.'!L641</f>
        <v>0</v>
      </c>
      <c r="M641" s="25">
        <f>0+'táj.2.'!M641</f>
        <v>0</v>
      </c>
      <c r="N641" s="25">
        <f>0+'táj.2.'!N641</f>
        <v>0</v>
      </c>
      <c r="O641" s="25">
        <f>0+'táj.2.'!O641</f>
        <v>0</v>
      </c>
      <c r="P641" s="25">
        <f>0+'táj.2.'!P641</f>
        <v>0</v>
      </c>
      <c r="Q641" s="25">
        <f>SUM(G641:P641)</f>
        <v>300</v>
      </c>
    </row>
    <row r="642" spans="1:17" ht="17.25" customHeight="1">
      <c r="A642" s="23"/>
      <c r="B642" s="23"/>
      <c r="C642" s="387"/>
      <c r="D642" s="202" t="s">
        <v>431</v>
      </c>
      <c r="E642" s="337">
        <v>1</v>
      </c>
      <c r="F642" s="23">
        <v>181908</v>
      </c>
      <c r="G642" s="25">
        <f>0+'táj.2.'!G642</f>
        <v>0</v>
      </c>
      <c r="H642" s="25">
        <f>0+'táj.2.'!H642</f>
        <v>0</v>
      </c>
      <c r="I642" s="25">
        <f>0+'táj.2.'!I642</f>
        <v>0</v>
      </c>
      <c r="J642" s="25">
        <f>0+'táj.2.'!J642</f>
        <v>0</v>
      </c>
      <c r="K642" s="25">
        <f>2000+'táj.2.'!K642</f>
        <v>2000</v>
      </c>
      <c r="L642" s="25">
        <f>0+'táj.2.'!L642</f>
        <v>0</v>
      </c>
      <c r="M642" s="25">
        <f>0+'táj.2.'!M642</f>
        <v>0</v>
      </c>
      <c r="N642" s="25">
        <f>0+'táj.2.'!N642</f>
        <v>0</v>
      </c>
      <c r="O642" s="25">
        <f>0+'táj.2.'!O642</f>
        <v>0</v>
      </c>
      <c r="P642" s="25">
        <f>0+'táj.2.'!P642</f>
        <v>0</v>
      </c>
      <c r="Q642" s="25">
        <f>SUM(G642:P642)</f>
        <v>2000</v>
      </c>
    </row>
    <row r="643" spans="1:17" ht="15" customHeight="1">
      <c r="A643" s="23"/>
      <c r="B643" s="23"/>
      <c r="C643" s="387"/>
      <c r="D643" s="202" t="s">
        <v>979</v>
      </c>
      <c r="E643" s="337"/>
      <c r="F643" s="23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</row>
    <row r="644" spans="1:17" ht="15" customHeight="1">
      <c r="A644" s="23"/>
      <c r="B644" s="23"/>
      <c r="C644" s="387"/>
      <c r="D644" s="202" t="s">
        <v>980</v>
      </c>
      <c r="E644" s="337">
        <v>1</v>
      </c>
      <c r="F644" s="23">
        <v>181902</v>
      </c>
      <c r="G644" s="25">
        <f>0+'táj.2.'!G644</f>
        <v>0</v>
      </c>
      <c r="H644" s="25">
        <f>0+'táj.2.'!H644</f>
        <v>0</v>
      </c>
      <c r="I644" s="25">
        <f>200+'táj.2.'!I644</f>
        <v>200</v>
      </c>
      <c r="J644" s="25">
        <f>0+'táj.2.'!J644</f>
        <v>0</v>
      </c>
      <c r="K644" s="25">
        <f>0+'táj.2.'!K644</f>
        <v>0</v>
      </c>
      <c r="L644" s="25">
        <f>0+'táj.2.'!L644</f>
        <v>0</v>
      </c>
      <c r="M644" s="25">
        <f>0+'táj.2.'!M644</f>
        <v>0</v>
      </c>
      <c r="N644" s="25">
        <f>0+'táj.2.'!N644</f>
        <v>0</v>
      </c>
      <c r="O644" s="25">
        <f>0+'táj.2.'!O644</f>
        <v>0</v>
      </c>
      <c r="P644" s="25">
        <f>0+'táj.2.'!P644</f>
        <v>0</v>
      </c>
      <c r="Q644" s="25">
        <f>SUM(G644:P644)</f>
        <v>200</v>
      </c>
    </row>
    <row r="645" spans="1:17" ht="13.5" customHeight="1">
      <c r="A645" s="484"/>
      <c r="B645" s="484"/>
      <c r="C645" s="484"/>
      <c r="D645" s="24" t="s">
        <v>981</v>
      </c>
      <c r="E645" s="25">
        <v>1</v>
      </c>
      <c r="F645" s="23">
        <v>181904</v>
      </c>
      <c r="G645" s="25">
        <f>0+'táj.2.'!G645</f>
        <v>0</v>
      </c>
      <c r="H645" s="25">
        <f>0+'táj.2.'!H645</f>
        <v>0</v>
      </c>
      <c r="I645" s="25">
        <f>150+'táj.2.'!I645</f>
        <v>150</v>
      </c>
      <c r="J645" s="25">
        <f>0+'táj.2.'!J645</f>
        <v>0</v>
      </c>
      <c r="K645" s="25">
        <f>0+'táj.2.'!K645</f>
        <v>0</v>
      </c>
      <c r="L645" s="25">
        <f>0+'táj.2.'!L645</f>
        <v>0</v>
      </c>
      <c r="M645" s="25">
        <f>0+'táj.2.'!M645</f>
        <v>0</v>
      </c>
      <c r="N645" s="25">
        <f>0+'táj.2.'!N645</f>
        <v>0</v>
      </c>
      <c r="O645" s="25">
        <f>0+'táj.2.'!O645</f>
        <v>0</v>
      </c>
      <c r="P645" s="25">
        <f>0+'táj.2.'!P645</f>
        <v>0</v>
      </c>
      <c r="Q645" s="25">
        <f>SUM(G645:P645)</f>
        <v>150</v>
      </c>
    </row>
    <row r="646" spans="1:17" ht="15" customHeight="1">
      <c r="A646" s="19"/>
      <c r="B646" s="19"/>
      <c r="C646" s="18"/>
      <c r="D646" s="18" t="s">
        <v>982</v>
      </c>
      <c r="E646" s="347"/>
      <c r="F646" s="649"/>
      <c r="G646" s="19">
        <f>SUM(G633:G645)</f>
        <v>30</v>
      </c>
      <c r="H646" s="19">
        <f>SUM(H633:H645)</f>
        <v>8</v>
      </c>
      <c r="I646" s="19">
        <f aca="true" t="shared" si="42" ref="I646:N646">SUM(I633:I645)</f>
        <v>43068</v>
      </c>
      <c r="J646" s="19">
        <f t="shared" si="42"/>
        <v>0</v>
      </c>
      <c r="K646" s="19">
        <f t="shared" si="42"/>
        <v>2450</v>
      </c>
      <c r="L646" s="19">
        <f t="shared" si="42"/>
        <v>0</v>
      </c>
      <c r="M646" s="19">
        <f t="shared" si="42"/>
        <v>0</v>
      </c>
      <c r="N646" s="19">
        <f t="shared" si="42"/>
        <v>715</v>
      </c>
      <c r="O646" s="19"/>
      <c r="P646" s="19">
        <f>SUM(P633:P645)</f>
        <v>0</v>
      </c>
      <c r="Q646" s="19">
        <f>SUM(Q633:Q645)</f>
        <v>46271</v>
      </c>
    </row>
    <row r="647" spans="1:17" ht="15" customHeight="1">
      <c r="A647" s="20"/>
      <c r="B647" s="20"/>
      <c r="C647" s="21"/>
      <c r="D647" s="487" t="s">
        <v>983</v>
      </c>
      <c r="E647" s="22"/>
      <c r="F647" s="659"/>
      <c r="G647" s="20"/>
      <c r="H647" s="20"/>
      <c r="I647" s="20"/>
      <c r="J647" s="20"/>
      <c r="K647" s="20"/>
      <c r="L647" s="15"/>
      <c r="M647" s="15"/>
      <c r="N647" s="15"/>
      <c r="O647" s="15"/>
      <c r="P647" s="15"/>
      <c r="Q647" s="15"/>
    </row>
    <row r="648" spans="1:17" ht="15" customHeight="1">
      <c r="A648" s="20"/>
      <c r="B648" s="20"/>
      <c r="C648" s="365" t="s">
        <v>623</v>
      </c>
      <c r="D648" s="119" t="s">
        <v>984</v>
      </c>
      <c r="E648" s="22"/>
      <c r="F648" s="650">
        <v>182903</v>
      </c>
      <c r="G648" s="15">
        <f>0+'táj.2.'!G648</f>
        <v>0</v>
      </c>
      <c r="H648" s="15">
        <f>0+'táj.2.'!H648</f>
        <v>0</v>
      </c>
      <c r="I648" s="15">
        <f>0+'táj.2.'!I648</f>
        <v>0</v>
      </c>
      <c r="J648" s="15">
        <f>0+'táj.2.'!J648</f>
        <v>0</v>
      </c>
      <c r="K648" s="15">
        <f>0+'táj.2.'!K648</f>
        <v>0</v>
      </c>
      <c r="L648" s="15">
        <f>0+'táj.2.'!L648</f>
        <v>0</v>
      </c>
      <c r="M648" s="15">
        <f>0+'táj.2.'!M648</f>
        <v>0</v>
      </c>
      <c r="N648" s="15">
        <f>700+'táj.2.'!N648</f>
        <v>700</v>
      </c>
      <c r="O648" s="15">
        <f>0+'táj.2.'!O648</f>
        <v>0</v>
      </c>
      <c r="P648" s="15">
        <f>0+'táj.2.'!P648</f>
        <v>0</v>
      </c>
      <c r="Q648" s="15">
        <f>SUM(G648:P648)</f>
        <v>700</v>
      </c>
    </row>
    <row r="649" spans="1:17" ht="15" customHeight="1">
      <c r="A649" s="20"/>
      <c r="B649" s="20"/>
      <c r="C649" s="365"/>
      <c r="D649" s="119" t="s">
        <v>1403</v>
      </c>
      <c r="E649" s="22"/>
      <c r="F649" s="650"/>
      <c r="G649" s="15"/>
      <c r="H649" s="20"/>
      <c r="I649" s="20"/>
      <c r="J649" s="20"/>
      <c r="K649" s="20"/>
      <c r="L649" s="15"/>
      <c r="M649" s="15"/>
      <c r="N649" s="15"/>
      <c r="O649" s="15"/>
      <c r="P649" s="15"/>
      <c r="Q649" s="15"/>
    </row>
    <row r="650" spans="1:17" ht="15" customHeight="1">
      <c r="A650" s="20"/>
      <c r="B650" s="20"/>
      <c r="C650" s="365" t="s">
        <v>496</v>
      </c>
      <c r="D650" s="130" t="s">
        <v>1190</v>
      </c>
      <c r="E650" s="22"/>
      <c r="F650" s="650">
        <v>182904</v>
      </c>
      <c r="G650" s="15">
        <f>0+'táj.2.'!G650</f>
        <v>0</v>
      </c>
      <c r="H650" s="15">
        <f>0+'táj.2.'!H650</f>
        <v>0</v>
      </c>
      <c r="I650" s="15">
        <f>0+'táj.2.'!I650</f>
        <v>0</v>
      </c>
      <c r="J650" s="15">
        <f>0+'táj.2.'!J650</f>
        <v>0</v>
      </c>
      <c r="K650" s="15">
        <f>0+'táj.2.'!K650</f>
        <v>0</v>
      </c>
      <c r="L650" s="15">
        <f>1000+'táj.2.'!L650</f>
        <v>1000</v>
      </c>
      <c r="M650" s="15">
        <f>0+'táj.2.'!M650</f>
        <v>0</v>
      </c>
      <c r="N650" s="15">
        <f>0+'táj.2.'!N650</f>
        <v>0</v>
      </c>
      <c r="O650" s="15">
        <f>0+'táj.2.'!O650</f>
        <v>0</v>
      </c>
      <c r="P650" s="15">
        <f>0+'táj.2.'!P650</f>
        <v>0</v>
      </c>
      <c r="Q650" s="15">
        <f>SUM(L650:P650)</f>
        <v>1000</v>
      </c>
    </row>
    <row r="651" spans="1:17" ht="15" customHeight="1">
      <c r="A651" s="19"/>
      <c r="B651" s="19"/>
      <c r="C651" s="18"/>
      <c r="D651" s="18" t="s">
        <v>465</v>
      </c>
      <c r="E651" s="347"/>
      <c r="F651" s="649"/>
      <c r="G651" s="19">
        <f aca="true" t="shared" si="43" ref="G651:Q651">SUM(G646:G650)</f>
        <v>30</v>
      </c>
      <c r="H651" s="19">
        <f t="shared" si="43"/>
        <v>8</v>
      </c>
      <c r="I651" s="19">
        <f t="shared" si="43"/>
        <v>43068</v>
      </c>
      <c r="J651" s="19">
        <f t="shared" si="43"/>
        <v>0</v>
      </c>
      <c r="K651" s="19">
        <f t="shared" si="43"/>
        <v>2450</v>
      </c>
      <c r="L651" s="19">
        <f t="shared" si="43"/>
        <v>1000</v>
      </c>
      <c r="M651" s="19">
        <f t="shared" si="43"/>
        <v>0</v>
      </c>
      <c r="N651" s="19">
        <f t="shared" si="43"/>
        <v>1415</v>
      </c>
      <c r="O651" s="19">
        <f t="shared" si="43"/>
        <v>0</v>
      </c>
      <c r="P651" s="19">
        <f t="shared" si="43"/>
        <v>0</v>
      </c>
      <c r="Q651" s="19">
        <f t="shared" si="43"/>
        <v>47971</v>
      </c>
    </row>
    <row r="652" spans="1:17" ht="15" customHeight="1">
      <c r="A652" s="23">
        <v>1</v>
      </c>
      <c r="B652" s="23">
        <v>19</v>
      </c>
      <c r="C652" s="387"/>
      <c r="D652" s="28" t="s">
        <v>985</v>
      </c>
      <c r="E652" s="185"/>
      <c r="F652" s="658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</row>
    <row r="653" spans="1:17" ht="15" customHeight="1">
      <c r="A653" s="23"/>
      <c r="B653" s="23"/>
      <c r="C653" s="387"/>
      <c r="D653" s="118" t="s">
        <v>986</v>
      </c>
      <c r="E653" s="78"/>
      <c r="F653" s="658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7" ht="15" customHeight="1">
      <c r="A654" s="23"/>
      <c r="B654" s="23"/>
      <c r="C654" s="387"/>
      <c r="D654" s="16" t="s">
        <v>987</v>
      </c>
      <c r="E654" s="337">
        <v>1</v>
      </c>
      <c r="F654" s="23">
        <v>191101</v>
      </c>
      <c r="G654" s="25">
        <f>0+'táj.2.'!G654</f>
        <v>0</v>
      </c>
      <c r="H654" s="25">
        <f>0+'táj.2.'!H654</f>
        <v>0</v>
      </c>
      <c r="I654" s="25">
        <f>4217+'táj.2.'!I654</f>
        <v>4217</v>
      </c>
      <c r="J654" s="25">
        <f>0+'táj.2.'!J654</f>
        <v>0</v>
      </c>
      <c r="K654" s="25">
        <f>5783+'táj.2.'!K654</f>
        <v>5783</v>
      </c>
      <c r="L654" s="25">
        <f>0+'táj.2.'!L654</f>
        <v>0</v>
      </c>
      <c r="M654" s="25">
        <f>0+'táj.2.'!M654</f>
        <v>0</v>
      </c>
      <c r="N654" s="25">
        <f>0+'táj.2.'!N654</f>
        <v>0</v>
      </c>
      <c r="O654" s="25">
        <f>0+'táj.2.'!O654</f>
        <v>0</v>
      </c>
      <c r="P654" s="25">
        <f>0+'táj.2.'!P654</f>
        <v>0</v>
      </c>
      <c r="Q654" s="25">
        <f>SUM(G654:P654)</f>
        <v>10000</v>
      </c>
    </row>
    <row r="655" spans="1:17" ht="15" customHeight="1">
      <c r="A655" s="23"/>
      <c r="B655" s="23"/>
      <c r="C655" s="387"/>
      <c r="D655" s="16" t="s">
        <v>31</v>
      </c>
      <c r="E655" s="337">
        <v>1</v>
      </c>
      <c r="F655" s="23">
        <v>191901</v>
      </c>
      <c r="G655" s="25"/>
      <c r="H655" s="25"/>
      <c r="I655" s="25"/>
      <c r="J655" s="25"/>
      <c r="K655" s="25"/>
      <c r="L655" s="25"/>
      <c r="M655" s="25"/>
      <c r="N655" s="25"/>
      <c r="O655" s="25"/>
      <c r="P655" s="25">
        <f>63709+'táj.2.'!P655</f>
        <v>63709</v>
      </c>
      <c r="Q655" s="25">
        <f>SUM(G655:P655)</f>
        <v>63709</v>
      </c>
    </row>
    <row r="656" spans="1:17" ht="15" customHeight="1">
      <c r="A656" s="23"/>
      <c r="B656" s="23"/>
      <c r="C656" s="387"/>
      <c r="D656" s="343" t="s">
        <v>414</v>
      </c>
      <c r="E656" s="353"/>
      <c r="F656" s="652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1:17" ht="15" customHeight="1">
      <c r="A657" s="23"/>
      <c r="B657" s="23"/>
      <c r="C657" s="387"/>
      <c r="D657" s="24" t="s">
        <v>988</v>
      </c>
      <c r="E657" s="337">
        <v>1</v>
      </c>
      <c r="F657" s="23">
        <v>191102</v>
      </c>
      <c r="G657" s="25">
        <f>0+'táj.2.'!G657</f>
        <v>0</v>
      </c>
      <c r="H657" s="25">
        <f>0+'táj.2.'!H657</f>
        <v>0</v>
      </c>
      <c r="I657" s="25">
        <f>20000+'táj.2.'!I657</f>
        <v>20000</v>
      </c>
      <c r="J657" s="25">
        <f>0+'táj.2.'!J657</f>
        <v>0</v>
      </c>
      <c r="K657" s="25">
        <f>0+'táj.2.'!K657</f>
        <v>0</v>
      </c>
      <c r="L657" s="25">
        <f>0+'táj.2.'!L657</f>
        <v>0</v>
      </c>
      <c r="M657" s="25">
        <f>0+'táj.2.'!M657</f>
        <v>0</v>
      </c>
      <c r="N657" s="25">
        <f>0+'táj.2.'!N657</f>
        <v>0</v>
      </c>
      <c r="O657" s="25">
        <f>0+'táj.2.'!O657</f>
        <v>0</v>
      </c>
      <c r="P657" s="25">
        <f>0+'táj.2.'!P657</f>
        <v>0</v>
      </c>
      <c r="Q657" s="25">
        <f>SUM(G657:P657)</f>
        <v>20000</v>
      </c>
    </row>
    <row r="658" spans="1:17" ht="15" customHeight="1">
      <c r="A658" s="23"/>
      <c r="B658" s="23"/>
      <c r="C658" s="387"/>
      <c r="D658" s="24" t="s">
        <v>707</v>
      </c>
      <c r="E658" s="25">
        <v>1</v>
      </c>
      <c r="F658" s="23">
        <v>191103</v>
      </c>
      <c r="G658" s="25">
        <f>0+'táj.2.'!G658</f>
        <v>0</v>
      </c>
      <c r="H658" s="25">
        <f>0+'táj.2.'!H658</f>
        <v>0</v>
      </c>
      <c r="I658" s="25">
        <f>239968+'táj.2.'!I658</f>
        <v>245454</v>
      </c>
      <c r="J658" s="25">
        <f>0+'táj.2.'!J658</f>
        <v>0</v>
      </c>
      <c r="K658" s="25">
        <f>0+'táj.2.'!K658</f>
        <v>0</v>
      </c>
      <c r="L658" s="25">
        <f>0+'táj.2.'!L658</f>
        <v>0</v>
      </c>
      <c r="M658" s="25">
        <f>0+'táj.2.'!M658</f>
        <v>0</v>
      </c>
      <c r="N658" s="25">
        <f>0+'táj.2.'!N658</f>
        <v>0</v>
      </c>
      <c r="O658" s="25">
        <f>0+'táj.2.'!O658</f>
        <v>0</v>
      </c>
      <c r="P658" s="25">
        <f>0+'táj.2.'!P658</f>
        <v>0</v>
      </c>
      <c r="Q658" s="25">
        <f>SUM(G658:P658)</f>
        <v>245454</v>
      </c>
    </row>
    <row r="659" spans="1:17" ht="15" customHeight="1">
      <c r="A659" s="23"/>
      <c r="B659" s="23"/>
      <c r="C659" s="387"/>
      <c r="D659" s="24" t="s">
        <v>989</v>
      </c>
      <c r="E659" s="25">
        <v>1</v>
      </c>
      <c r="F659" s="23">
        <v>191105</v>
      </c>
      <c r="G659" s="25">
        <f>0+'táj.2.'!G659</f>
        <v>0</v>
      </c>
      <c r="H659" s="25">
        <f>0+'táj.2.'!H659</f>
        <v>0</v>
      </c>
      <c r="I659" s="25">
        <f>2980+'táj.2.'!I659</f>
        <v>2980</v>
      </c>
      <c r="J659" s="25">
        <f>0+'táj.2.'!J659</f>
        <v>0</v>
      </c>
      <c r="K659" s="25">
        <f>0+'táj.2.'!K659</f>
        <v>0</v>
      </c>
      <c r="L659" s="25">
        <f>0+'táj.2.'!L659</f>
        <v>0</v>
      </c>
      <c r="M659" s="25">
        <f>0+'táj.2.'!M659</f>
        <v>0</v>
      </c>
      <c r="N659" s="25">
        <f>0+'táj.2.'!N659</f>
        <v>0</v>
      </c>
      <c r="O659" s="25">
        <f>0+'táj.2.'!O659</f>
        <v>0</v>
      </c>
      <c r="P659" s="25">
        <f>0+'táj.2.'!P659</f>
        <v>0</v>
      </c>
      <c r="Q659" s="25">
        <f>SUM(G659:P659)</f>
        <v>2980</v>
      </c>
    </row>
    <row r="660" spans="1:17" ht="15" customHeight="1">
      <c r="A660" s="23"/>
      <c r="B660" s="23"/>
      <c r="C660" s="387"/>
      <c r="D660" s="24" t="s">
        <v>990</v>
      </c>
      <c r="E660" s="25">
        <v>1</v>
      </c>
      <c r="F660" s="23">
        <v>196901</v>
      </c>
      <c r="G660" s="25">
        <f>0+'táj.2.'!G660</f>
        <v>0</v>
      </c>
      <c r="H660" s="25">
        <f>0+'táj.2.'!H660</f>
        <v>0</v>
      </c>
      <c r="I660" s="25">
        <f>400+'táj.2.'!I660</f>
        <v>400</v>
      </c>
      <c r="J660" s="25">
        <f>0+'táj.2.'!J660</f>
        <v>0</v>
      </c>
      <c r="K660" s="25">
        <f>0+'táj.2.'!K660</f>
        <v>0</v>
      </c>
      <c r="L660" s="25">
        <f>0+'táj.2.'!L660</f>
        <v>0</v>
      </c>
      <c r="M660" s="25">
        <f>0+'táj.2.'!M660</f>
        <v>0</v>
      </c>
      <c r="N660" s="25">
        <f>9217+'táj.2.'!N660</f>
        <v>9217</v>
      </c>
      <c r="O660" s="25">
        <f>0+'táj.2.'!O660</f>
        <v>0</v>
      </c>
      <c r="P660" s="25">
        <f>0+'táj.2.'!P660</f>
        <v>0</v>
      </c>
      <c r="Q660" s="25">
        <f>SUM(G660:P660)</f>
        <v>9617</v>
      </c>
    </row>
    <row r="661" spans="1:17" ht="15" customHeight="1">
      <c r="A661" s="23"/>
      <c r="B661" s="23"/>
      <c r="C661" s="387"/>
      <c r="D661" s="24" t="s">
        <v>360</v>
      </c>
      <c r="E661" s="25"/>
      <c r="F661" s="23"/>
      <c r="G661" s="25"/>
      <c r="H661" s="25"/>
      <c r="I661" s="15"/>
      <c r="J661" s="25"/>
      <c r="K661" s="25"/>
      <c r="L661" s="25"/>
      <c r="M661" s="25"/>
      <c r="N661" s="25"/>
      <c r="O661" s="25"/>
      <c r="P661" s="25"/>
      <c r="Q661" s="25"/>
    </row>
    <row r="662" spans="1:17" ht="15" customHeight="1">
      <c r="A662" s="23"/>
      <c r="B662" s="23"/>
      <c r="C662" s="387"/>
      <c r="D662" s="24" t="s">
        <v>991</v>
      </c>
      <c r="E662" s="25">
        <v>1</v>
      </c>
      <c r="F662" s="23">
        <v>191104</v>
      </c>
      <c r="G662" s="25">
        <f>0+'táj.2.'!G662</f>
        <v>0</v>
      </c>
      <c r="H662" s="25">
        <f>0+'táj.2.'!H662</f>
        <v>0</v>
      </c>
      <c r="I662" s="25">
        <f>5000+'táj.2.'!I662</f>
        <v>5000</v>
      </c>
      <c r="J662" s="25">
        <f>0+'táj.2.'!J662</f>
        <v>0</v>
      </c>
      <c r="K662" s="25">
        <f>0+'táj.2.'!K662</f>
        <v>0</v>
      </c>
      <c r="L662" s="25">
        <f>0+'táj.2.'!L662</f>
        <v>0</v>
      </c>
      <c r="M662" s="25">
        <f>0+'táj.2.'!M662</f>
        <v>0</v>
      </c>
      <c r="N662" s="25">
        <f>0+'táj.2.'!N662</f>
        <v>0</v>
      </c>
      <c r="O662" s="25">
        <f>0+'táj.2.'!O662</f>
        <v>0</v>
      </c>
      <c r="P662" s="25">
        <f>0+'táj.2.'!P662</f>
        <v>0</v>
      </c>
      <c r="Q662" s="25">
        <f>SUM(G662:P662)</f>
        <v>5000</v>
      </c>
    </row>
    <row r="663" spans="1:17" ht="13.5" customHeight="1">
      <c r="A663" s="23"/>
      <c r="B663" s="23"/>
      <c r="C663" s="387"/>
      <c r="D663" s="119" t="s">
        <v>992</v>
      </c>
      <c r="E663" s="25"/>
      <c r="F663" s="23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1:17" ht="13.5" customHeight="1">
      <c r="A664" s="23"/>
      <c r="B664" s="23"/>
      <c r="C664" s="387"/>
      <c r="D664" s="24" t="s">
        <v>993</v>
      </c>
      <c r="E664" s="25">
        <v>2</v>
      </c>
      <c r="F664" s="23">
        <v>191109</v>
      </c>
      <c r="G664" s="25">
        <f>0+'táj.2.'!G664</f>
        <v>0</v>
      </c>
      <c r="H664" s="25">
        <f>0+'táj.2.'!H664</f>
        <v>0</v>
      </c>
      <c r="I664" s="25">
        <f>0+'táj.2.'!I664</f>
        <v>0</v>
      </c>
      <c r="J664" s="25">
        <f>0+'táj.2.'!J664</f>
        <v>0</v>
      </c>
      <c r="K664" s="25">
        <f>3500+'táj.2.'!K664</f>
        <v>3500</v>
      </c>
      <c r="L664" s="25">
        <f>0+'táj.2.'!L664</f>
        <v>0</v>
      </c>
      <c r="M664" s="25">
        <f>0+'táj.2.'!M664</f>
        <v>0</v>
      </c>
      <c r="N664" s="25">
        <f>0+'táj.2.'!N664</f>
        <v>0</v>
      </c>
      <c r="O664" s="25">
        <f>0+'táj.2.'!O664</f>
        <v>0</v>
      </c>
      <c r="P664" s="25">
        <f>0+'táj.2.'!P664</f>
        <v>0</v>
      </c>
      <c r="Q664" s="25">
        <f>SUM(G664:P664)</f>
        <v>3500</v>
      </c>
    </row>
    <row r="665" spans="1:17" ht="13.5" customHeight="1">
      <c r="A665" s="23"/>
      <c r="B665" s="23"/>
      <c r="C665" s="387"/>
      <c r="D665" s="24" t="s">
        <v>994</v>
      </c>
      <c r="E665" s="25"/>
      <c r="F665" s="23"/>
      <c r="G665" s="25"/>
      <c r="H665" s="15"/>
      <c r="I665" s="15"/>
      <c r="J665" s="15"/>
      <c r="K665" s="15"/>
      <c r="L665" s="25"/>
      <c r="M665" s="25"/>
      <c r="N665" s="25"/>
      <c r="O665" s="25"/>
      <c r="P665" s="25"/>
      <c r="Q665" s="25"/>
    </row>
    <row r="666" spans="1:17" ht="13.5" customHeight="1">
      <c r="A666" s="23"/>
      <c r="B666" s="23"/>
      <c r="C666" s="387"/>
      <c r="D666" s="24" t="s">
        <v>995</v>
      </c>
      <c r="E666" s="25">
        <v>2</v>
      </c>
      <c r="F666" s="23">
        <v>191401</v>
      </c>
      <c r="G666" s="25">
        <f>0+'táj.2.'!G666</f>
        <v>0</v>
      </c>
      <c r="H666" s="25">
        <f>0+'táj.2.'!H666</f>
        <v>0</v>
      </c>
      <c r="I666" s="25">
        <f>0+'táj.2.'!I666</f>
        <v>0</v>
      </c>
      <c r="J666" s="25">
        <f>0+'táj.2.'!J666</f>
        <v>0</v>
      </c>
      <c r="K666" s="25">
        <f>3000+'táj.2.'!K666</f>
        <v>3000</v>
      </c>
      <c r="L666" s="25">
        <f>0+'táj.2.'!L666</f>
        <v>0</v>
      </c>
      <c r="M666" s="25">
        <f>0+'táj.2.'!M666</f>
        <v>0</v>
      </c>
      <c r="N666" s="25">
        <f>0+'táj.2.'!N666</f>
        <v>0</v>
      </c>
      <c r="O666" s="25">
        <f>0+'táj.2.'!O666</f>
        <v>0</v>
      </c>
      <c r="P666" s="25">
        <f>0+'táj.2.'!P666</f>
        <v>0</v>
      </c>
      <c r="Q666" s="25">
        <f>SUM(G666:P666)</f>
        <v>3000</v>
      </c>
    </row>
    <row r="667" spans="1:17" ht="15" customHeight="1">
      <c r="A667" s="23"/>
      <c r="B667" s="23"/>
      <c r="C667" s="387"/>
      <c r="D667" s="343" t="s">
        <v>414</v>
      </c>
      <c r="E667" s="353"/>
      <c r="F667" s="652"/>
      <c r="G667" s="25"/>
      <c r="H667" s="15"/>
      <c r="I667" s="15"/>
      <c r="J667" s="15"/>
      <c r="K667" s="15"/>
      <c r="L667" s="25"/>
      <c r="M667" s="25"/>
      <c r="N667" s="25"/>
      <c r="O667" s="25"/>
      <c r="P667" s="25"/>
      <c r="Q667" s="25"/>
    </row>
    <row r="668" spans="1:17" ht="24.75" customHeight="1">
      <c r="A668" s="23"/>
      <c r="B668" s="23"/>
      <c r="C668" s="387"/>
      <c r="D668" s="204" t="s">
        <v>361</v>
      </c>
      <c r="E668" s="337">
        <v>1</v>
      </c>
      <c r="F668" s="23">
        <v>191905</v>
      </c>
      <c r="G668" s="25">
        <f>0+'táj.2.'!G668</f>
        <v>0</v>
      </c>
      <c r="H668" s="25">
        <f>0+'táj.2.'!H668</f>
        <v>0</v>
      </c>
      <c r="I668" s="25">
        <f>0+'táj.2.'!I668</f>
        <v>0</v>
      </c>
      <c r="J668" s="25">
        <f>0+'táj.2.'!J668</f>
        <v>0</v>
      </c>
      <c r="K668" s="25">
        <f>379799+'táj.2.'!K668</f>
        <v>414695</v>
      </c>
      <c r="L668" s="25">
        <f>0+'táj.2.'!L668</f>
        <v>0</v>
      </c>
      <c r="M668" s="25">
        <f>0+'táj.2.'!M668</f>
        <v>0</v>
      </c>
      <c r="N668" s="25">
        <f>0+'táj.2.'!N668</f>
        <v>0</v>
      </c>
      <c r="O668" s="25">
        <f>0+'táj.2.'!O668</f>
        <v>0</v>
      </c>
      <c r="P668" s="25">
        <f>0+'táj.2.'!P668</f>
        <v>0</v>
      </c>
      <c r="Q668" s="25">
        <f>SUM(G668:P668)</f>
        <v>414695</v>
      </c>
    </row>
    <row r="669" spans="1:17" ht="24.75" customHeight="1">
      <c r="A669" s="23"/>
      <c r="B669" s="23"/>
      <c r="C669" s="387"/>
      <c r="D669" s="202" t="s">
        <v>1096</v>
      </c>
      <c r="E669" s="337">
        <v>1</v>
      </c>
      <c r="F669" s="23">
        <v>191128</v>
      </c>
      <c r="G669" s="25">
        <f>'táj.2.'!G669</f>
        <v>0</v>
      </c>
      <c r="H669" s="25">
        <f>'táj.2.'!H669</f>
        <v>0</v>
      </c>
      <c r="I669" s="25">
        <f>'táj.2.'!I669</f>
        <v>0</v>
      </c>
      <c r="J669" s="25">
        <f>'táj.2.'!J669</f>
        <v>0</v>
      </c>
      <c r="K669" s="25">
        <f>4167+'táj.2.'!K669</f>
        <v>4167</v>
      </c>
      <c r="L669" s="25">
        <f>'táj.2.'!L669</f>
        <v>0</v>
      </c>
      <c r="M669" s="25">
        <f>'táj.2.'!M669</f>
        <v>0</v>
      </c>
      <c r="N669" s="25">
        <f>'táj.2.'!N669</f>
        <v>0</v>
      </c>
      <c r="O669" s="25">
        <f>'táj.2.'!O669</f>
        <v>0</v>
      </c>
      <c r="P669" s="25">
        <f>'táj.2.'!P669</f>
        <v>0</v>
      </c>
      <c r="Q669" s="25">
        <f>SUM(G669:P669)</f>
        <v>4167</v>
      </c>
    </row>
    <row r="670" spans="1:17" ht="13.5" customHeight="1">
      <c r="A670" s="23"/>
      <c r="B670" s="23"/>
      <c r="C670" s="387"/>
      <c r="D670" s="24" t="s">
        <v>996</v>
      </c>
      <c r="E670" s="337"/>
      <c r="F670" s="23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</row>
    <row r="671" spans="1:17" ht="13.5" customHeight="1">
      <c r="A671" s="23"/>
      <c r="B671" s="23"/>
      <c r="C671" s="387"/>
      <c r="D671" s="24" t="s">
        <v>997</v>
      </c>
      <c r="E671" s="25">
        <v>2</v>
      </c>
      <c r="F671" s="23">
        <v>191151</v>
      </c>
      <c r="G671" s="25">
        <f>0+'táj.2.'!G671</f>
        <v>0</v>
      </c>
      <c r="H671" s="25">
        <f>0+'táj.2.'!H671</f>
        <v>0</v>
      </c>
      <c r="I671" s="25">
        <f>0+'táj.2.'!I671</f>
        <v>0</v>
      </c>
      <c r="J671" s="25">
        <f>0+'táj.2.'!J671</f>
        <v>0</v>
      </c>
      <c r="K671" s="25">
        <f>60000+'táj.2.'!K671</f>
        <v>60000</v>
      </c>
      <c r="L671" s="25">
        <f>0+'táj.2.'!L671</f>
        <v>0</v>
      </c>
      <c r="M671" s="25">
        <f>0+'táj.2.'!M671</f>
        <v>0</v>
      </c>
      <c r="N671" s="25">
        <f>0+'táj.2.'!N671</f>
        <v>0</v>
      </c>
      <c r="O671" s="25">
        <f>0+'táj.2.'!O671</f>
        <v>0</v>
      </c>
      <c r="P671" s="25">
        <f>0+'táj.2.'!P671</f>
        <v>0</v>
      </c>
      <c r="Q671" s="25">
        <f>SUM(G671:P671)</f>
        <v>60000</v>
      </c>
    </row>
    <row r="672" spans="1:17" ht="15" customHeight="1">
      <c r="A672" s="23"/>
      <c r="B672" s="23"/>
      <c r="C672" s="387"/>
      <c r="D672" s="343" t="s">
        <v>414</v>
      </c>
      <c r="E672" s="353"/>
      <c r="F672" s="652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1:17" ht="13.5" customHeight="1">
      <c r="A673" s="23"/>
      <c r="B673" s="23"/>
      <c r="C673" s="387"/>
      <c r="D673" s="24" t="s">
        <v>998</v>
      </c>
      <c r="E673" s="25">
        <v>1</v>
      </c>
      <c r="F673" s="23">
        <v>191121</v>
      </c>
      <c r="G673" s="25">
        <f>0+'táj.2.'!G673</f>
        <v>0</v>
      </c>
      <c r="H673" s="25">
        <f>0+'táj.2.'!H673</f>
        <v>0</v>
      </c>
      <c r="I673" s="25">
        <f>13000+'táj.2.'!I673</f>
        <v>13000</v>
      </c>
      <c r="J673" s="25">
        <f>0+'táj.2.'!J673</f>
        <v>0</v>
      </c>
      <c r="K673" s="25">
        <f>0+'táj.2.'!K673</f>
        <v>0</v>
      </c>
      <c r="L673" s="25">
        <f>0+'táj.2.'!L673</f>
        <v>0</v>
      </c>
      <c r="M673" s="25">
        <f>0+'táj.2.'!M673</f>
        <v>0</v>
      </c>
      <c r="N673" s="25">
        <f>0+'táj.2.'!N673</f>
        <v>0</v>
      </c>
      <c r="O673" s="25">
        <f>0+'táj.2.'!O673</f>
        <v>0</v>
      </c>
      <c r="P673" s="25">
        <f>0+'táj.2.'!P673</f>
        <v>0</v>
      </c>
      <c r="Q673" s="25">
        <f>SUM(G673:P673)</f>
        <v>13000</v>
      </c>
    </row>
    <row r="674" spans="1:17" ht="13.5" customHeight="1">
      <c r="A674" s="23"/>
      <c r="B674" s="23"/>
      <c r="C674" s="387"/>
      <c r="D674" s="24" t="s">
        <v>999</v>
      </c>
      <c r="E674" s="337"/>
      <c r="F674" s="23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</row>
    <row r="675" spans="1:17" ht="24.75" customHeight="1">
      <c r="A675" s="23"/>
      <c r="B675" s="23"/>
      <c r="C675" s="387"/>
      <c r="D675" s="202" t="s">
        <v>1000</v>
      </c>
      <c r="E675" s="353">
        <v>2</v>
      </c>
      <c r="F675" s="652">
        <v>191142</v>
      </c>
      <c r="G675" s="25">
        <f>0+'táj.2.'!G675</f>
        <v>0</v>
      </c>
      <c r="H675" s="25">
        <f>0+'táj.2.'!H675</f>
        <v>0</v>
      </c>
      <c r="I675" s="25">
        <f>0+'táj.2.'!I675</f>
        <v>0</v>
      </c>
      <c r="J675" s="25">
        <f>0+'táj.2.'!J675</f>
        <v>0</v>
      </c>
      <c r="K675" s="25">
        <f>1000+'táj.2.'!K675</f>
        <v>1000</v>
      </c>
      <c r="L675" s="25">
        <f>0+'táj.2.'!L675</f>
        <v>0</v>
      </c>
      <c r="M675" s="25">
        <f>0+'táj.2.'!M675</f>
        <v>0</v>
      </c>
      <c r="N675" s="25">
        <f>0+'táj.2.'!N675</f>
        <v>0</v>
      </c>
      <c r="O675" s="25">
        <f>0+'táj.2.'!O675</f>
        <v>0</v>
      </c>
      <c r="P675" s="25">
        <f>0+'táj.2.'!P675</f>
        <v>0</v>
      </c>
      <c r="Q675" s="25">
        <f>SUM(G675:P675)</f>
        <v>1000</v>
      </c>
    </row>
    <row r="676" spans="1:17" ht="21.75" customHeight="1">
      <c r="A676" s="23"/>
      <c r="B676" s="23"/>
      <c r="C676" s="387"/>
      <c r="D676" s="202" t="s">
        <v>1001</v>
      </c>
      <c r="E676" s="353">
        <v>2</v>
      </c>
      <c r="F676" s="652">
        <v>191154</v>
      </c>
      <c r="G676" s="25">
        <f>0+'táj.2.'!G676</f>
        <v>0</v>
      </c>
      <c r="H676" s="25">
        <f>0+'táj.2.'!H676</f>
        <v>0</v>
      </c>
      <c r="I676" s="25">
        <f>0+'táj.2.'!I676</f>
        <v>0</v>
      </c>
      <c r="J676" s="25">
        <f>0+'táj.2.'!J676</f>
        <v>0</v>
      </c>
      <c r="K676" s="25">
        <f>2000+'táj.2.'!K676</f>
        <v>2000</v>
      </c>
      <c r="L676" s="25">
        <f>0+'táj.2.'!L676</f>
        <v>0</v>
      </c>
      <c r="M676" s="25">
        <f>0+'táj.2.'!M676</f>
        <v>0</v>
      </c>
      <c r="N676" s="25">
        <f>0+'táj.2.'!N676</f>
        <v>0</v>
      </c>
      <c r="O676" s="25">
        <f>0+'táj.2.'!O676</f>
        <v>0</v>
      </c>
      <c r="P676" s="25">
        <f>0+'táj.2.'!P676</f>
        <v>0</v>
      </c>
      <c r="Q676" s="25">
        <f>SUM(G676:P676)</f>
        <v>2000</v>
      </c>
    </row>
    <row r="677" spans="1:17" ht="13.5" customHeight="1">
      <c r="A677" s="23"/>
      <c r="B677" s="23"/>
      <c r="C677" s="387"/>
      <c r="D677" s="24" t="s">
        <v>1002</v>
      </c>
      <c r="E677" s="337"/>
      <c r="F677" s="23"/>
      <c r="G677" s="25">
        <f>0+'táj.2.'!G677</f>
        <v>0</v>
      </c>
      <c r="H677" s="25"/>
      <c r="I677" s="25"/>
      <c r="J677" s="25"/>
      <c r="K677" s="25"/>
      <c r="L677" s="25"/>
      <c r="M677" s="25"/>
      <c r="N677" s="25"/>
      <c r="O677" s="25"/>
      <c r="P677" s="25"/>
      <c r="Q677" s="25"/>
    </row>
    <row r="678" spans="1:17" ht="13.5" customHeight="1">
      <c r="A678" s="23"/>
      <c r="B678" s="23"/>
      <c r="C678" s="387"/>
      <c r="D678" s="202" t="s">
        <v>1003</v>
      </c>
      <c r="E678" s="359">
        <v>1</v>
      </c>
      <c r="F678" s="653">
        <v>191129</v>
      </c>
      <c r="G678" s="25">
        <f>0+'táj.2.'!G678</f>
        <v>0</v>
      </c>
      <c r="H678" s="25">
        <f>0+'táj.2.'!H678</f>
        <v>0</v>
      </c>
      <c r="I678" s="25">
        <f>0+'táj.2.'!I678</f>
        <v>0</v>
      </c>
      <c r="J678" s="25">
        <f>0+'táj.2.'!J678</f>
        <v>0</v>
      </c>
      <c r="K678" s="25">
        <f>150000+'táj.2.'!K678</f>
        <v>177342</v>
      </c>
      <c r="L678" s="25">
        <f>0+'táj.2.'!L678</f>
        <v>0</v>
      </c>
      <c r="M678" s="25">
        <f>0+'táj.2.'!M678</f>
        <v>0</v>
      </c>
      <c r="N678" s="25">
        <f>0+'táj.2.'!N678</f>
        <v>0</v>
      </c>
      <c r="O678" s="25">
        <f>0+'táj.2.'!O678</f>
        <v>0</v>
      </c>
      <c r="P678" s="25">
        <f>0+'táj.2.'!P678</f>
        <v>0</v>
      </c>
      <c r="Q678" s="25">
        <f>SUM(G678:P678)</f>
        <v>177342</v>
      </c>
    </row>
    <row r="679" spans="1:17" ht="24.75" customHeight="1">
      <c r="A679" s="23"/>
      <c r="B679" s="23"/>
      <c r="C679" s="387"/>
      <c r="D679" s="202" t="s">
        <v>1197</v>
      </c>
      <c r="E679" s="353"/>
      <c r="F679" s="652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</row>
    <row r="680" spans="1:17" ht="21.75" customHeight="1">
      <c r="A680" s="23"/>
      <c r="B680" s="23"/>
      <c r="C680" s="387"/>
      <c r="D680" s="202" t="s">
        <v>1004</v>
      </c>
      <c r="E680" s="353">
        <v>1</v>
      </c>
      <c r="F680" s="652">
        <v>191152</v>
      </c>
      <c r="G680" s="25">
        <f>0+'táj.2.'!G680</f>
        <v>0</v>
      </c>
      <c r="H680" s="25">
        <f>0+'táj.2.'!H680</f>
        <v>0</v>
      </c>
      <c r="I680" s="25">
        <f>22050+'táj.2.'!I680</f>
        <v>22050</v>
      </c>
      <c r="J680" s="25">
        <f>0+'táj.2.'!J680</f>
        <v>0</v>
      </c>
      <c r="K680" s="25">
        <f>0+'táj.2.'!K680</f>
        <v>0</v>
      </c>
      <c r="L680" s="25">
        <f>0+'táj.2.'!L680</f>
        <v>0</v>
      </c>
      <c r="M680" s="25">
        <f>0+'táj.2.'!M680</f>
        <v>0</v>
      </c>
      <c r="N680" s="25">
        <f>0+'táj.2.'!N680</f>
        <v>0</v>
      </c>
      <c r="O680" s="25">
        <f>0+'táj.2.'!O680</f>
        <v>0</v>
      </c>
      <c r="P680" s="25">
        <f>0+'táj.2.'!P680</f>
        <v>0</v>
      </c>
      <c r="Q680" s="25">
        <f>SUM(G680:P680)</f>
        <v>22050</v>
      </c>
    </row>
    <row r="681" spans="1:17" ht="13.5" customHeight="1">
      <c r="A681" s="23"/>
      <c r="B681" s="23"/>
      <c r="C681" s="387"/>
      <c r="D681" s="118" t="s">
        <v>1308</v>
      </c>
      <c r="E681" s="337"/>
      <c r="F681" s="23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>
        <f>SUM(G681:P681)</f>
        <v>0</v>
      </c>
    </row>
    <row r="682" spans="1:17" ht="13.5" customHeight="1">
      <c r="A682" s="23"/>
      <c r="B682" s="23"/>
      <c r="C682" s="387"/>
      <c r="D682" s="24" t="s">
        <v>597</v>
      </c>
      <c r="E682" s="25">
        <v>2</v>
      </c>
      <c r="F682" s="23">
        <v>191801</v>
      </c>
      <c r="G682" s="25">
        <f>0+'táj.2.'!G682</f>
        <v>0</v>
      </c>
      <c r="H682" s="25">
        <f>0+'táj.2.'!H682</f>
        <v>0</v>
      </c>
      <c r="I682" s="25">
        <f>0+'táj.2.'!I682</f>
        <v>0</v>
      </c>
      <c r="J682" s="25">
        <f>0+'táj.2.'!J682</f>
        <v>0</v>
      </c>
      <c r="K682" s="25">
        <f>41240+'táj.2.'!K682</f>
        <v>41240</v>
      </c>
      <c r="L682" s="25">
        <f>0+'táj.2.'!L682</f>
        <v>0</v>
      </c>
      <c r="M682" s="25">
        <f>0+'táj.2.'!M682</f>
        <v>0</v>
      </c>
      <c r="N682" s="25">
        <f>0+'táj.2.'!N682</f>
        <v>0</v>
      </c>
      <c r="O682" s="25">
        <f>0+'táj.2.'!O682</f>
        <v>0</v>
      </c>
      <c r="P682" s="25">
        <f>0+'táj.2.'!P682</f>
        <v>0</v>
      </c>
      <c r="Q682" s="25">
        <f>SUM(G682:P682)</f>
        <v>41240</v>
      </c>
    </row>
    <row r="683" spans="1:17" ht="13.5" customHeight="1">
      <c r="A683" s="23"/>
      <c r="B683" s="23"/>
      <c r="C683" s="387"/>
      <c r="D683" s="16" t="s">
        <v>966</v>
      </c>
      <c r="E683" s="15"/>
      <c r="F683" s="687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</row>
    <row r="684" spans="1:17" ht="13.5" customHeight="1">
      <c r="A684" s="23"/>
      <c r="B684" s="23"/>
      <c r="C684" s="387"/>
      <c r="D684" s="16" t="s">
        <v>21</v>
      </c>
      <c r="E684" s="15">
        <v>2</v>
      </c>
      <c r="F684" s="688">
        <v>191111</v>
      </c>
      <c r="G684" s="25">
        <f>0+'táj.2.'!G684</f>
        <v>0</v>
      </c>
      <c r="H684" s="25">
        <f>0+'táj.2.'!H684</f>
        <v>0</v>
      </c>
      <c r="I684" s="25">
        <f>0+'táj.2.'!I684</f>
        <v>0</v>
      </c>
      <c r="J684" s="25">
        <f>0+'táj.2.'!J684</f>
        <v>0</v>
      </c>
      <c r="K684" s="25">
        <f>4450+'táj.2.'!K684</f>
        <v>4450</v>
      </c>
      <c r="L684" s="25">
        <f>0+'táj.2.'!L684</f>
        <v>0</v>
      </c>
      <c r="M684" s="25">
        <f>0+'táj.2.'!M684</f>
        <v>0</v>
      </c>
      <c r="N684" s="25">
        <f>0+'táj.2.'!N684</f>
        <v>0</v>
      </c>
      <c r="O684" s="25">
        <f>0+'táj.2.'!O684</f>
        <v>0</v>
      </c>
      <c r="P684" s="25">
        <f>0+'táj.2.'!P684</f>
        <v>0</v>
      </c>
      <c r="Q684" s="25">
        <f>SUM(G684:P684)</f>
        <v>4450</v>
      </c>
    </row>
    <row r="685" spans="1:17" ht="22.5" customHeight="1">
      <c r="A685" s="23"/>
      <c r="B685" s="23"/>
      <c r="C685" s="387"/>
      <c r="D685" s="178" t="s">
        <v>153</v>
      </c>
      <c r="E685" s="751"/>
      <c r="F685" s="687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</row>
    <row r="686" spans="1:17" ht="13.5" customHeight="1">
      <c r="A686" s="23"/>
      <c r="B686" s="23"/>
      <c r="C686" s="387"/>
      <c r="D686" s="16" t="s">
        <v>154</v>
      </c>
      <c r="E686" s="751">
        <v>2</v>
      </c>
      <c r="F686" s="688">
        <v>191607</v>
      </c>
      <c r="G686" s="25"/>
      <c r="H686" s="25">
        <f>0+'táj.2.'!H686</f>
        <v>0</v>
      </c>
      <c r="I686" s="25">
        <f>0+'táj.2.'!I686</f>
        <v>0</v>
      </c>
      <c r="J686" s="25">
        <f>0+'táj.2.'!J686</f>
        <v>0</v>
      </c>
      <c r="K686" s="25">
        <f>0+'táj.2.'!K686</f>
        <v>15000</v>
      </c>
      <c r="L686" s="25">
        <f>0+'táj.2.'!L686</f>
        <v>0</v>
      </c>
      <c r="M686" s="25">
        <f>0+'táj.2.'!M686</f>
        <v>0</v>
      </c>
      <c r="N686" s="25">
        <f>0+'táj.2.'!N686</f>
        <v>0</v>
      </c>
      <c r="O686" s="25">
        <f>0+'táj.2.'!O686</f>
        <v>0</v>
      </c>
      <c r="P686" s="25">
        <f>0+'táj.2.'!P686</f>
        <v>0</v>
      </c>
      <c r="Q686" s="25">
        <f>SUM(G686:P686)</f>
        <v>15000</v>
      </c>
    </row>
    <row r="687" spans="1:17" ht="13.5" customHeight="1">
      <c r="A687" s="17"/>
      <c r="B687" s="17"/>
      <c r="C687" s="346"/>
      <c r="D687" s="18" t="s">
        <v>1005</v>
      </c>
      <c r="E687" s="347"/>
      <c r="F687" s="649"/>
      <c r="G687" s="19">
        <f>SUM(G652:G686)</f>
        <v>0</v>
      </c>
      <c r="H687" s="19">
        <f aca="true" t="shared" si="44" ref="H687:Q687">SUM(H652:H686)</f>
        <v>0</v>
      </c>
      <c r="I687" s="19">
        <f t="shared" si="44"/>
        <v>313101</v>
      </c>
      <c r="J687" s="19">
        <f t="shared" si="44"/>
        <v>0</v>
      </c>
      <c r="K687" s="19">
        <f t="shared" si="44"/>
        <v>732177</v>
      </c>
      <c r="L687" s="19">
        <f t="shared" si="44"/>
        <v>0</v>
      </c>
      <c r="M687" s="19">
        <f t="shared" si="44"/>
        <v>0</v>
      </c>
      <c r="N687" s="19">
        <f t="shared" si="44"/>
        <v>9217</v>
      </c>
      <c r="O687" s="19">
        <f t="shared" si="44"/>
        <v>0</v>
      </c>
      <c r="P687" s="19">
        <f t="shared" si="44"/>
        <v>63709</v>
      </c>
      <c r="Q687" s="19">
        <f t="shared" si="44"/>
        <v>1118204</v>
      </c>
    </row>
    <row r="688" spans="1:17" ht="13.5" customHeight="1">
      <c r="A688" s="186"/>
      <c r="B688" s="186"/>
      <c r="C688" s="474"/>
      <c r="D688" s="24" t="s">
        <v>1006</v>
      </c>
      <c r="E688" s="185"/>
      <c r="F688" s="658"/>
      <c r="G688" s="26"/>
      <c r="H688" s="26"/>
      <c r="I688" s="26"/>
      <c r="J688" s="25"/>
      <c r="K688" s="25"/>
      <c r="L688" s="26"/>
      <c r="M688" s="26"/>
      <c r="N688" s="25"/>
      <c r="O688" s="25"/>
      <c r="P688" s="26"/>
      <c r="Q688" s="25"/>
    </row>
    <row r="689" spans="1:17" ht="25.5" customHeight="1">
      <c r="A689" s="186"/>
      <c r="B689" s="186"/>
      <c r="C689" s="387" t="s">
        <v>562</v>
      </c>
      <c r="D689" s="806" t="s">
        <v>1039</v>
      </c>
      <c r="E689" s="185">
        <v>2</v>
      </c>
      <c r="F689" s="23">
        <v>192909</v>
      </c>
      <c r="G689" s="25">
        <f>0+'táj.2.'!G689</f>
        <v>0</v>
      </c>
      <c r="H689" s="25">
        <f>0+'táj.2.'!H689</f>
        <v>0</v>
      </c>
      <c r="I689" s="25">
        <f>0+'táj.2.'!I689</f>
        <v>0</v>
      </c>
      <c r="J689" s="25">
        <f>0+'táj.2.'!J689</f>
        <v>0</v>
      </c>
      <c r="K689" s="25">
        <f>0+'táj.2.'!K689</f>
        <v>0</v>
      </c>
      <c r="L689" s="25">
        <f>0+'táj.2.'!L689</f>
        <v>0</v>
      </c>
      <c r="M689" s="25">
        <f>0+'táj.2.'!M689</f>
        <v>0</v>
      </c>
      <c r="N689" s="25">
        <f>0+'táj.2.'!N689</f>
        <v>800</v>
      </c>
      <c r="O689" s="25">
        <f>0+'táj.2.'!O689</f>
        <v>0</v>
      </c>
      <c r="P689" s="25">
        <f>0+'táj.2.'!P689</f>
        <v>0</v>
      </c>
      <c r="Q689" s="25">
        <f>SUM(G689:P689)</f>
        <v>800</v>
      </c>
    </row>
    <row r="690" spans="1:17" ht="13.5" customHeight="1">
      <c r="A690" s="17"/>
      <c r="B690" s="17"/>
      <c r="C690" s="346"/>
      <c r="D690" s="18" t="s">
        <v>692</v>
      </c>
      <c r="E690" s="347"/>
      <c r="F690" s="649"/>
      <c r="G690" s="19">
        <f aca="true" t="shared" si="45" ref="G690:Q690">SUM(G687:G689)</f>
        <v>0</v>
      </c>
      <c r="H690" s="19">
        <f t="shared" si="45"/>
        <v>0</v>
      </c>
      <c r="I690" s="19">
        <f t="shared" si="45"/>
        <v>313101</v>
      </c>
      <c r="J690" s="19">
        <f t="shared" si="45"/>
        <v>0</v>
      </c>
      <c r="K690" s="19">
        <f t="shared" si="45"/>
        <v>732177</v>
      </c>
      <c r="L690" s="19">
        <f t="shared" si="45"/>
        <v>0</v>
      </c>
      <c r="M690" s="19">
        <f t="shared" si="45"/>
        <v>0</v>
      </c>
      <c r="N690" s="19">
        <f t="shared" si="45"/>
        <v>10017</v>
      </c>
      <c r="O690" s="19">
        <f t="shared" si="45"/>
        <v>0</v>
      </c>
      <c r="P690" s="19">
        <f t="shared" si="45"/>
        <v>63709</v>
      </c>
      <c r="Q690" s="19">
        <f t="shared" si="45"/>
        <v>1119004</v>
      </c>
    </row>
    <row r="691" spans="1:17" ht="18.75" customHeight="1">
      <c r="A691" s="183">
        <v>1</v>
      </c>
      <c r="B691" s="183">
        <v>20</v>
      </c>
      <c r="C691" s="365"/>
      <c r="D691" s="201" t="s">
        <v>414</v>
      </c>
      <c r="E691" s="78"/>
      <c r="F691" s="658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</row>
    <row r="692" spans="1:17" ht="13.5" customHeight="1">
      <c r="A692" s="17"/>
      <c r="B692" s="17"/>
      <c r="C692" s="346"/>
      <c r="D692" s="18" t="s">
        <v>1385</v>
      </c>
      <c r="E692" s="347"/>
      <c r="F692" s="64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>
        <f>SUM(G692:P692)</f>
        <v>0</v>
      </c>
    </row>
    <row r="693" spans="1:17" ht="13.5" customHeight="1">
      <c r="A693" s="391">
        <v>1</v>
      </c>
      <c r="B693" s="391" t="s">
        <v>1007</v>
      </c>
      <c r="C693" s="488"/>
      <c r="D693" s="489" t="s">
        <v>1008</v>
      </c>
      <c r="E693" s="490"/>
      <c r="F693" s="495"/>
      <c r="G693" s="374"/>
      <c r="H693" s="374"/>
      <c r="I693" s="388"/>
      <c r="J693" s="374"/>
      <c r="K693" s="374"/>
      <c r="L693" s="374"/>
      <c r="M693" s="374"/>
      <c r="N693" s="374"/>
      <c r="O693" s="374"/>
      <c r="P693" s="374"/>
      <c r="Q693" s="374"/>
    </row>
    <row r="694" spans="1:17" ht="13.5" customHeight="1">
      <c r="A694" s="391"/>
      <c r="B694" s="391"/>
      <c r="C694" s="488"/>
      <c r="D694" s="343" t="s">
        <v>414</v>
      </c>
      <c r="E694" s="78"/>
      <c r="F694" s="658"/>
      <c r="G694" s="374"/>
      <c r="H694" s="374"/>
      <c r="I694" s="388"/>
      <c r="J694" s="374"/>
      <c r="K694" s="374"/>
      <c r="L694" s="374"/>
      <c r="M694" s="374"/>
      <c r="N694" s="374"/>
      <c r="O694" s="374"/>
      <c r="P694" s="374"/>
      <c r="Q694" s="374"/>
    </row>
    <row r="695" spans="1:17" ht="13.5" customHeight="1">
      <c r="A695" s="391"/>
      <c r="B695" s="391"/>
      <c r="C695" s="488"/>
      <c r="D695" s="119" t="s">
        <v>1009</v>
      </c>
      <c r="E695" s="375">
        <v>2</v>
      </c>
      <c r="F695" s="182">
        <v>221901</v>
      </c>
      <c r="G695" s="491">
        <f>6000+'táj.2.'!G695</f>
        <v>8057</v>
      </c>
      <c r="H695" s="491">
        <f>4000+'táj.2.'!H695</f>
        <v>5030</v>
      </c>
      <c r="I695" s="491">
        <f>14261+'táj.2.'!I695</f>
        <v>11281</v>
      </c>
      <c r="J695" s="491">
        <f>0+'táj.2.'!J695</f>
        <v>0</v>
      </c>
      <c r="K695" s="491">
        <f>1200+'táj.2.'!K695</f>
        <v>1200</v>
      </c>
      <c r="L695" s="491">
        <f>0+'táj.2.'!L695</f>
        <v>0</v>
      </c>
      <c r="M695" s="491">
        <f>0+'táj.2.'!M695</f>
        <v>0</v>
      </c>
      <c r="N695" s="491">
        <f>0+'táj.2.'!N695</f>
        <v>0</v>
      </c>
      <c r="O695" s="491">
        <f>0+'táj.2.'!O695</f>
        <v>0</v>
      </c>
      <c r="P695" s="491">
        <f>0+'táj.2.'!P695</f>
        <v>0</v>
      </c>
      <c r="Q695" s="375">
        <f aca="true" t="shared" si="46" ref="Q695:Q706">SUM(G695:P695)</f>
        <v>25568</v>
      </c>
    </row>
    <row r="696" spans="1:17" ht="13.5" customHeight="1">
      <c r="A696" s="391"/>
      <c r="B696" s="391"/>
      <c r="C696" s="488"/>
      <c r="D696" s="116" t="s">
        <v>1241</v>
      </c>
      <c r="E696" s="81">
        <v>1</v>
      </c>
      <c r="F696" s="13">
        <v>221912</v>
      </c>
      <c r="G696" s="491">
        <f>0+'táj.2.'!G696</f>
        <v>26</v>
      </c>
      <c r="H696" s="491">
        <f>0+'táj.2.'!H696</f>
        <v>5</v>
      </c>
      <c r="I696" s="491">
        <f>6315+'táj.2.'!I696</f>
        <v>6292</v>
      </c>
      <c r="J696" s="491">
        <f>0+'táj.2.'!J696</f>
        <v>0</v>
      </c>
      <c r="K696" s="491">
        <f>2508+'táj.2.'!K696</f>
        <v>2508</v>
      </c>
      <c r="L696" s="491">
        <f>0+'táj.2.'!L696</f>
        <v>0</v>
      </c>
      <c r="M696" s="491">
        <f>0+'táj.2.'!M696</f>
        <v>0</v>
      </c>
      <c r="N696" s="491">
        <f>0+'táj.2.'!N696</f>
        <v>0</v>
      </c>
      <c r="O696" s="491">
        <f>0+'táj.2.'!O696</f>
        <v>0</v>
      </c>
      <c r="P696" s="491">
        <f>0+'táj.2.'!P696</f>
        <v>0</v>
      </c>
      <c r="Q696" s="375">
        <f t="shared" si="46"/>
        <v>8831</v>
      </c>
    </row>
    <row r="697" spans="1:17" ht="13.5" customHeight="1">
      <c r="A697" s="391"/>
      <c r="B697" s="391"/>
      <c r="C697" s="488"/>
      <c r="D697" s="116" t="s">
        <v>1010</v>
      </c>
      <c r="E697" s="81">
        <v>2</v>
      </c>
      <c r="F697" s="13">
        <v>221916</v>
      </c>
      <c r="G697" s="491">
        <f>0+'táj.2.'!G697</f>
        <v>0</v>
      </c>
      <c r="H697" s="491">
        <f>0+'táj.2.'!H697</f>
        <v>0</v>
      </c>
      <c r="I697" s="491">
        <f>0+'táj.2.'!I697</f>
        <v>2000</v>
      </c>
      <c r="J697" s="491">
        <f>0+'táj.2.'!J697</f>
        <v>0</v>
      </c>
      <c r="K697" s="491">
        <f>8000+'táj.2.'!K697</f>
        <v>6000</v>
      </c>
      <c r="L697" s="491">
        <f>0+'táj.2.'!L697</f>
        <v>0</v>
      </c>
      <c r="M697" s="491">
        <f>0+'táj.2.'!M697</f>
        <v>0</v>
      </c>
      <c r="N697" s="491">
        <f>0+'táj.2.'!N697</f>
        <v>0</v>
      </c>
      <c r="O697" s="491">
        <f>0+'táj.2.'!O697</f>
        <v>0</v>
      </c>
      <c r="P697" s="491">
        <f>0+'táj.2.'!P697</f>
        <v>0</v>
      </c>
      <c r="Q697" s="375">
        <f t="shared" si="46"/>
        <v>8000</v>
      </c>
    </row>
    <row r="698" spans="1:17" ht="13.5" customHeight="1">
      <c r="A698" s="391"/>
      <c r="B698" s="391"/>
      <c r="C698" s="488"/>
      <c r="D698" s="116" t="s">
        <v>1011</v>
      </c>
      <c r="E698" s="81">
        <v>2</v>
      </c>
      <c r="F698" s="13">
        <v>221903</v>
      </c>
      <c r="G698" s="491">
        <f>310+'táj.2.'!G698</f>
        <v>310</v>
      </c>
      <c r="H698" s="491">
        <f>76+'táj.2.'!H698</f>
        <v>76</v>
      </c>
      <c r="I698" s="491">
        <f>929+'táj.2.'!I698</f>
        <v>929</v>
      </c>
      <c r="J698" s="491">
        <f>0+'táj.2.'!J698</f>
        <v>0</v>
      </c>
      <c r="K698" s="491">
        <f>649+'táj.2.'!K698</f>
        <v>649</v>
      </c>
      <c r="L698" s="491">
        <f>0+'táj.2.'!L698</f>
        <v>0</v>
      </c>
      <c r="M698" s="491">
        <f>0+'táj.2.'!M698</f>
        <v>0</v>
      </c>
      <c r="N698" s="491">
        <f>0+'táj.2.'!N698</f>
        <v>0</v>
      </c>
      <c r="O698" s="491">
        <f>0+'táj.2.'!O698</f>
        <v>0</v>
      </c>
      <c r="P698" s="491">
        <f>0+'táj.2.'!P698</f>
        <v>0</v>
      </c>
      <c r="Q698" s="375">
        <f t="shared" si="46"/>
        <v>1964</v>
      </c>
    </row>
    <row r="699" spans="1:17" ht="13.5" customHeight="1">
      <c r="A699" s="391"/>
      <c r="B699" s="391"/>
      <c r="C699" s="488"/>
      <c r="D699" s="16" t="s">
        <v>1012</v>
      </c>
      <c r="E699" s="81">
        <v>1</v>
      </c>
      <c r="F699" s="13">
        <v>221950</v>
      </c>
      <c r="G699" s="491">
        <f>98295+'táj.2.'!G699</f>
        <v>98295</v>
      </c>
      <c r="H699" s="491">
        <f>26540+'táj.2.'!H699</f>
        <v>26540</v>
      </c>
      <c r="I699" s="491">
        <f>1330+'táj.2.'!I699</f>
        <v>1330</v>
      </c>
      <c r="J699" s="491">
        <f>0+'táj.2.'!J699</f>
        <v>0</v>
      </c>
      <c r="K699" s="491">
        <f>0+'táj.2.'!K699</f>
        <v>0</v>
      </c>
      <c r="L699" s="491">
        <f>0+'táj.2.'!L699</f>
        <v>0</v>
      </c>
      <c r="M699" s="491">
        <f>0+'táj.2.'!M699</f>
        <v>0</v>
      </c>
      <c r="N699" s="491">
        <f>0+'táj.2.'!N699</f>
        <v>0</v>
      </c>
      <c r="O699" s="491">
        <f>0+'táj.2.'!O699</f>
        <v>0</v>
      </c>
      <c r="P699" s="491">
        <f>0+'táj.2.'!P699</f>
        <v>0</v>
      </c>
      <c r="Q699" s="375">
        <f t="shared" si="46"/>
        <v>126165</v>
      </c>
    </row>
    <row r="700" spans="1:17" ht="13.5" customHeight="1">
      <c r="A700" s="391"/>
      <c r="B700" s="391"/>
      <c r="C700" s="488"/>
      <c r="D700" s="16" t="s">
        <v>1013</v>
      </c>
      <c r="E700" s="81">
        <v>2</v>
      </c>
      <c r="F700" s="13">
        <v>221904</v>
      </c>
      <c r="G700" s="491">
        <f>0+'táj.2.'!G700</f>
        <v>0</v>
      </c>
      <c r="H700" s="491">
        <f>0+'táj.2.'!H700</f>
        <v>0</v>
      </c>
      <c r="I700" s="491">
        <f>2000+'táj.2.'!I700</f>
        <v>2000</v>
      </c>
      <c r="J700" s="491">
        <f>0+'táj.2.'!J700</f>
        <v>0</v>
      </c>
      <c r="K700" s="491">
        <f>0+'táj.2.'!K700</f>
        <v>0</v>
      </c>
      <c r="L700" s="491">
        <f>0+'táj.2.'!L700</f>
        <v>0</v>
      </c>
      <c r="M700" s="491">
        <f>0+'táj.2.'!M700</f>
        <v>0</v>
      </c>
      <c r="N700" s="491">
        <f>0+'táj.2.'!N700</f>
        <v>0</v>
      </c>
      <c r="O700" s="491">
        <f>0+'táj.2.'!O700</f>
        <v>0</v>
      </c>
      <c r="P700" s="491">
        <f>0+'táj.2.'!P700</f>
        <v>0</v>
      </c>
      <c r="Q700" s="375">
        <f t="shared" si="46"/>
        <v>2000</v>
      </c>
    </row>
    <row r="701" spans="1:17" ht="13.5" customHeight="1">
      <c r="A701" s="391"/>
      <c r="B701" s="391"/>
      <c r="C701" s="488"/>
      <c r="D701" s="24" t="s">
        <v>1014</v>
      </c>
      <c r="E701" s="25">
        <v>2</v>
      </c>
      <c r="F701" s="23">
        <v>221922</v>
      </c>
      <c r="G701" s="491">
        <f>0+'táj.2.'!G701</f>
        <v>0</v>
      </c>
      <c r="H701" s="491">
        <f>0+'táj.2.'!H701</f>
        <v>0</v>
      </c>
      <c r="I701" s="491">
        <f>5000+'táj.2.'!I701</f>
        <v>5000</v>
      </c>
      <c r="J701" s="491">
        <f>0+'táj.2.'!J701</f>
        <v>0</v>
      </c>
      <c r="K701" s="491">
        <f>0+'táj.2.'!K701</f>
        <v>0</v>
      </c>
      <c r="L701" s="491">
        <f>0+'táj.2.'!L701</f>
        <v>0</v>
      </c>
      <c r="M701" s="491">
        <f>0+'táj.2.'!M701</f>
        <v>0</v>
      </c>
      <c r="N701" s="491">
        <f>0+'táj.2.'!N701</f>
        <v>0</v>
      </c>
      <c r="O701" s="491">
        <f>0+'táj.2.'!O701</f>
        <v>0</v>
      </c>
      <c r="P701" s="491">
        <f>0+'táj.2.'!P701</f>
        <v>0</v>
      </c>
      <c r="Q701" s="375">
        <f t="shared" si="46"/>
        <v>5000</v>
      </c>
    </row>
    <row r="702" spans="1:17" ht="13.5" customHeight="1">
      <c r="A702" s="391"/>
      <c r="B702" s="391"/>
      <c r="C702" s="488"/>
      <c r="D702" s="24" t="s">
        <v>1015</v>
      </c>
      <c r="E702" s="337">
        <v>2</v>
      </c>
      <c r="F702" s="23">
        <v>191139</v>
      </c>
      <c r="G702" s="491">
        <f>0+'táj.2.'!G702</f>
        <v>0</v>
      </c>
      <c r="H702" s="491">
        <f>0+'táj.2.'!H702</f>
        <v>0</v>
      </c>
      <c r="I702" s="491">
        <f>1700+'táj.2.'!I702</f>
        <v>1700</v>
      </c>
      <c r="J702" s="491">
        <f>0+'táj.2.'!J702</f>
        <v>0</v>
      </c>
      <c r="K702" s="491">
        <f>2300+'táj.2.'!K702</f>
        <v>2300</v>
      </c>
      <c r="L702" s="491">
        <f>0+'táj.2.'!L702</f>
        <v>0</v>
      </c>
      <c r="M702" s="491">
        <f>0+'táj.2.'!M702</f>
        <v>0</v>
      </c>
      <c r="N702" s="491">
        <f>0+'táj.2.'!N702</f>
        <v>0</v>
      </c>
      <c r="O702" s="491">
        <f>0+'táj.2.'!O702</f>
        <v>0</v>
      </c>
      <c r="P702" s="491">
        <f>0+'táj.2.'!P702</f>
        <v>0</v>
      </c>
      <c r="Q702" s="375">
        <f t="shared" si="46"/>
        <v>4000</v>
      </c>
    </row>
    <row r="703" spans="1:17" ht="13.5" customHeight="1">
      <c r="A703" s="391"/>
      <c r="B703" s="391"/>
      <c r="C703" s="488"/>
      <c r="D703" s="24" t="s">
        <v>1016</v>
      </c>
      <c r="E703" s="337">
        <v>2</v>
      </c>
      <c r="F703" s="23">
        <v>221926</v>
      </c>
      <c r="G703" s="491">
        <f>411+'táj.2.'!G703</f>
        <v>4542</v>
      </c>
      <c r="H703" s="491">
        <f>100+'táj.2.'!H703</f>
        <v>1951</v>
      </c>
      <c r="I703" s="491">
        <f>1519+'táj.2.'!I703</f>
        <v>2787</v>
      </c>
      <c r="J703" s="491">
        <f>0+'táj.2.'!J703</f>
        <v>0</v>
      </c>
      <c r="K703" s="491">
        <f>1760+'táj.2.'!K703</f>
        <v>2110</v>
      </c>
      <c r="L703" s="491">
        <f>0+'táj.2.'!L703</f>
        <v>1000</v>
      </c>
      <c r="M703" s="491">
        <f>0+'táj.2.'!M703</f>
        <v>500</v>
      </c>
      <c r="N703" s="491">
        <f>0+'táj.2.'!N703</f>
        <v>0</v>
      </c>
      <c r="O703" s="491">
        <f>0+'táj.2.'!O703</f>
        <v>0</v>
      </c>
      <c r="P703" s="491">
        <f>0+'táj.2.'!P703</f>
        <v>0</v>
      </c>
      <c r="Q703" s="375">
        <f t="shared" si="46"/>
        <v>12890</v>
      </c>
    </row>
    <row r="704" spans="1:17" ht="13.5" customHeight="1">
      <c r="A704" s="391"/>
      <c r="B704" s="391"/>
      <c r="C704" s="488"/>
      <c r="D704" s="24" t="s">
        <v>1017</v>
      </c>
      <c r="E704" s="337">
        <v>2</v>
      </c>
      <c r="F704" s="23">
        <v>221927</v>
      </c>
      <c r="G704" s="491">
        <f>0+'táj.2.'!G704</f>
        <v>0</v>
      </c>
      <c r="H704" s="491">
        <f>0+'táj.2.'!H704</f>
        <v>0</v>
      </c>
      <c r="I704" s="491">
        <f>2000+'táj.2.'!I704</f>
        <v>2000</v>
      </c>
      <c r="J704" s="491">
        <f>0+'táj.2.'!J704</f>
        <v>0</v>
      </c>
      <c r="K704" s="491">
        <f>0+'táj.2.'!K704</f>
        <v>0</v>
      </c>
      <c r="L704" s="491">
        <f>0+'táj.2.'!L704</f>
        <v>0</v>
      </c>
      <c r="M704" s="491">
        <f>0+'táj.2.'!M704</f>
        <v>0</v>
      </c>
      <c r="N704" s="491">
        <f>0+'táj.2.'!N704</f>
        <v>0</v>
      </c>
      <c r="O704" s="491">
        <f>0+'táj.2.'!O704</f>
        <v>0</v>
      </c>
      <c r="P704" s="491">
        <f>0+'táj.2.'!P704</f>
        <v>0</v>
      </c>
      <c r="Q704" s="375">
        <f t="shared" si="46"/>
        <v>2000</v>
      </c>
    </row>
    <row r="705" spans="1:17" ht="13.5" customHeight="1">
      <c r="A705" s="391"/>
      <c r="B705" s="391"/>
      <c r="C705" s="488"/>
      <c r="D705" s="24" t="s">
        <v>1292</v>
      </c>
      <c r="E705" s="337">
        <v>2</v>
      </c>
      <c r="F705" s="23">
        <v>221928</v>
      </c>
      <c r="G705" s="491">
        <f>0+'táj.2.'!G705</f>
        <v>0</v>
      </c>
      <c r="H705" s="491">
        <f>0+'táj.2.'!H705</f>
        <v>0</v>
      </c>
      <c r="I705" s="491">
        <f>0+'táj.2.'!I705</f>
        <v>0</v>
      </c>
      <c r="J705" s="491">
        <f>0+'táj.2.'!J705</f>
        <v>0</v>
      </c>
      <c r="K705" s="491">
        <f>21000+'táj.2.'!K705</f>
        <v>16535</v>
      </c>
      <c r="L705" s="491">
        <f>0+'táj.2.'!L705</f>
        <v>0</v>
      </c>
      <c r="M705" s="491">
        <f>0+'táj.2.'!M705</f>
        <v>0</v>
      </c>
      <c r="N705" s="491">
        <f>0+'táj.2.'!N705</f>
        <v>0</v>
      </c>
      <c r="O705" s="491">
        <f>0+'táj.2.'!O705</f>
        <v>0</v>
      </c>
      <c r="P705" s="491">
        <f>0+'táj.2.'!P705</f>
        <v>0</v>
      </c>
      <c r="Q705" s="375">
        <f t="shared" si="46"/>
        <v>16535</v>
      </c>
    </row>
    <row r="706" spans="1:17" ht="22.5" customHeight="1">
      <c r="A706" s="391"/>
      <c r="B706" s="391"/>
      <c r="C706" s="488"/>
      <c r="D706" s="178" t="s">
        <v>155</v>
      </c>
      <c r="E706" s="337">
        <v>2</v>
      </c>
      <c r="F706" s="13">
        <v>221932</v>
      </c>
      <c r="G706" s="491">
        <f>0+'táj.2.'!G706</f>
        <v>0</v>
      </c>
      <c r="H706" s="491">
        <f>0+'táj.2.'!H706</f>
        <v>0</v>
      </c>
      <c r="I706" s="491">
        <f>0+'táj.2.'!I706</f>
        <v>0</v>
      </c>
      <c r="J706" s="491">
        <f>0+'táj.2.'!J706</f>
        <v>0</v>
      </c>
      <c r="K706" s="491">
        <f>0+'táj.2.'!K706</f>
        <v>5000</v>
      </c>
      <c r="L706" s="491">
        <f>0+'táj.2.'!L706</f>
        <v>0</v>
      </c>
      <c r="M706" s="491">
        <f>0+'táj.2.'!M706</f>
        <v>0</v>
      </c>
      <c r="N706" s="491">
        <f>0+'táj.2.'!N706</f>
        <v>0</v>
      </c>
      <c r="O706" s="491">
        <f>0+'táj.2.'!O706</f>
        <v>0</v>
      </c>
      <c r="P706" s="491">
        <f>0+'táj.2.'!P706</f>
        <v>0</v>
      </c>
      <c r="Q706" s="375">
        <f t="shared" si="46"/>
        <v>5000</v>
      </c>
    </row>
    <row r="707" spans="1:17" ht="13.5" customHeight="1">
      <c r="A707" s="391"/>
      <c r="B707" s="391"/>
      <c r="C707" s="488"/>
      <c r="D707" s="24" t="s">
        <v>1018</v>
      </c>
      <c r="E707" s="337"/>
      <c r="F707" s="23"/>
      <c r="G707" s="491"/>
      <c r="H707" s="25"/>
      <c r="I707" s="15"/>
      <c r="J707" s="15"/>
      <c r="K707" s="15"/>
      <c r="L707" s="25"/>
      <c r="M707" s="25"/>
      <c r="N707" s="25"/>
      <c r="O707" s="25"/>
      <c r="P707" s="25"/>
      <c r="Q707" s="25"/>
    </row>
    <row r="708" spans="1:17" ht="13.5" customHeight="1">
      <c r="A708" s="391"/>
      <c r="B708" s="391"/>
      <c r="C708" s="488"/>
      <c r="D708" s="24" t="s">
        <v>1019</v>
      </c>
      <c r="E708" s="25">
        <v>2</v>
      </c>
      <c r="F708" s="23">
        <v>191301</v>
      </c>
      <c r="G708" s="491">
        <f>0+'táj.2.'!G708</f>
        <v>0</v>
      </c>
      <c r="H708" s="491">
        <f>0+'táj.2.'!H708</f>
        <v>0</v>
      </c>
      <c r="I708" s="491">
        <f>0+'táj.2.'!I708</f>
        <v>0</v>
      </c>
      <c r="J708" s="491">
        <f>0+'táj.2.'!J708</f>
        <v>0</v>
      </c>
      <c r="K708" s="491">
        <f>33000+'táj.2.'!K708</f>
        <v>33000</v>
      </c>
      <c r="L708" s="491">
        <f>0+'táj.2.'!L708</f>
        <v>0</v>
      </c>
      <c r="M708" s="491">
        <f>0+'táj.2.'!M708</f>
        <v>0</v>
      </c>
      <c r="N708" s="491">
        <f>0+'táj.2.'!N708</f>
        <v>0</v>
      </c>
      <c r="O708" s="491">
        <f>0+'táj.2.'!O708</f>
        <v>0</v>
      </c>
      <c r="P708" s="491">
        <f>0+'táj.2.'!P708</f>
        <v>0</v>
      </c>
      <c r="Q708" s="25">
        <f>SUM(G708:P708)</f>
        <v>33000</v>
      </c>
    </row>
    <row r="709" spans="1:17" ht="13.5" customHeight="1">
      <c r="A709" s="391"/>
      <c r="B709" s="391"/>
      <c r="C709" s="488"/>
      <c r="D709" s="24" t="s">
        <v>1020</v>
      </c>
      <c r="E709" s="25">
        <v>2</v>
      </c>
      <c r="F709" s="23">
        <v>191302</v>
      </c>
      <c r="G709" s="491">
        <f>0+'táj.2.'!G709</f>
        <v>0</v>
      </c>
      <c r="H709" s="491">
        <f>0+'táj.2.'!H709</f>
        <v>0</v>
      </c>
      <c r="I709" s="491">
        <f>8000+'táj.2.'!I709</f>
        <v>8000</v>
      </c>
      <c r="J709" s="491">
        <f>0+'táj.2.'!J709</f>
        <v>0</v>
      </c>
      <c r="K709" s="491">
        <f>0+'táj.2.'!K709</f>
        <v>0</v>
      </c>
      <c r="L709" s="491">
        <f>0+'táj.2.'!L709</f>
        <v>0</v>
      </c>
      <c r="M709" s="491">
        <f>0+'táj.2.'!M709</f>
        <v>0</v>
      </c>
      <c r="N709" s="491">
        <f>0+'táj.2.'!N709</f>
        <v>0</v>
      </c>
      <c r="O709" s="491">
        <f>0+'táj.2.'!O709</f>
        <v>0</v>
      </c>
      <c r="P709" s="491">
        <f>0+'táj.2.'!P709</f>
        <v>0</v>
      </c>
      <c r="Q709" s="25">
        <f>SUM(G709:P709)</f>
        <v>8000</v>
      </c>
    </row>
    <row r="710" spans="1:17" ht="13.5" customHeight="1">
      <c r="A710" s="391"/>
      <c r="B710" s="391"/>
      <c r="C710" s="488"/>
      <c r="D710" s="24" t="s">
        <v>370</v>
      </c>
      <c r="E710" s="337"/>
      <c r="F710" s="23"/>
      <c r="G710" s="491"/>
      <c r="H710" s="25"/>
      <c r="I710" s="25"/>
      <c r="J710" s="25"/>
      <c r="K710" s="25"/>
      <c r="L710" s="25"/>
      <c r="M710" s="25"/>
      <c r="N710" s="25"/>
      <c r="O710" s="25"/>
      <c r="P710" s="25"/>
      <c r="Q710" s="25"/>
    </row>
    <row r="711" spans="1:17" ht="13.5" customHeight="1">
      <c r="A711" s="391"/>
      <c r="B711" s="391"/>
      <c r="C711" s="488"/>
      <c r="D711" s="24" t="s">
        <v>371</v>
      </c>
      <c r="E711" s="25">
        <v>2</v>
      </c>
      <c r="F711" s="23">
        <v>191110</v>
      </c>
      <c r="G711" s="491">
        <f>5027+'táj.2.'!G711</f>
        <v>7527</v>
      </c>
      <c r="H711" s="491">
        <f>2350+'táj.2.'!H711</f>
        <v>3850</v>
      </c>
      <c r="I711" s="491">
        <f>1123+'táj.2.'!I711</f>
        <v>2198</v>
      </c>
      <c r="J711" s="491">
        <f>0+'táj.2.'!J711</f>
        <v>0</v>
      </c>
      <c r="K711" s="491">
        <f>1500+'táj.2.'!K711</f>
        <v>1500</v>
      </c>
      <c r="L711" s="491">
        <f>0+'táj.2.'!L711</f>
        <v>0</v>
      </c>
      <c r="M711" s="491">
        <f>0+'táj.2.'!M711</f>
        <v>0</v>
      </c>
      <c r="N711" s="491">
        <f>0+'táj.2.'!N711</f>
        <v>0</v>
      </c>
      <c r="O711" s="491">
        <f>0+'táj.2.'!O711</f>
        <v>0</v>
      </c>
      <c r="P711" s="491">
        <f>0+'táj.2.'!P711</f>
        <v>0</v>
      </c>
      <c r="Q711" s="25">
        <f>SUM(G711:P711)</f>
        <v>15075</v>
      </c>
    </row>
    <row r="712" spans="1:17" ht="13.5" customHeight="1">
      <c r="A712" s="391"/>
      <c r="B712" s="391"/>
      <c r="C712" s="488"/>
      <c r="D712" s="116" t="s">
        <v>359</v>
      </c>
      <c r="E712" s="81"/>
      <c r="F712" s="13"/>
      <c r="G712" s="491"/>
      <c r="H712" s="375"/>
      <c r="I712" s="15"/>
      <c r="J712" s="375"/>
      <c r="K712" s="375"/>
      <c r="L712" s="492"/>
      <c r="M712" s="492"/>
      <c r="N712" s="492"/>
      <c r="O712" s="492"/>
      <c r="P712" s="492"/>
      <c r="Q712" s="375"/>
    </row>
    <row r="713" spans="1:17" ht="13.5" customHeight="1">
      <c r="A713" s="391"/>
      <c r="B713" s="391"/>
      <c r="C713" s="488"/>
      <c r="D713" s="202" t="s">
        <v>1075</v>
      </c>
      <c r="E713" s="494">
        <v>2</v>
      </c>
      <c r="F713" s="652">
        <v>221951</v>
      </c>
      <c r="G713" s="491">
        <f>0+'táj.2.'!G713</f>
        <v>0</v>
      </c>
      <c r="H713" s="491">
        <f>0+'táj.2.'!H713</f>
        <v>0</v>
      </c>
      <c r="I713" s="491">
        <f>50+'táj.2.'!I713</f>
        <v>50</v>
      </c>
      <c r="J713" s="491">
        <f>0+'táj.2.'!J713</f>
        <v>0</v>
      </c>
      <c r="K713" s="491">
        <f>9950+'táj.2.'!K713</f>
        <v>10653</v>
      </c>
      <c r="L713" s="491">
        <f>0+'táj.2.'!L713</f>
        <v>0</v>
      </c>
      <c r="M713" s="491">
        <f>0+'táj.2.'!M713</f>
        <v>0</v>
      </c>
      <c r="N713" s="491">
        <f>0+'táj.2.'!N713</f>
        <v>0</v>
      </c>
      <c r="O713" s="491">
        <f>0+'táj.2.'!O713</f>
        <v>0</v>
      </c>
      <c r="P713" s="491">
        <f>0+'táj.2.'!P713</f>
        <v>0</v>
      </c>
      <c r="Q713" s="25">
        <f>SUM(G713:P713)</f>
        <v>10703</v>
      </c>
    </row>
    <row r="714" spans="1:17" ht="13.5" customHeight="1">
      <c r="A714" s="391"/>
      <c r="B714" s="391"/>
      <c r="C714" s="495"/>
      <c r="D714" s="496" t="s">
        <v>708</v>
      </c>
      <c r="E714" s="81">
        <v>2</v>
      </c>
      <c r="F714" s="13" t="s">
        <v>1195</v>
      </c>
      <c r="G714" s="491">
        <f>0+'táj.2.'!G714</f>
        <v>0</v>
      </c>
      <c r="H714" s="491">
        <f>0+'táj.2.'!H714</f>
        <v>0</v>
      </c>
      <c r="I714" s="491">
        <f>26424+'táj.2.'!I714</f>
        <v>20406</v>
      </c>
      <c r="J714" s="491">
        <f>0+'táj.2.'!J714</f>
        <v>0</v>
      </c>
      <c r="K714" s="491">
        <f>1440+'táj.2.'!K714</f>
        <v>6790</v>
      </c>
      <c r="L714" s="491">
        <f>0+'táj.2.'!L714</f>
        <v>0</v>
      </c>
      <c r="M714" s="491">
        <f>0+'táj.2.'!M714</f>
        <v>0</v>
      </c>
      <c r="N714" s="491">
        <f>40+'táj.2.'!N714</f>
        <v>40</v>
      </c>
      <c r="O714" s="491">
        <f>0+'táj.2.'!O714</f>
        <v>0</v>
      </c>
      <c r="P714" s="491">
        <f>0+'táj.2.'!P714</f>
        <v>0</v>
      </c>
      <c r="Q714" s="375">
        <f>SUM(G714:P714)</f>
        <v>27236</v>
      </c>
    </row>
    <row r="715" spans="1:17" ht="13.5" customHeight="1">
      <c r="A715" s="391"/>
      <c r="B715" s="391"/>
      <c r="C715" s="497"/>
      <c r="D715" s="753" t="s">
        <v>156</v>
      </c>
      <c r="E715" s="81"/>
      <c r="F715" s="13">
        <v>162908</v>
      </c>
      <c r="G715" s="491"/>
      <c r="H715" s="491"/>
      <c r="I715" s="491">
        <f>0+'táj.2.'!I715</f>
        <v>10000</v>
      </c>
      <c r="J715" s="491"/>
      <c r="K715" s="491"/>
      <c r="L715" s="491"/>
      <c r="M715" s="491"/>
      <c r="N715" s="491"/>
      <c r="O715" s="491"/>
      <c r="P715" s="491"/>
      <c r="Q715" s="375">
        <f>SUM(G715:P715)</f>
        <v>10000</v>
      </c>
    </row>
    <row r="716" spans="1:17" ht="13.5" customHeight="1">
      <c r="A716" s="391"/>
      <c r="B716" s="391"/>
      <c r="C716" s="488"/>
      <c r="D716" s="116" t="s">
        <v>1021</v>
      </c>
      <c r="E716" s="81"/>
      <c r="F716" s="13"/>
      <c r="G716" s="491"/>
      <c r="H716" s="375"/>
      <c r="I716" s="375"/>
      <c r="J716" s="375"/>
      <c r="K716" s="375"/>
      <c r="L716" s="492"/>
      <c r="M716" s="492"/>
      <c r="N716" s="492"/>
      <c r="O716" s="492"/>
      <c r="P716" s="492"/>
      <c r="Q716" s="375"/>
    </row>
    <row r="717" spans="1:17" ht="13.5" customHeight="1">
      <c r="A717" s="391"/>
      <c r="B717" s="391"/>
      <c r="C717" s="488"/>
      <c r="D717" s="116" t="s">
        <v>1022</v>
      </c>
      <c r="E717" s="81">
        <v>2</v>
      </c>
      <c r="F717" s="13">
        <v>221929</v>
      </c>
      <c r="G717" s="491">
        <f>0+'táj.2.'!G717</f>
        <v>0</v>
      </c>
      <c r="H717" s="491">
        <f>0+'táj.2.'!H717</f>
        <v>0</v>
      </c>
      <c r="I717" s="491">
        <f>0+'táj.2.'!I717</f>
        <v>0</v>
      </c>
      <c r="J717" s="491">
        <f>0+'táj.2.'!J717</f>
        <v>0</v>
      </c>
      <c r="K717" s="491">
        <f>20770+'táj.2.'!K717</f>
        <v>20770</v>
      </c>
      <c r="L717" s="491">
        <f>0+'táj.2.'!L717</f>
        <v>0</v>
      </c>
      <c r="M717" s="491">
        <f>0+'táj.2.'!M717</f>
        <v>0</v>
      </c>
      <c r="N717" s="491">
        <f>0+'táj.2.'!N717</f>
        <v>0</v>
      </c>
      <c r="O717" s="491">
        <f>0+'táj.2.'!O717</f>
        <v>0</v>
      </c>
      <c r="P717" s="491">
        <f>0+'táj.2.'!P717</f>
        <v>0</v>
      </c>
      <c r="Q717" s="375">
        <f>SUM(G717:P717)</f>
        <v>20770</v>
      </c>
    </row>
    <row r="718" spans="1:17" ht="13.5" customHeight="1">
      <c r="A718" s="391"/>
      <c r="B718" s="391"/>
      <c r="C718" s="497"/>
      <c r="D718" s="116" t="s">
        <v>1023</v>
      </c>
      <c r="E718" s="81"/>
      <c r="F718" s="13"/>
      <c r="G718" s="491"/>
      <c r="H718" s="375"/>
      <c r="I718" s="375"/>
      <c r="J718" s="375"/>
      <c r="K718" s="375"/>
      <c r="L718" s="492"/>
      <c r="M718" s="492"/>
      <c r="N718" s="492"/>
      <c r="O718" s="492"/>
      <c r="P718" s="492"/>
      <c r="Q718" s="375"/>
    </row>
    <row r="719" spans="1:17" ht="13.5" customHeight="1">
      <c r="A719" s="391"/>
      <c r="B719" s="391"/>
      <c r="C719" s="497"/>
      <c r="D719" s="116" t="s">
        <v>1024</v>
      </c>
      <c r="E719" s="81">
        <v>1</v>
      </c>
      <c r="F719" s="13">
        <v>221909</v>
      </c>
      <c r="G719" s="491">
        <f>0+'táj.2.'!G719</f>
        <v>0</v>
      </c>
      <c r="H719" s="491">
        <f>0+'táj.2.'!H719</f>
        <v>0</v>
      </c>
      <c r="I719" s="491">
        <f>0+'táj.2.'!I719</f>
        <v>0</v>
      </c>
      <c r="J719" s="491">
        <f>0+'táj.2.'!J719</f>
        <v>0</v>
      </c>
      <c r="K719" s="491">
        <f>21063+'táj.2.'!K719</f>
        <v>21063</v>
      </c>
      <c r="L719" s="491">
        <f>0+'táj.2.'!L719</f>
        <v>0</v>
      </c>
      <c r="M719" s="491">
        <f>0+'táj.2.'!M719</f>
        <v>0</v>
      </c>
      <c r="N719" s="491">
        <f>0+'táj.2.'!N719</f>
        <v>0</v>
      </c>
      <c r="O719" s="491">
        <f>0+'táj.2.'!O719</f>
        <v>0</v>
      </c>
      <c r="P719" s="491">
        <f>0+'táj.2.'!P719</f>
        <v>0</v>
      </c>
      <c r="Q719" s="375">
        <f>SUM(G719:P719)</f>
        <v>21063</v>
      </c>
    </row>
    <row r="720" spans="1:17" ht="13.5" customHeight="1">
      <c r="A720" s="391"/>
      <c r="B720" s="391"/>
      <c r="C720" s="488"/>
      <c r="D720" s="116" t="s">
        <v>1025</v>
      </c>
      <c r="E720" s="81">
        <v>1</v>
      </c>
      <c r="F720" s="13">
        <v>221913</v>
      </c>
      <c r="G720" s="491">
        <f>34+'táj.2.'!G720</f>
        <v>34</v>
      </c>
      <c r="H720" s="491">
        <f>8+'táj.2.'!H720</f>
        <v>8</v>
      </c>
      <c r="I720" s="491">
        <f>35831+'táj.2.'!I720</f>
        <v>33588</v>
      </c>
      <c r="J720" s="491">
        <f>0+'táj.2.'!J720</f>
        <v>0</v>
      </c>
      <c r="K720" s="491">
        <f>0+'táj.2.'!K720</f>
        <v>0</v>
      </c>
      <c r="L720" s="491">
        <f>0+'táj.2.'!L720</f>
        <v>0</v>
      </c>
      <c r="M720" s="491">
        <f>0+'táj.2.'!M720</f>
        <v>0</v>
      </c>
      <c r="N720" s="491">
        <f>0+'táj.2.'!N720</f>
        <v>0</v>
      </c>
      <c r="O720" s="491">
        <f>0+'táj.2.'!O720</f>
        <v>0</v>
      </c>
      <c r="P720" s="491">
        <f>0+'táj.2.'!P720</f>
        <v>0</v>
      </c>
      <c r="Q720" s="375">
        <f>SUM(G720:P720)</f>
        <v>33630</v>
      </c>
    </row>
    <row r="721" spans="1:17" ht="24.75" customHeight="1">
      <c r="A721" s="391"/>
      <c r="B721" s="391"/>
      <c r="C721" s="488"/>
      <c r="D721" s="704" t="s">
        <v>1026</v>
      </c>
      <c r="E721" s="81">
        <v>2</v>
      </c>
      <c r="F721" s="13">
        <v>221914</v>
      </c>
      <c r="G721" s="491">
        <f>0+'táj.2.'!G721</f>
        <v>0</v>
      </c>
      <c r="H721" s="491">
        <f>0+'táj.2.'!H721</f>
        <v>0</v>
      </c>
      <c r="I721" s="491">
        <f>0+'táj.2.'!I721</f>
        <v>0</v>
      </c>
      <c r="J721" s="491">
        <f>0+'táj.2.'!J721</f>
        <v>0</v>
      </c>
      <c r="K721" s="491">
        <f>5000+'táj.2.'!K721</f>
        <v>5000</v>
      </c>
      <c r="L721" s="491">
        <f>0+'táj.2.'!L721</f>
        <v>0</v>
      </c>
      <c r="M721" s="491">
        <f>0+'táj.2.'!M721</f>
        <v>0</v>
      </c>
      <c r="N721" s="491">
        <f>0+'táj.2.'!N721</f>
        <v>0</v>
      </c>
      <c r="O721" s="491">
        <f>0+'táj.2.'!O721</f>
        <v>0</v>
      </c>
      <c r="P721" s="491">
        <f>0+'táj.2.'!P721</f>
        <v>0</v>
      </c>
      <c r="Q721" s="375">
        <f>SUM(G721:P721)</f>
        <v>5000</v>
      </c>
    </row>
    <row r="722" spans="1:17" ht="14.25" customHeight="1">
      <c r="A722" s="391"/>
      <c r="B722" s="391"/>
      <c r="C722" s="488"/>
      <c r="D722" s="704" t="s">
        <v>1027</v>
      </c>
      <c r="E722" s="81">
        <v>2</v>
      </c>
      <c r="F722" s="13">
        <v>221930</v>
      </c>
      <c r="G722" s="491">
        <f>0+'táj.2.'!G722</f>
        <v>0</v>
      </c>
      <c r="H722" s="491">
        <f>0+'táj.2.'!H722</f>
        <v>0</v>
      </c>
      <c r="I722" s="491">
        <f>500+'táj.2.'!I722</f>
        <v>0</v>
      </c>
      <c r="J722" s="491">
        <f>0+'táj.2.'!J722</f>
        <v>0</v>
      </c>
      <c r="K722" s="491">
        <f>0+'táj.2.'!K722</f>
        <v>0</v>
      </c>
      <c r="L722" s="491">
        <f>0+'táj.2.'!L722</f>
        <v>0</v>
      </c>
      <c r="M722" s="491">
        <f>0+'táj.2.'!M722</f>
        <v>0</v>
      </c>
      <c r="N722" s="491">
        <f>0+'táj.2.'!N722</f>
        <v>0</v>
      </c>
      <c r="O722" s="491">
        <f>0+'táj.2.'!O722</f>
        <v>0</v>
      </c>
      <c r="P722" s="491">
        <f>0+'táj.2.'!P722</f>
        <v>0</v>
      </c>
      <c r="Q722" s="375">
        <f>SUM(G722:P722)</f>
        <v>0</v>
      </c>
    </row>
    <row r="723" spans="1:17" ht="15" customHeight="1">
      <c r="A723" s="391"/>
      <c r="B723" s="391"/>
      <c r="C723" s="488"/>
      <c r="D723" s="704" t="s">
        <v>1028</v>
      </c>
      <c r="E723" s="81">
        <v>2</v>
      </c>
      <c r="F723" s="13">
        <v>221931</v>
      </c>
      <c r="G723" s="491">
        <f>0+'táj.2.'!G723</f>
        <v>0</v>
      </c>
      <c r="H723" s="491">
        <f>0+'táj.2.'!H723</f>
        <v>0</v>
      </c>
      <c r="I723" s="491">
        <f>0+'táj.2.'!I723</f>
        <v>0</v>
      </c>
      <c r="J723" s="491">
        <f>0+'táj.2.'!J723</f>
        <v>0</v>
      </c>
      <c r="K723" s="491">
        <f>500+'táj.2.'!K723</f>
        <v>500</v>
      </c>
      <c r="L723" s="491">
        <f>0+'táj.2.'!L723</f>
        <v>0</v>
      </c>
      <c r="M723" s="491">
        <f>0+'táj.2.'!M723</f>
        <v>0</v>
      </c>
      <c r="N723" s="491">
        <f>0+'táj.2.'!N723</f>
        <v>0</v>
      </c>
      <c r="O723" s="491">
        <f>0+'táj.2.'!O723</f>
        <v>0</v>
      </c>
      <c r="P723" s="491">
        <f>0+'táj.2.'!P723</f>
        <v>0</v>
      </c>
      <c r="Q723" s="375">
        <f>SUM(G723:P723)</f>
        <v>500</v>
      </c>
    </row>
    <row r="724" spans="1:17" ht="13.5" customHeight="1">
      <c r="A724" s="17"/>
      <c r="B724" s="17"/>
      <c r="C724" s="346"/>
      <c r="D724" s="390" t="s">
        <v>1029</v>
      </c>
      <c r="E724" s="499"/>
      <c r="F724" s="649"/>
      <c r="G724" s="500">
        <f aca="true" t="shared" si="47" ref="G724:Q724">SUM(G695:G723)</f>
        <v>118791</v>
      </c>
      <c r="H724" s="500">
        <f t="shared" si="47"/>
        <v>37460</v>
      </c>
      <c r="I724" s="500">
        <f t="shared" si="47"/>
        <v>109561</v>
      </c>
      <c r="J724" s="500">
        <f t="shared" si="47"/>
        <v>0</v>
      </c>
      <c r="K724" s="500">
        <f t="shared" si="47"/>
        <v>135578</v>
      </c>
      <c r="L724" s="500">
        <f t="shared" si="47"/>
        <v>1000</v>
      </c>
      <c r="M724" s="500">
        <f t="shared" si="47"/>
        <v>500</v>
      </c>
      <c r="N724" s="500">
        <f t="shared" si="47"/>
        <v>40</v>
      </c>
      <c r="O724" s="500">
        <f t="shared" si="47"/>
        <v>0</v>
      </c>
      <c r="P724" s="500">
        <f t="shared" si="47"/>
        <v>0</v>
      </c>
      <c r="Q724" s="500">
        <f t="shared" si="47"/>
        <v>402930</v>
      </c>
    </row>
    <row r="725" spans="1:17" ht="13.5" customHeight="1">
      <c r="A725" s="183"/>
      <c r="B725" s="183"/>
      <c r="C725" s="365"/>
      <c r="D725" s="559" t="s">
        <v>1006</v>
      </c>
      <c r="E725" s="502"/>
      <c r="F725" s="659"/>
      <c r="G725" s="503"/>
      <c r="H725" s="503"/>
      <c r="I725" s="503"/>
      <c r="J725" s="503"/>
      <c r="K725" s="503"/>
      <c r="L725" s="503"/>
      <c r="M725" s="503"/>
      <c r="N725" s="503"/>
      <c r="O725" s="503"/>
      <c r="P725" s="503"/>
      <c r="Q725" s="503"/>
    </row>
    <row r="726" spans="1:17" ht="13.5" customHeight="1">
      <c r="A726" s="391"/>
      <c r="B726" s="391"/>
      <c r="C726" s="488" t="s">
        <v>623</v>
      </c>
      <c r="D726" s="457" t="s">
        <v>1030</v>
      </c>
      <c r="E726" s="185"/>
      <c r="F726" s="658">
        <v>222904</v>
      </c>
      <c r="G726" s="25">
        <f>0+'táj.2.'!G726</f>
        <v>0</v>
      </c>
      <c r="H726" s="25">
        <f>0+'táj.2.'!H726</f>
        <v>0</v>
      </c>
      <c r="I726" s="25">
        <f>0+'táj.2.'!I726</f>
        <v>0</v>
      </c>
      <c r="J726" s="25">
        <f>0+'táj.2.'!J726</f>
        <v>0</v>
      </c>
      <c r="K726" s="25">
        <f>0+'táj.2.'!K726</f>
        <v>0</v>
      </c>
      <c r="L726" s="25">
        <f>0+'táj.2.'!L726</f>
        <v>0</v>
      </c>
      <c r="M726" s="25">
        <f>0+'táj.2.'!M726</f>
        <v>0</v>
      </c>
      <c r="N726" s="25">
        <f>10000+'táj.2.'!N726</f>
        <v>10000</v>
      </c>
      <c r="O726" s="25">
        <f>0+'táj.2.'!O726</f>
        <v>0</v>
      </c>
      <c r="P726" s="25">
        <f>0+'táj.2.'!P726</f>
        <v>0</v>
      </c>
      <c r="Q726" s="25">
        <f>SUM(G726:P726)</f>
        <v>10000</v>
      </c>
    </row>
    <row r="727" spans="1:17" ht="13.5" customHeight="1">
      <c r="A727" s="391"/>
      <c r="B727" s="391"/>
      <c r="C727" s="754" t="s">
        <v>744</v>
      </c>
      <c r="D727" s="755" t="s">
        <v>157</v>
      </c>
      <c r="E727" s="185"/>
      <c r="F727" s="658">
        <v>222905</v>
      </c>
      <c r="G727" s="25">
        <f>0+'táj.2.'!G727</f>
        <v>0</v>
      </c>
      <c r="H727" s="25">
        <f>0+'táj.2.'!H727</f>
        <v>0</v>
      </c>
      <c r="I727" s="25">
        <f>0+'táj.2.'!I727</f>
        <v>0</v>
      </c>
      <c r="J727" s="25">
        <f>0+'táj.2.'!J727</f>
        <v>0</v>
      </c>
      <c r="K727" s="25">
        <f>0+'táj.2.'!K727</f>
        <v>0</v>
      </c>
      <c r="L727" s="25">
        <f>0+'táj.2.'!L727</f>
        <v>0</v>
      </c>
      <c r="M727" s="25">
        <f>0+'táj.2.'!M727</f>
        <v>0</v>
      </c>
      <c r="N727" s="25">
        <f>0+'táj.2.'!N727</f>
        <v>12000</v>
      </c>
      <c r="O727" s="25">
        <f>0+'táj.2.'!O727</f>
        <v>0</v>
      </c>
      <c r="P727" s="25">
        <f>0+'táj.2.'!P727</f>
        <v>0</v>
      </c>
      <c r="Q727" s="25">
        <f>SUM(G727:P727)</f>
        <v>12000</v>
      </c>
    </row>
    <row r="728" spans="1:145" s="505" customFormat="1" ht="13.5" customHeight="1">
      <c r="A728" s="17"/>
      <c r="B728" s="17"/>
      <c r="C728" s="346"/>
      <c r="D728" s="18" t="s">
        <v>1297</v>
      </c>
      <c r="E728" s="347"/>
      <c r="F728" s="649"/>
      <c r="G728" s="19">
        <f>SUM(G724:G727)</f>
        <v>118791</v>
      </c>
      <c r="H728" s="19">
        <f aca="true" t="shared" si="48" ref="H728:Q728">SUM(H724:H727)</f>
        <v>37460</v>
      </c>
      <c r="I728" s="19">
        <f t="shared" si="48"/>
        <v>109561</v>
      </c>
      <c r="J728" s="19">
        <f t="shared" si="48"/>
        <v>0</v>
      </c>
      <c r="K728" s="19">
        <f t="shared" si="48"/>
        <v>135578</v>
      </c>
      <c r="L728" s="19">
        <f t="shared" si="48"/>
        <v>1000</v>
      </c>
      <c r="M728" s="19">
        <f t="shared" si="48"/>
        <v>500</v>
      </c>
      <c r="N728" s="19">
        <f t="shared" si="48"/>
        <v>22040</v>
      </c>
      <c r="O728" s="19">
        <f t="shared" si="48"/>
        <v>0</v>
      </c>
      <c r="P728" s="19">
        <f t="shared" si="48"/>
        <v>0</v>
      </c>
      <c r="Q728" s="19">
        <f t="shared" si="48"/>
        <v>424930</v>
      </c>
      <c r="R728" s="504"/>
      <c r="S728" s="504"/>
      <c r="T728" s="504"/>
      <c r="U728" s="504"/>
      <c r="V728" s="504"/>
      <c r="W728" s="504"/>
      <c r="X728" s="504"/>
      <c r="Y728" s="504"/>
      <c r="Z728" s="504"/>
      <c r="AA728" s="504"/>
      <c r="AB728" s="504"/>
      <c r="AC728" s="504"/>
      <c r="AD728" s="504"/>
      <c r="AE728" s="504"/>
      <c r="AF728" s="504"/>
      <c r="AG728" s="504"/>
      <c r="AH728" s="504"/>
      <c r="AI728" s="504"/>
      <c r="AJ728" s="504"/>
      <c r="AK728" s="504"/>
      <c r="AL728" s="504"/>
      <c r="AM728" s="504"/>
      <c r="AN728" s="504"/>
      <c r="AO728" s="504"/>
      <c r="AP728" s="504"/>
      <c r="AQ728" s="504"/>
      <c r="AR728" s="504"/>
      <c r="AS728" s="504"/>
      <c r="AT728" s="504"/>
      <c r="AU728" s="504"/>
      <c r="AV728" s="504"/>
      <c r="AW728" s="504"/>
      <c r="AX728" s="504"/>
      <c r="AY728" s="504"/>
      <c r="AZ728" s="504"/>
      <c r="BA728" s="504"/>
      <c r="BB728" s="504"/>
      <c r="BC728" s="504"/>
      <c r="BD728" s="504"/>
      <c r="BE728" s="504"/>
      <c r="BF728" s="504"/>
      <c r="BG728" s="504"/>
      <c r="BH728" s="504"/>
      <c r="BI728" s="504"/>
      <c r="BJ728" s="504"/>
      <c r="BK728" s="504"/>
      <c r="BL728" s="504"/>
      <c r="BM728" s="504"/>
      <c r="BN728" s="504"/>
      <c r="BO728" s="504"/>
      <c r="BP728" s="504"/>
      <c r="BQ728" s="504"/>
      <c r="BR728" s="504"/>
      <c r="BS728" s="504"/>
      <c r="BT728" s="504"/>
      <c r="BU728" s="504"/>
      <c r="BV728" s="504"/>
      <c r="BW728" s="504"/>
      <c r="BX728" s="504"/>
      <c r="BY728" s="504"/>
      <c r="BZ728" s="504"/>
      <c r="CA728" s="504"/>
      <c r="CB728" s="504"/>
      <c r="CC728" s="504"/>
      <c r="CD728" s="504"/>
      <c r="CE728" s="504"/>
      <c r="CF728" s="504"/>
      <c r="CG728" s="504"/>
      <c r="CH728" s="504"/>
      <c r="CI728" s="504"/>
      <c r="CJ728" s="504"/>
      <c r="CK728" s="504"/>
      <c r="CL728" s="504"/>
      <c r="CM728" s="504"/>
      <c r="CN728" s="504"/>
      <c r="CO728" s="504"/>
      <c r="CP728" s="504"/>
      <c r="CQ728" s="504"/>
      <c r="CR728" s="504"/>
      <c r="CS728" s="504"/>
      <c r="CT728" s="504"/>
      <c r="CU728" s="504"/>
      <c r="CV728" s="504"/>
      <c r="CW728" s="504"/>
      <c r="CX728" s="504"/>
      <c r="CY728" s="504"/>
      <c r="CZ728" s="504"/>
      <c r="DA728" s="504"/>
      <c r="DB728" s="504"/>
      <c r="DC728" s="504"/>
      <c r="DD728" s="504"/>
      <c r="DE728" s="504"/>
      <c r="DF728" s="504"/>
      <c r="DG728" s="504"/>
      <c r="DH728" s="504"/>
      <c r="DI728" s="504"/>
      <c r="DJ728" s="504"/>
      <c r="DK728" s="504"/>
      <c r="DL728" s="504"/>
      <c r="DM728" s="504"/>
      <c r="DN728" s="504"/>
      <c r="DO728" s="504"/>
      <c r="DP728" s="504"/>
      <c r="DQ728" s="504"/>
      <c r="DR728" s="504"/>
      <c r="DS728" s="504"/>
      <c r="DT728" s="504"/>
      <c r="DU728" s="504"/>
      <c r="DV728" s="504"/>
      <c r="DW728" s="504"/>
      <c r="DX728" s="504"/>
      <c r="DY728" s="504"/>
      <c r="DZ728" s="504"/>
      <c r="EA728" s="504"/>
      <c r="EB728" s="504"/>
      <c r="EC728" s="504"/>
      <c r="ED728" s="504"/>
      <c r="EE728" s="504"/>
      <c r="EF728" s="504"/>
      <c r="EG728" s="504"/>
      <c r="EH728" s="504"/>
      <c r="EI728" s="504"/>
      <c r="EJ728" s="504"/>
      <c r="EK728" s="504"/>
      <c r="EL728" s="504"/>
      <c r="EM728" s="504"/>
      <c r="EN728" s="504"/>
      <c r="EO728" s="504"/>
    </row>
    <row r="729" spans="1:17" ht="13.5" customHeight="1">
      <c r="A729" s="186">
        <v>1</v>
      </c>
      <c r="B729" s="186">
        <v>30</v>
      </c>
      <c r="C729" s="474"/>
      <c r="D729" s="28" t="s">
        <v>1031</v>
      </c>
      <c r="E729" s="185"/>
      <c r="F729" s="658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</row>
    <row r="730" spans="1:17" ht="13.5" customHeight="1">
      <c r="A730" s="186"/>
      <c r="B730" s="186">
        <v>31</v>
      </c>
      <c r="C730" s="474"/>
      <c r="D730" s="28" t="s">
        <v>568</v>
      </c>
      <c r="E730" s="27"/>
      <c r="F730" s="658">
        <v>311901</v>
      </c>
      <c r="G730" s="26"/>
      <c r="H730" s="26"/>
      <c r="I730" s="26"/>
      <c r="J730" s="26"/>
      <c r="K730" s="25">
        <f>3222+'táj.2.'!K730</f>
        <v>3222</v>
      </c>
      <c r="L730" s="26"/>
      <c r="M730" s="26"/>
      <c r="N730" s="26"/>
      <c r="O730" s="26"/>
      <c r="P730" s="25"/>
      <c r="Q730" s="25">
        <f>SUM(G730:P730)</f>
        <v>3222</v>
      </c>
    </row>
    <row r="731" spans="1:17" ht="13.5" customHeight="1">
      <c r="A731" s="23"/>
      <c r="B731" s="23">
        <v>32</v>
      </c>
      <c r="C731" s="387"/>
      <c r="D731" s="28" t="s">
        <v>466</v>
      </c>
      <c r="E731" s="185"/>
      <c r="F731" s="658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</row>
    <row r="732" spans="1:17" ht="13.5" customHeight="1">
      <c r="A732" s="23"/>
      <c r="B732" s="23"/>
      <c r="C732" s="387"/>
      <c r="D732" s="24" t="s">
        <v>1032</v>
      </c>
      <c r="E732" s="25">
        <v>1</v>
      </c>
      <c r="F732" s="23">
        <v>321907</v>
      </c>
      <c r="G732" s="25"/>
      <c r="H732" s="25"/>
      <c r="I732" s="25"/>
      <c r="J732" s="25"/>
      <c r="K732" s="25">
        <f>29383+'táj.2.'!K732</f>
        <v>0</v>
      </c>
      <c r="L732" s="25"/>
      <c r="M732" s="25"/>
      <c r="N732" s="25"/>
      <c r="O732" s="25"/>
      <c r="P732" s="25"/>
      <c r="Q732" s="25">
        <f>SUM(G732:P732)</f>
        <v>0</v>
      </c>
    </row>
    <row r="733" spans="1:17" ht="12.75" customHeight="1">
      <c r="A733" s="506"/>
      <c r="B733" s="506"/>
      <c r="C733" s="506"/>
      <c r="D733" s="507" t="s">
        <v>1076</v>
      </c>
      <c r="E733" s="508">
        <v>1</v>
      </c>
      <c r="F733" s="668">
        <v>321903</v>
      </c>
      <c r="G733" s="506"/>
      <c r="H733" s="506"/>
      <c r="I733" s="508"/>
      <c r="J733" s="509"/>
      <c r="K733" s="25">
        <f>24547+'táj.2.'!K733</f>
        <v>24547</v>
      </c>
      <c r="L733" s="506"/>
      <c r="M733" s="506"/>
      <c r="N733" s="506"/>
      <c r="O733" s="506"/>
      <c r="P733" s="510"/>
      <c r="Q733" s="25">
        <f>SUM(G733:P733)</f>
        <v>24547</v>
      </c>
    </row>
    <row r="734" spans="1:17" ht="13.5" customHeight="1">
      <c r="A734" s="23"/>
      <c r="B734" s="23"/>
      <c r="C734" s="387"/>
      <c r="D734" s="24" t="s">
        <v>1033</v>
      </c>
      <c r="E734" s="337">
        <v>1</v>
      </c>
      <c r="F734" s="23">
        <v>321908</v>
      </c>
      <c r="G734" s="25"/>
      <c r="H734" s="25"/>
      <c r="I734" s="25"/>
      <c r="J734" s="25"/>
      <c r="K734" s="25">
        <f>8329+'táj.2.'!K734</f>
        <v>5045</v>
      </c>
      <c r="L734" s="25"/>
      <c r="M734" s="25"/>
      <c r="N734" s="25"/>
      <c r="O734" s="25"/>
      <c r="P734" s="25"/>
      <c r="Q734" s="25">
        <f>SUM(G734:P734)</f>
        <v>5045</v>
      </c>
    </row>
    <row r="735" spans="1:17" ht="24.75" customHeight="1">
      <c r="A735" s="23"/>
      <c r="B735" s="23"/>
      <c r="C735" s="387"/>
      <c r="D735" s="202" t="s">
        <v>1077</v>
      </c>
      <c r="E735" s="353">
        <v>1</v>
      </c>
      <c r="F735" s="652">
        <v>321926</v>
      </c>
      <c r="G735" s="25"/>
      <c r="H735" s="25"/>
      <c r="I735" s="25"/>
      <c r="J735" s="25"/>
      <c r="K735" s="25">
        <f>93658+'táj.2.'!K735</f>
        <v>10149</v>
      </c>
      <c r="L735" s="25"/>
      <c r="M735" s="25"/>
      <c r="N735" s="25"/>
      <c r="O735" s="25"/>
      <c r="P735" s="25"/>
      <c r="Q735" s="25">
        <f>SUM(G735:P735)</f>
        <v>10149</v>
      </c>
    </row>
    <row r="736" spans="1:17" ht="18" customHeight="1">
      <c r="A736" s="23"/>
      <c r="B736" s="23"/>
      <c r="C736" s="387"/>
      <c r="D736" s="203" t="s">
        <v>1034</v>
      </c>
      <c r="E736" s="353">
        <v>1</v>
      </c>
      <c r="F736" s="652">
        <v>321911</v>
      </c>
      <c r="G736" s="25"/>
      <c r="H736" s="25"/>
      <c r="I736" s="25"/>
      <c r="J736" s="25"/>
      <c r="K736" s="25">
        <f>50000+'táj.2.'!K736</f>
        <v>50000</v>
      </c>
      <c r="L736" s="25"/>
      <c r="M736" s="25"/>
      <c r="N736" s="25"/>
      <c r="O736" s="25"/>
      <c r="P736" s="25"/>
      <c r="Q736" s="25">
        <f>SUM(G736:P736)</f>
        <v>50000</v>
      </c>
    </row>
    <row r="737" spans="1:17" ht="28.5" customHeight="1">
      <c r="A737" s="23"/>
      <c r="B737" s="23"/>
      <c r="C737" s="387"/>
      <c r="D737" s="351" t="s">
        <v>1035</v>
      </c>
      <c r="E737" s="353"/>
      <c r="F737" s="652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</row>
    <row r="738" spans="1:17" ht="13.5" customHeight="1">
      <c r="A738" s="23"/>
      <c r="B738" s="23"/>
      <c r="C738" s="387"/>
      <c r="D738" s="16" t="s">
        <v>1036</v>
      </c>
      <c r="E738" s="477">
        <v>2</v>
      </c>
      <c r="F738" s="13">
        <v>321953</v>
      </c>
      <c r="G738" s="25"/>
      <c r="H738" s="25"/>
      <c r="I738" s="25"/>
      <c r="J738" s="25"/>
      <c r="K738" s="25">
        <f>0+'táj.2.'!K738</f>
        <v>0</v>
      </c>
      <c r="L738" s="25"/>
      <c r="M738" s="25"/>
      <c r="N738" s="25"/>
      <c r="O738" s="25"/>
      <c r="P738" s="25"/>
      <c r="Q738" s="25">
        <f>SUM(G738:P738)</f>
        <v>0</v>
      </c>
    </row>
    <row r="739" spans="1:17" ht="13.5" customHeight="1">
      <c r="A739" s="23"/>
      <c r="B739" s="23"/>
      <c r="C739" s="387"/>
      <c r="D739" s="24" t="s">
        <v>1037</v>
      </c>
      <c r="E739" s="337">
        <v>2</v>
      </c>
      <c r="F739" s="23">
        <v>321954</v>
      </c>
      <c r="G739" s="25"/>
      <c r="H739" s="25"/>
      <c r="I739" s="25"/>
      <c r="J739" s="25"/>
      <c r="K739" s="25">
        <f>0+'táj.2.'!K739</f>
        <v>0</v>
      </c>
      <c r="L739" s="25"/>
      <c r="M739" s="25"/>
      <c r="N739" s="25"/>
      <c r="O739" s="25"/>
      <c r="P739" s="25"/>
      <c r="Q739" s="25">
        <f>SUM(G739:P739)</f>
        <v>0</v>
      </c>
    </row>
    <row r="740" spans="1:17" ht="13.5" customHeight="1">
      <c r="A740" s="23"/>
      <c r="B740" s="23"/>
      <c r="C740" s="387"/>
      <c r="D740" s="202" t="s">
        <v>1038</v>
      </c>
      <c r="E740" s="353">
        <v>2</v>
      </c>
      <c r="F740" s="652">
        <v>321906</v>
      </c>
      <c r="G740" s="25"/>
      <c r="H740" s="25"/>
      <c r="I740" s="25"/>
      <c r="J740" s="25"/>
      <c r="K740" s="25">
        <f>27+'táj.2.'!K740</f>
        <v>27</v>
      </c>
      <c r="L740" s="25"/>
      <c r="M740" s="25"/>
      <c r="N740" s="25"/>
      <c r="O740" s="25"/>
      <c r="P740" s="25"/>
      <c r="Q740" s="25">
        <f>SUM(G740:P740)</f>
        <v>27</v>
      </c>
    </row>
    <row r="741" spans="1:17" ht="24.75" customHeight="1">
      <c r="A741" s="23"/>
      <c r="B741" s="23"/>
      <c r="C741" s="387"/>
      <c r="D741" s="351" t="s">
        <v>1043</v>
      </c>
      <c r="E741" s="353"/>
      <c r="F741" s="652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</row>
    <row r="742" spans="1:17" ht="13.5" customHeight="1">
      <c r="A742" s="23"/>
      <c r="B742" s="23"/>
      <c r="C742" s="387"/>
      <c r="D742" s="24" t="s">
        <v>1044</v>
      </c>
      <c r="E742" s="337">
        <v>2</v>
      </c>
      <c r="F742" s="23">
        <v>321958</v>
      </c>
      <c r="G742" s="25"/>
      <c r="H742" s="25"/>
      <c r="I742" s="25"/>
      <c r="J742" s="25"/>
      <c r="K742" s="25">
        <f>0+'táj.2.'!K742</f>
        <v>0</v>
      </c>
      <c r="L742" s="25"/>
      <c r="M742" s="25"/>
      <c r="N742" s="25"/>
      <c r="O742" s="25"/>
      <c r="P742" s="25"/>
      <c r="Q742" s="25">
        <f>SUM(G742:P742)</f>
        <v>0</v>
      </c>
    </row>
    <row r="743" spans="1:17" ht="13.5" customHeight="1">
      <c r="A743" s="23"/>
      <c r="B743" s="23"/>
      <c r="C743" s="387"/>
      <c r="D743" s="202" t="s">
        <v>1045</v>
      </c>
      <c r="E743" s="353">
        <v>2</v>
      </c>
      <c r="F743" s="652">
        <v>321956</v>
      </c>
      <c r="G743" s="25"/>
      <c r="H743" s="25"/>
      <c r="I743" s="25"/>
      <c r="J743" s="25"/>
      <c r="K743" s="25">
        <f>0+'táj.2.'!K743</f>
        <v>0</v>
      </c>
      <c r="L743" s="25"/>
      <c r="M743" s="25"/>
      <c r="N743" s="25"/>
      <c r="O743" s="25"/>
      <c r="P743" s="25"/>
      <c r="Q743" s="25">
        <f>SUM(G743:P743)</f>
        <v>0</v>
      </c>
    </row>
    <row r="744" spans="1:17" ht="24.75" customHeight="1">
      <c r="A744" s="23"/>
      <c r="B744" s="23"/>
      <c r="C744" s="387"/>
      <c r="D744" s="351" t="s">
        <v>1046</v>
      </c>
      <c r="E744" s="353"/>
      <c r="F744" s="652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</row>
    <row r="745" spans="1:17" ht="13.5" customHeight="1">
      <c r="A745" s="23"/>
      <c r="B745" s="23"/>
      <c r="C745" s="387"/>
      <c r="D745" s="24" t="s">
        <v>1047</v>
      </c>
      <c r="E745" s="337">
        <v>2</v>
      </c>
      <c r="F745" s="23">
        <v>321959</v>
      </c>
      <c r="G745" s="25"/>
      <c r="H745" s="25"/>
      <c r="I745" s="25"/>
      <c r="J745" s="25"/>
      <c r="K745" s="25">
        <f>0+'táj.2.'!K745</f>
        <v>0</v>
      </c>
      <c r="L745" s="25"/>
      <c r="M745" s="25"/>
      <c r="N745" s="25"/>
      <c r="O745" s="25"/>
      <c r="P745" s="25"/>
      <c r="Q745" s="25">
        <f>SUM(G745:P745)</f>
        <v>0</v>
      </c>
    </row>
    <row r="746" spans="1:17" ht="25.5" customHeight="1">
      <c r="A746" s="23"/>
      <c r="B746" s="23"/>
      <c r="C746" s="387"/>
      <c r="D746" s="351" t="s">
        <v>1048</v>
      </c>
      <c r="E746" s="353"/>
      <c r="F746" s="652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</row>
    <row r="747" spans="1:17" ht="15" customHeight="1">
      <c r="A747" s="23"/>
      <c r="B747" s="23"/>
      <c r="C747" s="387"/>
      <c r="D747" s="202" t="s">
        <v>1049</v>
      </c>
      <c r="E747" s="353">
        <v>2</v>
      </c>
      <c r="F747" s="652">
        <v>321960</v>
      </c>
      <c r="G747" s="25"/>
      <c r="H747" s="25"/>
      <c r="I747" s="25"/>
      <c r="J747" s="25"/>
      <c r="K747" s="25">
        <f>0+'táj.2.'!K747</f>
        <v>0</v>
      </c>
      <c r="L747" s="25"/>
      <c r="M747" s="25"/>
      <c r="N747" s="25"/>
      <c r="O747" s="25"/>
      <c r="P747" s="25"/>
      <c r="Q747" s="25">
        <f aca="true" t="shared" si="49" ref="Q747:Q753">SUM(G747:P747)</f>
        <v>0</v>
      </c>
    </row>
    <row r="748" spans="1:17" ht="24" customHeight="1">
      <c r="A748" s="23"/>
      <c r="B748" s="23"/>
      <c r="C748" s="387"/>
      <c r="D748" s="511" t="s">
        <v>1050</v>
      </c>
      <c r="E748" s="512"/>
      <c r="F748" s="669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</row>
    <row r="749" spans="1:17" ht="15" customHeight="1">
      <c r="A749" s="23"/>
      <c r="B749" s="23"/>
      <c r="C749" s="387"/>
      <c r="D749" s="178" t="s">
        <v>1051</v>
      </c>
      <c r="E749" s="353">
        <v>1</v>
      </c>
      <c r="F749" s="652">
        <v>321961</v>
      </c>
      <c r="G749" s="25"/>
      <c r="H749" s="25"/>
      <c r="I749" s="25"/>
      <c r="J749" s="25"/>
      <c r="K749" s="25">
        <f>750+'táj.2.'!K749</f>
        <v>750</v>
      </c>
      <c r="L749" s="25"/>
      <c r="M749" s="25"/>
      <c r="N749" s="25"/>
      <c r="O749" s="25"/>
      <c r="P749" s="25"/>
      <c r="Q749" s="25">
        <f t="shared" si="49"/>
        <v>750</v>
      </c>
    </row>
    <row r="750" spans="1:17" ht="15" customHeight="1">
      <c r="A750" s="23"/>
      <c r="B750" s="23"/>
      <c r="C750" s="387"/>
      <c r="D750" s="178" t="s">
        <v>1052</v>
      </c>
      <c r="E750" s="353">
        <v>1</v>
      </c>
      <c r="F750" s="652">
        <v>321909</v>
      </c>
      <c r="G750" s="25"/>
      <c r="H750" s="25"/>
      <c r="I750" s="25"/>
      <c r="J750" s="25"/>
      <c r="K750" s="25">
        <f>45000+'táj.2.'!K750</f>
        <v>45000</v>
      </c>
      <c r="L750" s="25"/>
      <c r="M750" s="25"/>
      <c r="N750" s="25"/>
      <c r="O750" s="25"/>
      <c r="P750" s="25"/>
      <c r="Q750" s="25">
        <f t="shared" si="49"/>
        <v>45000</v>
      </c>
    </row>
    <row r="751" spans="1:17" ht="13.5" customHeight="1">
      <c r="A751" s="23"/>
      <c r="B751" s="23"/>
      <c r="C751" s="387"/>
      <c r="D751" s="117" t="s">
        <v>698</v>
      </c>
      <c r="E751" s="185"/>
      <c r="F751" s="23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</row>
    <row r="752" spans="1:17" ht="13.5" customHeight="1">
      <c r="A752" s="23"/>
      <c r="B752" s="23"/>
      <c r="C752" s="387" t="s">
        <v>562</v>
      </c>
      <c r="D752" s="151" t="s">
        <v>585</v>
      </c>
      <c r="E752" s="185"/>
      <c r="F752" s="23">
        <v>324902</v>
      </c>
      <c r="G752" s="25"/>
      <c r="H752" s="25"/>
      <c r="I752" s="25"/>
      <c r="J752" s="25"/>
      <c r="K752" s="25">
        <f>0+'táj.2.'!K752</f>
        <v>0</v>
      </c>
      <c r="L752" s="25">
        <f>0+'táj.2.'!L752</f>
        <v>0</v>
      </c>
      <c r="M752" s="25">
        <f>6599+'táj.2.'!M752</f>
        <v>4906</v>
      </c>
      <c r="N752" s="25"/>
      <c r="O752" s="25"/>
      <c r="P752" s="25"/>
      <c r="Q752" s="25">
        <f t="shared" si="49"/>
        <v>4906</v>
      </c>
    </row>
    <row r="753" spans="1:17" ht="13.5" customHeight="1">
      <c r="A753" s="23"/>
      <c r="B753" s="23"/>
      <c r="C753" s="387" t="s">
        <v>626</v>
      </c>
      <c r="D753" s="513" t="s">
        <v>1053</v>
      </c>
      <c r="E753" s="185"/>
      <c r="F753" s="23">
        <v>322902</v>
      </c>
      <c r="G753" s="374"/>
      <c r="H753" s="374"/>
      <c r="I753" s="374"/>
      <c r="J753" s="374"/>
      <c r="K753" s="25">
        <f>0+'táj.2.'!K753</f>
        <v>0</v>
      </c>
      <c r="L753" s="25">
        <f>3990+'táj.2.'!L753</f>
        <v>2151</v>
      </c>
      <c r="M753" s="25">
        <f>0+'táj.2.'!M753</f>
        <v>0</v>
      </c>
      <c r="N753" s="375"/>
      <c r="O753" s="374"/>
      <c r="P753" s="374"/>
      <c r="Q753" s="375">
        <f t="shared" si="49"/>
        <v>2151</v>
      </c>
    </row>
    <row r="754" spans="1:17" ht="15.75" customHeight="1">
      <c r="A754" s="17"/>
      <c r="B754" s="17"/>
      <c r="C754" s="346"/>
      <c r="D754" s="18" t="s">
        <v>467</v>
      </c>
      <c r="E754" s="347"/>
      <c r="F754" s="649"/>
      <c r="G754" s="19">
        <f aca="true" t="shared" si="50" ref="G754:Q754">SUM(G729:G753)</f>
        <v>0</v>
      </c>
      <c r="H754" s="19">
        <f t="shared" si="50"/>
        <v>0</v>
      </c>
      <c r="I754" s="19">
        <f t="shared" si="50"/>
        <v>0</v>
      </c>
      <c r="J754" s="19">
        <f t="shared" si="50"/>
        <v>0</v>
      </c>
      <c r="K754" s="19">
        <f t="shared" si="50"/>
        <v>138740</v>
      </c>
      <c r="L754" s="19">
        <f t="shared" si="50"/>
        <v>2151</v>
      </c>
      <c r="M754" s="19">
        <f t="shared" si="50"/>
        <v>4906</v>
      </c>
      <c r="N754" s="19">
        <f t="shared" si="50"/>
        <v>0</v>
      </c>
      <c r="O754" s="19">
        <f t="shared" si="50"/>
        <v>0</v>
      </c>
      <c r="P754" s="19">
        <f t="shared" si="50"/>
        <v>0</v>
      </c>
      <c r="Q754" s="19">
        <f t="shared" si="50"/>
        <v>145797</v>
      </c>
    </row>
    <row r="755" spans="1:17" ht="15.75" customHeight="1">
      <c r="A755" s="17"/>
      <c r="B755" s="17"/>
      <c r="C755" s="346"/>
      <c r="D755" s="514" t="s">
        <v>455</v>
      </c>
      <c r="E755" s="515"/>
      <c r="F755" s="670"/>
      <c r="G755" s="516">
        <f aca="true" t="shared" si="51" ref="G755:Q755">SUM(G52+G234+G250+G494+G601+G632+G651+G690+G692+G728+G754)</f>
        <v>149006</v>
      </c>
      <c r="H755" s="516">
        <f t="shared" si="51"/>
        <v>47725</v>
      </c>
      <c r="I755" s="516">
        <f t="shared" si="51"/>
        <v>2969352</v>
      </c>
      <c r="J755" s="516">
        <f t="shared" si="51"/>
        <v>208813</v>
      </c>
      <c r="K755" s="516">
        <f t="shared" si="51"/>
        <v>1596513</v>
      </c>
      <c r="L755" s="516">
        <f t="shared" si="51"/>
        <v>5151476</v>
      </c>
      <c r="M755" s="516">
        <f t="shared" si="51"/>
        <v>1160026</v>
      </c>
      <c r="N755" s="516">
        <f t="shared" si="51"/>
        <v>995145</v>
      </c>
      <c r="O755" s="516">
        <f t="shared" si="51"/>
        <v>0</v>
      </c>
      <c r="P755" s="516">
        <f t="shared" si="51"/>
        <v>63709</v>
      </c>
      <c r="Q755" s="516">
        <f t="shared" si="51"/>
        <v>12341765</v>
      </c>
    </row>
    <row r="756" spans="1:17" ht="15.75" customHeight="1">
      <c r="A756" s="13"/>
      <c r="B756" s="13"/>
      <c r="C756" s="13"/>
      <c r="D756" s="331" t="s">
        <v>485</v>
      </c>
      <c r="E756" s="14"/>
      <c r="F756" s="650"/>
      <c r="G756" s="89">
        <f>3040945+'táj.2.'!G756</f>
        <v>3088673</v>
      </c>
      <c r="H756" s="89">
        <f>856975+'táj.2.'!H756</f>
        <v>869818</v>
      </c>
      <c r="I756" s="89">
        <f>2487585+'táj.2.'!I756</f>
        <v>2490339</v>
      </c>
      <c r="J756" s="89">
        <f>0+'táj.2.'!J756</f>
        <v>0</v>
      </c>
      <c r="K756" s="89">
        <f>34854+'táj.2.'!K756</f>
        <v>36403</v>
      </c>
      <c r="L756" s="89">
        <f>69257+'táj.2.'!L756</f>
        <v>129946</v>
      </c>
      <c r="M756" s="89">
        <f>45421+'táj.2.'!M756</f>
        <v>37421</v>
      </c>
      <c r="N756" s="89">
        <f>0+'táj.2.'!N756</f>
        <v>0</v>
      </c>
      <c r="O756" s="89">
        <f>0+'táj.2.'!O756</f>
        <v>0</v>
      </c>
      <c r="P756" s="89">
        <f>0+'táj.2.'!P756</f>
        <v>0</v>
      </c>
      <c r="Q756" s="517">
        <f>SUM(G756:P756)</f>
        <v>6652600</v>
      </c>
    </row>
    <row r="757" spans="1:17" ht="15.75" customHeight="1">
      <c r="A757" s="17"/>
      <c r="B757" s="17"/>
      <c r="C757" s="346"/>
      <c r="D757" s="18" t="s">
        <v>468</v>
      </c>
      <c r="E757" s="518"/>
      <c r="F757" s="671"/>
      <c r="G757" s="62">
        <f aca="true" t="shared" si="52" ref="G757:Q757">SUM(G755:G756)</f>
        <v>3237679</v>
      </c>
      <c r="H757" s="62">
        <f t="shared" si="52"/>
        <v>917543</v>
      </c>
      <c r="I757" s="62">
        <f t="shared" si="52"/>
        <v>5459691</v>
      </c>
      <c r="J757" s="62">
        <f t="shared" si="52"/>
        <v>208813</v>
      </c>
      <c r="K757" s="62">
        <f t="shared" si="52"/>
        <v>1632916</v>
      </c>
      <c r="L757" s="19">
        <f t="shared" si="52"/>
        <v>5281422</v>
      </c>
      <c r="M757" s="19">
        <f t="shared" si="52"/>
        <v>1197447</v>
      </c>
      <c r="N757" s="19">
        <f t="shared" si="52"/>
        <v>995145</v>
      </c>
      <c r="O757" s="19">
        <f t="shared" si="52"/>
        <v>0</v>
      </c>
      <c r="P757" s="19">
        <f t="shared" si="52"/>
        <v>63709</v>
      </c>
      <c r="Q757" s="19">
        <f t="shared" si="52"/>
        <v>18994365</v>
      </c>
    </row>
    <row r="758" spans="1:17" ht="15.75" customHeight="1">
      <c r="A758" s="519"/>
      <c r="B758" s="519"/>
      <c r="C758" s="519"/>
      <c r="D758" s="520"/>
      <c r="E758" s="520"/>
      <c r="F758" s="519"/>
      <c r="G758" s="520"/>
      <c r="H758" s="520"/>
      <c r="I758" s="520"/>
      <c r="J758" s="520"/>
      <c r="K758" s="520"/>
      <c r="L758" s="520"/>
      <c r="M758" s="520"/>
      <c r="N758" s="521"/>
      <c r="O758" s="521"/>
      <c r="P758" s="521"/>
      <c r="Q758" s="520"/>
    </row>
    <row r="759" spans="1:17" ht="12">
      <c r="A759" s="32"/>
      <c r="B759" s="32"/>
      <c r="C759" s="32"/>
      <c r="D759" s="32"/>
      <c r="E759" s="32"/>
      <c r="F759" s="67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2">
      <c r="A760" s="32"/>
      <c r="B760" s="32"/>
      <c r="C760" s="32"/>
      <c r="D760" s="32"/>
      <c r="E760" s="32"/>
      <c r="F760" s="67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2">
      <c r="A761" s="32"/>
      <c r="B761" s="32"/>
      <c r="C761" s="32"/>
      <c r="D761" s="32"/>
      <c r="E761" s="32"/>
      <c r="F761" s="67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2">
      <c r="A762" s="32"/>
      <c r="B762" s="32"/>
      <c r="C762" s="32"/>
      <c r="D762" s="32"/>
      <c r="E762" s="32"/>
      <c r="F762" s="67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2">
      <c r="A763" s="32"/>
      <c r="B763" s="32"/>
      <c r="C763" s="32"/>
      <c r="D763" s="32"/>
      <c r="E763" s="32"/>
      <c r="F763" s="67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dőlt"6.a melléklet
Adatok E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="98" zoomScaleNormal="98" zoomScalePageLayoutView="0" workbookViewId="0" topLeftCell="A1">
      <selection activeCell="A20" sqref="A20"/>
    </sheetView>
  </sheetViews>
  <sheetFormatPr defaultColWidth="9.00390625" defaultRowHeight="12.75"/>
  <cols>
    <col min="1" max="1" width="3.00390625" style="36" customWidth="1"/>
    <col min="2" max="2" width="37.50390625" style="33" customWidth="1"/>
    <col min="3" max="3" width="12.375" style="33" customWidth="1"/>
    <col min="4" max="4" width="10.625" style="33" customWidth="1"/>
    <col min="5" max="5" width="11.875" style="33" customWidth="1"/>
    <col min="6" max="6" width="10.375" style="33" customWidth="1"/>
    <col min="7" max="7" width="8.50390625" style="33" customWidth="1"/>
    <col min="8" max="8" width="11.875" style="33" customWidth="1"/>
    <col min="9" max="9" width="10.50390625" style="33" customWidth="1"/>
    <col min="10" max="10" width="11.625" style="33" customWidth="1"/>
    <col min="11" max="11" width="11.375" style="33" customWidth="1"/>
    <col min="12" max="12" width="12.875" style="33" customWidth="1"/>
    <col min="13" max="13" width="13.125" style="33" customWidth="1"/>
    <col min="14" max="14" width="9.50390625" style="33" customWidth="1"/>
    <col min="15" max="15" width="13.125" style="33" customWidth="1"/>
    <col min="16" max="16384" width="9.375" style="33" customWidth="1"/>
  </cols>
  <sheetData>
    <row r="1" spans="1:15" ht="14.25" customHeight="1">
      <c r="A1" s="836" t="s">
        <v>719</v>
      </c>
      <c r="B1" s="836" t="s">
        <v>488</v>
      </c>
      <c r="C1" s="840" t="s">
        <v>1055</v>
      </c>
      <c r="D1" s="840" t="s">
        <v>337</v>
      </c>
      <c r="E1" s="836" t="s">
        <v>725</v>
      </c>
      <c r="F1" s="838"/>
      <c r="G1" s="838"/>
      <c r="H1" s="838"/>
      <c r="I1" s="838"/>
      <c r="J1" s="838"/>
      <c r="K1" s="838"/>
      <c r="L1" s="839" t="s">
        <v>726</v>
      </c>
      <c r="M1" s="838"/>
      <c r="N1" s="838"/>
      <c r="O1" s="836" t="s">
        <v>727</v>
      </c>
    </row>
    <row r="2" spans="1:15" ht="81.75" customHeight="1">
      <c r="A2" s="837"/>
      <c r="B2" s="837"/>
      <c r="C2" s="841"/>
      <c r="D2" s="841"/>
      <c r="E2" s="123" t="s">
        <v>728</v>
      </c>
      <c r="F2" s="123" t="s">
        <v>729</v>
      </c>
      <c r="G2" s="123" t="s">
        <v>351</v>
      </c>
      <c r="H2" s="123" t="s">
        <v>730</v>
      </c>
      <c r="I2" s="123" t="s">
        <v>486</v>
      </c>
      <c r="J2" s="123" t="s">
        <v>731</v>
      </c>
      <c r="K2" s="123" t="s">
        <v>732</v>
      </c>
      <c r="L2" s="123" t="s">
        <v>733</v>
      </c>
      <c r="M2" s="123" t="s">
        <v>734</v>
      </c>
      <c r="N2" s="123" t="s">
        <v>735</v>
      </c>
      <c r="O2" s="836"/>
    </row>
    <row r="3" spans="1:15" ht="15" customHeight="1">
      <c r="A3" s="122">
        <v>2</v>
      </c>
      <c r="B3" s="110" t="s">
        <v>688</v>
      </c>
      <c r="C3" s="111">
        <v>1181625</v>
      </c>
      <c r="D3" s="111">
        <f>31977+'táj.3.'!M3</f>
        <v>42267</v>
      </c>
      <c r="E3" s="124">
        <f>3354+'táj.3.'!C3</f>
        <v>5519</v>
      </c>
      <c r="F3" s="124">
        <f>0+'táj.3.'!D3</f>
        <v>0</v>
      </c>
      <c r="G3" s="124">
        <f>0+'táj.3.'!E3</f>
        <v>0</v>
      </c>
      <c r="H3" s="181">
        <f>14500+'táj.3.'!F3</f>
        <v>15095</v>
      </c>
      <c r="I3" s="181">
        <f>0+'táj.3.'!G3</f>
        <v>2205</v>
      </c>
      <c r="J3" s="181">
        <f>0+'táj.3.'!H3</f>
        <v>0</v>
      </c>
      <c r="K3" s="181">
        <f>0+'táj.3.'!I3</f>
        <v>0</v>
      </c>
      <c r="L3" s="181">
        <f>154238+'táj.3.'!J3</f>
        <v>154238</v>
      </c>
      <c r="M3" s="181">
        <f>1041510+'táj.3.'!K3</f>
        <v>1046835</v>
      </c>
      <c r="N3" s="181">
        <f>0+'táj.3.'!L3</f>
        <v>0</v>
      </c>
      <c r="O3" s="181">
        <f aca="true" t="shared" si="0" ref="O3:O20">SUM(E3:N3)</f>
        <v>1223892</v>
      </c>
    </row>
    <row r="4" spans="1:15" s="34" customFormat="1" ht="16.5" customHeight="1">
      <c r="A4" s="122">
        <v>3</v>
      </c>
      <c r="B4" s="110" t="s">
        <v>709</v>
      </c>
      <c r="C4" s="111">
        <v>1337500</v>
      </c>
      <c r="D4" s="111">
        <f>56250+'táj.3.'!M4</f>
        <v>69182</v>
      </c>
      <c r="E4" s="124">
        <f>1000+'táj.3.'!C4</f>
        <v>3000</v>
      </c>
      <c r="F4" s="124">
        <f>2100+'táj.3.'!D4</f>
        <v>2100</v>
      </c>
      <c r="G4" s="124">
        <f>0+'táj.3.'!E4</f>
        <v>0</v>
      </c>
      <c r="H4" s="181">
        <f>392689+'táj.3.'!F4</f>
        <v>392689</v>
      </c>
      <c r="I4" s="181">
        <f>0+'táj.3.'!G4</f>
        <v>0</v>
      </c>
      <c r="J4" s="181">
        <f>0+'táj.3.'!H4</f>
        <v>0</v>
      </c>
      <c r="K4" s="181">
        <f>0+'táj.3.'!I4</f>
        <v>0</v>
      </c>
      <c r="L4" s="181">
        <f>186173+'táj.3.'!J4</f>
        <v>186173</v>
      </c>
      <c r="M4" s="181">
        <f>811788+'táj.3.'!K4</f>
        <v>822720</v>
      </c>
      <c r="N4" s="181">
        <f>0+'táj.3.'!L4</f>
        <v>0</v>
      </c>
      <c r="O4" s="181">
        <f t="shared" si="0"/>
        <v>1406682</v>
      </c>
    </row>
    <row r="5" spans="1:15" s="34" customFormat="1" ht="19.5" customHeight="1">
      <c r="A5" s="122">
        <v>4</v>
      </c>
      <c r="B5" s="110" t="s">
        <v>710</v>
      </c>
      <c r="C5" s="111">
        <v>377182</v>
      </c>
      <c r="D5" s="111">
        <f>24853+'táj.3.'!M5</f>
        <v>50202</v>
      </c>
      <c r="E5" s="124">
        <f>6724+'táj.3.'!C5</f>
        <v>3074</v>
      </c>
      <c r="F5" s="124">
        <f>10000+'táj.3.'!D5</f>
        <v>10000</v>
      </c>
      <c r="G5" s="124">
        <f>0+'táj.3.'!E5</f>
        <v>0</v>
      </c>
      <c r="H5" s="181">
        <f>101525+'táj.3.'!F5</f>
        <v>101525</v>
      </c>
      <c r="I5" s="181">
        <f>0+'táj.3.'!G5</f>
        <v>0</v>
      </c>
      <c r="J5" s="181">
        <f>0+'táj.3.'!H5</f>
        <v>0</v>
      </c>
      <c r="K5" s="181">
        <f>0+'táj.3.'!I5</f>
        <v>0</v>
      </c>
      <c r="L5" s="181">
        <f>968+'táj.3.'!J5</f>
        <v>968</v>
      </c>
      <c r="M5" s="181">
        <f>282818+'táj.3.'!K5</f>
        <v>311817</v>
      </c>
      <c r="N5" s="181">
        <f>0+'táj.3.'!L5</f>
        <v>0</v>
      </c>
      <c r="O5" s="181">
        <f t="shared" si="0"/>
        <v>427384</v>
      </c>
    </row>
    <row r="6" spans="1:15" s="34" customFormat="1" ht="20.25" customHeight="1">
      <c r="A6" s="122">
        <v>5</v>
      </c>
      <c r="B6" s="121" t="s">
        <v>711</v>
      </c>
      <c r="C6" s="89">
        <v>317551</v>
      </c>
      <c r="D6" s="111">
        <f>73587+'táj.3.'!M6</f>
        <v>77175</v>
      </c>
      <c r="E6" s="124">
        <f>258000+'táj.3.'!C6</f>
        <v>258000</v>
      </c>
      <c r="F6" s="124">
        <f>0+'táj.3.'!D6</f>
        <v>0</v>
      </c>
      <c r="G6" s="124">
        <f>0+'táj.3.'!E6</f>
        <v>0</v>
      </c>
      <c r="H6" s="181">
        <f>1670+'táj.3.'!F6</f>
        <v>2940</v>
      </c>
      <c r="I6" s="181">
        <f>0+'táj.3.'!G6</f>
        <v>0</v>
      </c>
      <c r="J6" s="181">
        <f>0+'táj.3.'!H6</f>
        <v>0</v>
      </c>
      <c r="K6" s="181">
        <f>0+'táj.3.'!I6</f>
        <v>0</v>
      </c>
      <c r="L6" s="181">
        <f>70092+'táj.3.'!J6</f>
        <v>70092</v>
      </c>
      <c r="M6" s="181">
        <f>61376+'táj.3.'!K6</f>
        <v>63694</v>
      </c>
      <c r="N6" s="181">
        <f>0+'táj.3.'!L6</f>
        <v>0</v>
      </c>
      <c r="O6" s="181">
        <f t="shared" si="0"/>
        <v>394726</v>
      </c>
    </row>
    <row r="7" spans="1:15" s="34" customFormat="1" ht="15.75" customHeight="1">
      <c r="A7" s="122">
        <v>6</v>
      </c>
      <c r="B7" s="121" t="s">
        <v>712</v>
      </c>
      <c r="C7" s="89">
        <v>317172</v>
      </c>
      <c r="D7" s="111">
        <f>11701+'táj.3.'!M7</f>
        <v>18604</v>
      </c>
      <c r="E7" s="124">
        <f>556+'táj.3.'!C7</f>
        <v>1120</v>
      </c>
      <c r="F7" s="124">
        <f>1000+'táj.3.'!D7</f>
        <v>0</v>
      </c>
      <c r="G7" s="124">
        <f>0+'táj.3.'!E7</f>
        <v>0</v>
      </c>
      <c r="H7" s="181">
        <f>37101+'táj.3.'!F7</f>
        <v>37101</v>
      </c>
      <c r="I7" s="181">
        <f>0+'táj.3.'!G7</f>
        <v>0</v>
      </c>
      <c r="J7" s="181">
        <f>0+'táj.3.'!H7</f>
        <v>0</v>
      </c>
      <c r="K7" s="181">
        <f>0+'táj.3.'!I7</f>
        <v>0</v>
      </c>
      <c r="L7" s="181">
        <f>8089+'táj.3.'!J7</f>
        <v>8089</v>
      </c>
      <c r="M7" s="181">
        <f>282127+'táj.3.'!K7</f>
        <v>289466</v>
      </c>
      <c r="N7" s="181">
        <f>0+'táj.3.'!L7</f>
        <v>0</v>
      </c>
      <c r="O7" s="181">
        <f t="shared" si="0"/>
        <v>335776</v>
      </c>
    </row>
    <row r="8" spans="1:15" s="34" customFormat="1" ht="18.75" customHeight="1">
      <c r="A8" s="122">
        <v>7</v>
      </c>
      <c r="B8" s="121" t="s">
        <v>713</v>
      </c>
      <c r="C8" s="89">
        <v>278344</v>
      </c>
      <c r="D8" s="111">
        <f>10068+'táj.3.'!M8</f>
        <v>17897</v>
      </c>
      <c r="E8" s="124">
        <f>947+'táj.3.'!C8</f>
        <v>1855</v>
      </c>
      <c r="F8" s="124">
        <f>0+'táj.3.'!D8</f>
        <v>0</v>
      </c>
      <c r="G8" s="124">
        <f>0+'táj.3.'!E8</f>
        <v>0</v>
      </c>
      <c r="H8" s="181">
        <f>32612+'táj.3.'!F8</f>
        <v>32612</v>
      </c>
      <c r="I8" s="181">
        <f>0+'táj.3.'!G8</f>
        <v>0</v>
      </c>
      <c r="J8" s="181">
        <f>0+'táj.3.'!H8</f>
        <v>0</v>
      </c>
      <c r="K8" s="181">
        <f>0+'táj.3.'!I8</f>
        <v>0</v>
      </c>
      <c r="L8" s="181">
        <f>7731+'táj.3.'!J8</f>
        <v>7731</v>
      </c>
      <c r="M8" s="181">
        <f>247122+'táj.3.'!K8</f>
        <v>254043</v>
      </c>
      <c r="N8" s="181">
        <f>0+'táj.3.'!L8</f>
        <v>0</v>
      </c>
      <c r="O8" s="181">
        <f t="shared" si="0"/>
        <v>296241</v>
      </c>
    </row>
    <row r="9" spans="1:15" s="34" customFormat="1" ht="15" customHeight="1">
      <c r="A9" s="122">
        <v>8</v>
      </c>
      <c r="B9" s="121" t="s">
        <v>714</v>
      </c>
      <c r="C9" s="89">
        <v>298081</v>
      </c>
      <c r="D9" s="111">
        <f>12716+'táj.3.'!M9</f>
        <v>19379</v>
      </c>
      <c r="E9" s="124">
        <f>869+'táj.3.'!C9</f>
        <v>0</v>
      </c>
      <c r="F9" s="124">
        <f>0+'táj.3.'!D9</f>
        <v>0</v>
      </c>
      <c r="G9" s="124">
        <f>0+'táj.3.'!E9</f>
        <v>0</v>
      </c>
      <c r="H9" s="181">
        <f>31299+'táj.3.'!F9</f>
        <v>31299</v>
      </c>
      <c r="I9" s="181">
        <f>0+'táj.3.'!G9</f>
        <v>0</v>
      </c>
      <c r="J9" s="181">
        <f>0+'táj.3.'!H9</f>
        <v>0</v>
      </c>
      <c r="K9" s="181">
        <f>0+'táj.3.'!I9</f>
        <v>0</v>
      </c>
      <c r="L9" s="181">
        <f>13356+'táj.3.'!J9</f>
        <v>13356</v>
      </c>
      <c r="M9" s="181">
        <f>265273+'táj.3.'!K9</f>
        <v>272805</v>
      </c>
      <c r="N9" s="181">
        <f>0+'táj.3.'!L9</f>
        <v>0</v>
      </c>
      <c r="O9" s="181">
        <f t="shared" si="0"/>
        <v>317460</v>
      </c>
    </row>
    <row r="10" spans="1:15" s="34" customFormat="1" ht="19.5" customHeight="1">
      <c r="A10" s="122">
        <v>9</v>
      </c>
      <c r="B10" s="121" t="s">
        <v>715</v>
      </c>
      <c r="C10" s="89">
        <v>283023</v>
      </c>
      <c r="D10" s="111">
        <f>9169+'táj.3.'!M10</f>
        <v>14317</v>
      </c>
      <c r="E10" s="124">
        <f>477+'táj.3.'!C10</f>
        <v>320</v>
      </c>
      <c r="F10" s="124">
        <f>180+'táj.3.'!D10</f>
        <v>0</v>
      </c>
      <c r="G10" s="124">
        <f>0+'táj.3.'!E10</f>
        <v>0</v>
      </c>
      <c r="H10" s="181">
        <f>25810+'táj.3.'!F10</f>
        <v>25810</v>
      </c>
      <c r="I10" s="181">
        <f>0+'táj.3.'!G10</f>
        <v>0</v>
      </c>
      <c r="J10" s="181">
        <f>0+'táj.3.'!H10</f>
        <v>0</v>
      </c>
      <c r="K10" s="181">
        <f>0+'táj.3.'!I10</f>
        <v>0</v>
      </c>
      <c r="L10" s="181">
        <f>3302+'táj.3.'!J10</f>
        <v>3302</v>
      </c>
      <c r="M10" s="181">
        <f>262423+'táj.3.'!K10</f>
        <v>267908</v>
      </c>
      <c r="N10" s="181">
        <f>0+'táj.3.'!L10</f>
        <v>0</v>
      </c>
      <c r="O10" s="181">
        <f t="shared" si="0"/>
        <v>297340</v>
      </c>
    </row>
    <row r="11" spans="1:15" s="34" customFormat="1" ht="27" customHeight="1">
      <c r="A11" s="122">
        <v>10</v>
      </c>
      <c r="B11" s="121" t="s">
        <v>716</v>
      </c>
      <c r="C11" s="88">
        <v>96034</v>
      </c>
      <c r="D11" s="111">
        <f>12163+'táj.3.'!M11</f>
        <v>17496</v>
      </c>
      <c r="E11" s="124">
        <f>3698+'táj.3.'!C11</f>
        <v>6198</v>
      </c>
      <c r="F11" s="124">
        <f>0+'táj.3.'!D11</f>
        <v>0</v>
      </c>
      <c r="G11" s="124">
        <f>0+'táj.3.'!E11</f>
        <v>0</v>
      </c>
      <c r="H11" s="181">
        <f>11535+'táj.3.'!F11</f>
        <v>12585</v>
      </c>
      <c r="I11" s="181">
        <f>0+'táj.3.'!G11</f>
        <v>0</v>
      </c>
      <c r="J11" s="181">
        <f>0+'táj.3.'!H11</f>
        <v>0</v>
      </c>
      <c r="K11" s="181">
        <f>0+'táj.3.'!I11</f>
        <v>0</v>
      </c>
      <c r="L11" s="181">
        <f>13675+'táj.3.'!J11</f>
        <v>13675</v>
      </c>
      <c r="M11" s="181">
        <f>79289+'táj.3.'!K11</f>
        <v>81072</v>
      </c>
      <c r="N11" s="181">
        <f>0+'táj.3.'!L11</f>
        <v>0</v>
      </c>
      <c r="O11" s="181">
        <f t="shared" si="0"/>
        <v>113530</v>
      </c>
    </row>
    <row r="12" spans="1:15" s="34" customFormat="1" ht="20.25" customHeight="1">
      <c r="A12" s="122">
        <v>11</v>
      </c>
      <c r="B12" s="121" t="s">
        <v>717</v>
      </c>
      <c r="C12" s="89">
        <v>208226</v>
      </c>
      <c r="D12" s="111">
        <f>4077+'táj.3.'!M12</f>
        <v>7930</v>
      </c>
      <c r="E12" s="124">
        <f>18971+'táj.3.'!C12</f>
        <v>18971</v>
      </c>
      <c r="F12" s="124">
        <f>0+'táj.3.'!D12</f>
        <v>0</v>
      </c>
      <c r="G12" s="124">
        <f>0+'táj.3.'!E12</f>
        <v>0</v>
      </c>
      <c r="H12" s="181">
        <f>62536+'táj.3.'!F12</f>
        <v>62536</v>
      </c>
      <c r="I12" s="181">
        <f>0+'táj.3.'!G12</f>
        <v>50</v>
      </c>
      <c r="J12" s="181">
        <f>0+'táj.3.'!H12</f>
        <v>410</v>
      </c>
      <c r="K12" s="181">
        <f>0+'táj.3.'!I12</f>
        <v>0</v>
      </c>
      <c r="L12" s="181">
        <f>11042+'táj.3.'!J12</f>
        <v>11042</v>
      </c>
      <c r="M12" s="181">
        <f>119754+'táj.3.'!K12</f>
        <v>123147</v>
      </c>
      <c r="N12" s="181">
        <f>0+'táj.3.'!L12</f>
        <v>0</v>
      </c>
      <c r="O12" s="181">
        <f t="shared" si="0"/>
        <v>216156</v>
      </c>
    </row>
    <row r="13" spans="1:15" s="34" customFormat="1" ht="30" customHeight="1">
      <c r="A13" s="122">
        <v>12</v>
      </c>
      <c r="B13" s="121" t="s">
        <v>718</v>
      </c>
      <c r="C13" s="88">
        <v>15059</v>
      </c>
      <c r="D13" s="111">
        <f>2275+'táj.3.'!M13</f>
        <v>3095</v>
      </c>
      <c r="E13" s="124">
        <f>1736+'táj.3.'!C13</f>
        <v>1508</v>
      </c>
      <c r="F13" s="124">
        <f>0+'táj.3.'!D13</f>
        <v>0</v>
      </c>
      <c r="G13" s="124">
        <f>0+'táj.3.'!E13</f>
        <v>0</v>
      </c>
      <c r="H13" s="181">
        <f>1582+'táj.3.'!F13</f>
        <v>1582</v>
      </c>
      <c r="I13" s="181">
        <f>0+'táj.3.'!G13</f>
        <v>0</v>
      </c>
      <c r="J13" s="181">
        <f>0+'táj.3.'!H13</f>
        <v>0</v>
      </c>
      <c r="K13" s="181">
        <f>0+'táj.3.'!I13</f>
        <v>0</v>
      </c>
      <c r="L13" s="181">
        <f>1759+'táj.3.'!J13</f>
        <v>1759</v>
      </c>
      <c r="M13" s="181">
        <f>12257+'táj.3.'!K13</f>
        <v>13305</v>
      </c>
      <c r="N13" s="181">
        <f>0+'táj.3.'!L13</f>
        <v>0</v>
      </c>
      <c r="O13" s="181">
        <f t="shared" si="0"/>
        <v>18154</v>
      </c>
    </row>
    <row r="14" spans="1:15" s="34" customFormat="1" ht="15" customHeight="1">
      <c r="A14" s="122">
        <v>13</v>
      </c>
      <c r="B14" s="121" t="s">
        <v>497</v>
      </c>
      <c r="C14" s="89">
        <v>350342</v>
      </c>
      <c r="D14" s="111">
        <f>8667+'táj.3.'!M14</f>
        <v>13367</v>
      </c>
      <c r="E14" s="124">
        <f>5977+'táj.3.'!C14</f>
        <v>6677</v>
      </c>
      <c r="F14" s="124">
        <f>926+'táj.3.'!D14</f>
        <v>926</v>
      </c>
      <c r="G14" s="124">
        <f>0+'táj.3.'!E14</f>
        <v>0</v>
      </c>
      <c r="H14" s="181">
        <f>34596+'táj.3.'!F14</f>
        <v>34596</v>
      </c>
      <c r="I14" s="181">
        <f>0+'táj.3.'!G14</f>
        <v>0</v>
      </c>
      <c r="J14" s="181">
        <f>0+'táj.3.'!H14</f>
        <v>25</v>
      </c>
      <c r="K14" s="181">
        <f>0+'táj.3.'!I14</f>
        <v>0</v>
      </c>
      <c r="L14" s="181">
        <f>5982+'táj.3.'!J14</f>
        <v>5982</v>
      </c>
      <c r="M14" s="181">
        <f>311528+'táj.3.'!K14</f>
        <v>315503</v>
      </c>
      <c r="N14" s="181">
        <f>0+'táj.3.'!L14</f>
        <v>0</v>
      </c>
      <c r="O14" s="181">
        <f t="shared" si="0"/>
        <v>363709</v>
      </c>
    </row>
    <row r="15" spans="1:15" s="34" customFormat="1" ht="16.5" customHeight="1">
      <c r="A15" s="122">
        <v>14</v>
      </c>
      <c r="B15" s="121" t="s">
        <v>498</v>
      </c>
      <c r="C15" s="89">
        <v>237762</v>
      </c>
      <c r="D15" s="111">
        <f>8204+'táj.3.'!M15</f>
        <v>20046</v>
      </c>
      <c r="E15" s="124">
        <f>4930+'táj.3.'!C15</f>
        <v>6786</v>
      </c>
      <c r="F15" s="124">
        <f>0+'táj.3.'!D15</f>
        <v>460</v>
      </c>
      <c r="G15" s="124">
        <f>0+'táj.3.'!E15</f>
        <v>0</v>
      </c>
      <c r="H15" s="181">
        <f>107826+'táj.3.'!F15</f>
        <v>115634</v>
      </c>
      <c r="I15" s="181">
        <f>0+'táj.3.'!G15</f>
        <v>0</v>
      </c>
      <c r="J15" s="181">
        <f>360+'táj.3.'!H15</f>
        <v>1126</v>
      </c>
      <c r="K15" s="181">
        <f>1000+'táj.3.'!I15</f>
        <v>1500</v>
      </c>
      <c r="L15" s="181">
        <f>27355+'táj.3.'!J15</f>
        <v>27355</v>
      </c>
      <c r="M15" s="181">
        <f>104495+'táj.3.'!K15</f>
        <v>104947</v>
      </c>
      <c r="N15" s="181">
        <f>0+'táj.3.'!L15</f>
        <v>0</v>
      </c>
      <c r="O15" s="181">
        <f t="shared" si="0"/>
        <v>257808</v>
      </c>
    </row>
    <row r="16" spans="1:15" s="34" customFormat="1" ht="18" customHeight="1">
      <c r="A16" s="122">
        <v>15</v>
      </c>
      <c r="B16" s="121" t="s">
        <v>529</v>
      </c>
      <c r="C16" s="89">
        <v>585550</v>
      </c>
      <c r="D16" s="111">
        <f>10543+'táj.3.'!M16</f>
        <v>12950</v>
      </c>
      <c r="E16" s="124">
        <f>0+'táj.3.'!C16</f>
        <v>0</v>
      </c>
      <c r="F16" s="124">
        <f>0+'táj.3.'!D16</f>
        <v>0</v>
      </c>
      <c r="G16" s="124">
        <f>0+'táj.3.'!E16</f>
        <v>0</v>
      </c>
      <c r="H16" s="181">
        <f>152751+'táj.3.'!F16</f>
        <v>152751</v>
      </c>
      <c r="I16" s="181">
        <f>0+'táj.3.'!G16</f>
        <v>0</v>
      </c>
      <c r="J16" s="181">
        <f>59000+'táj.3.'!H16</f>
        <v>59000</v>
      </c>
      <c r="K16" s="181">
        <f>0+'táj.3.'!I16</f>
        <v>0</v>
      </c>
      <c r="L16" s="181">
        <f>32547+'táj.3.'!J16</f>
        <v>32547</v>
      </c>
      <c r="M16" s="181">
        <f>351795+'táj.3.'!K16</f>
        <v>354202</v>
      </c>
      <c r="N16" s="181">
        <f>0+'táj.3.'!L16</f>
        <v>0</v>
      </c>
      <c r="O16" s="181">
        <f t="shared" si="0"/>
        <v>598500</v>
      </c>
    </row>
    <row r="17" spans="1:15" s="34" customFormat="1" ht="18.75" customHeight="1">
      <c r="A17" s="122">
        <v>16</v>
      </c>
      <c r="B17" s="121" t="s">
        <v>505</v>
      </c>
      <c r="C17" s="89">
        <v>115376</v>
      </c>
      <c r="D17" s="111">
        <f>1701+'táj.3.'!M17</f>
        <v>2259</v>
      </c>
      <c r="E17" s="124">
        <f>600+'táj.3.'!C17</f>
        <v>600</v>
      </c>
      <c r="F17" s="124">
        <f>0+'táj.3.'!D17</f>
        <v>0</v>
      </c>
      <c r="G17" s="124">
        <f>0+'táj.3.'!E17</f>
        <v>0</v>
      </c>
      <c r="H17" s="181">
        <f>17305+'táj.3.'!F17</f>
        <v>17305</v>
      </c>
      <c r="I17" s="181">
        <f>0+'táj.3.'!G17</f>
        <v>0</v>
      </c>
      <c r="J17" s="181">
        <f>6000+'táj.3.'!H17</f>
        <v>6000</v>
      </c>
      <c r="K17" s="181">
        <f>0+'táj.3.'!I17</f>
        <v>0</v>
      </c>
      <c r="L17" s="181">
        <f>20058+'táj.3.'!J17</f>
        <v>20058</v>
      </c>
      <c r="M17" s="181">
        <f>73114+'táj.3.'!K17</f>
        <v>73672</v>
      </c>
      <c r="N17" s="181">
        <f>0+'táj.3.'!L17</f>
        <v>0</v>
      </c>
      <c r="O17" s="181">
        <f t="shared" si="0"/>
        <v>117635</v>
      </c>
    </row>
    <row r="18" spans="1:15" s="34" customFormat="1" ht="21.75" customHeight="1">
      <c r="A18" s="122">
        <v>17</v>
      </c>
      <c r="B18" s="121" t="s">
        <v>504</v>
      </c>
      <c r="C18" s="89">
        <v>103145</v>
      </c>
      <c r="D18" s="111">
        <f>7716+'táj.3.'!M18</f>
        <v>14709</v>
      </c>
      <c r="E18" s="124">
        <f>0+'táj.3.'!C18</f>
        <v>0</v>
      </c>
      <c r="F18" s="124">
        <f>0+'táj.3.'!D18</f>
        <v>5514</v>
      </c>
      <c r="G18" s="124">
        <f>0+'táj.3.'!E18</f>
        <v>0</v>
      </c>
      <c r="H18" s="181">
        <f>9498+'táj.3.'!F18</f>
        <v>9498</v>
      </c>
      <c r="I18" s="181">
        <f>0+'táj.3.'!G18</f>
        <v>0</v>
      </c>
      <c r="J18" s="181">
        <f>0+'táj.3.'!H18</f>
        <v>0</v>
      </c>
      <c r="K18" s="181">
        <f>0+'táj.3.'!I18</f>
        <v>0</v>
      </c>
      <c r="L18" s="181">
        <f>24349+'táj.3.'!J18</f>
        <v>24349</v>
      </c>
      <c r="M18" s="181">
        <f>77014+'táj.3.'!K18</f>
        <v>78493</v>
      </c>
      <c r="N18" s="181">
        <f>0+'táj.3.'!L18</f>
        <v>0</v>
      </c>
      <c r="O18" s="181">
        <f t="shared" si="0"/>
        <v>117854</v>
      </c>
    </row>
    <row r="19" spans="1:15" s="34" customFormat="1" ht="18.75" customHeight="1">
      <c r="A19" s="122">
        <v>18</v>
      </c>
      <c r="B19" s="120" t="s">
        <v>473</v>
      </c>
      <c r="C19" s="112">
        <v>99960</v>
      </c>
      <c r="D19" s="111">
        <f>21768+'táj.3.'!M19</f>
        <v>21862</v>
      </c>
      <c r="E19" s="124">
        <f>0+'táj.3.'!C19</f>
        <v>0</v>
      </c>
      <c r="F19" s="124">
        <f>0+'táj.3.'!D19</f>
        <v>0</v>
      </c>
      <c r="G19" s="124">
        <f>0+'táj.3.'!E19</f>
        <v>0</v>
      </c>
      <c r="H19" s="181">
        <f>97081+'táj.3.'!F19</f>
        <v>97091</v>
      </c>
      <c r="I19" s="181">
        <f>0+'táj.3.'!G19</f>
        <v>0</v>
      </c>
      <c r="J19" s="181">
        <f>0+'táj.3.'!H19</f>
        <v>0</v>
      </c>
      <c r="K19" s="181">
        <f>0+'táj.3.'!I19</f>
        <v>0</v>
      </c>
      <c r="L19" s="181">
        <f>24503+'táj.3.'!J19</f>
        <v>24503</v>
      </c>
      <c r="M19" s="181">
        <f>141+'táj.3.'!K19</f>
        <v>225</v>
      </c>
      <c r="N19" s="181">
        <f>0+'táj.3.'!L19</f>
        <v>0</v>
      </c>
      <c r="O19" s="181">
        <f t="shared" si="0"/>
        <v>121819</v>
      </c>
    </row>
    <row r="20" spans="1:15" s="34" customFormat="1" ht="26.25" customHeight="1">
      <c r="A20" s="122">
        <v>19</v>
      </c>
      <c r="B20" s="120" t="s">
        <v>86</v>
      </c>
      <c r="C20" s="112">
        <v>0</v>
      </c>
      <c r="D20" s="111">
        <f>25673+'táj.3.'!M20</f>
        <v>27934</v>
      </c>
      <c r="E20" s="124">
        <f>3658+'táj.3.'!C20</f>
        <v>4566</v>
      </c>
      <c r="F20" s="124">
        <f>0+'táj.3.'!D20</f>
        <v>0</v>
      </c>
      <c r="G20" s="124">
        <f>0+'táj.3.'!E20</f>
        <v>0</v>
      </c>
      <c r="H20" s="181">
        <f>0+'táj.3.'!F20</f>
        <v>2</v>
      </c>
      <c r="I20" s="181">
        <f>0+'táj.3.'!G20</f>
        <v>0</v>
      </c>
      <c r="J20" s="181">
        <f>0+'táj.3.'!H20</f>
        <v>0</v>
      </c>
      <c r="K20" s="181">
        <f>0+'táj.3.'!I20</f>
        <v>0</v>
      </c>
      <c r="L20" s="181">
        <f>0+'táj.3.'!J20</f>
        <v>0</v>
      </c>
      <c r="M20" s="181">
        <f>22015+'táj.3.'!K20</f>
        <v>23366</v>
      </c>
      <c r="N20" s="111">
        <f>0+'táj.3.'!W20</f>
        <v>0</v>
      </c>
      <c r="O20" s="181">
        <f t="shared" si="0"/>
        <v>27934</v>
      </c>
    </row>
    <row r="21" spans="1:15" s="34" customFormat="1" ht="24" customHeight="1">
      <c r="A21" s="37"/>
      <c r="B21" s="38" t="s">
        <v>489</v>
      </c>
      <c r="C21" s="39">
        <f>SUM(C3:C20)</f>
        <v>6201932</v>
      </c>
      <c r="D21" s="39">
        <f aca="true" t="shared" si="1" ref="D21:O21">SUM(D3:D20)</f>
        <v>450671</v>
      </c>
      <c r="E21" s="39">
        <f t="shared" si="1"/>
        <v>318194</v>
      </c>
      <c r="F21" s="39">
        <f t="shared" si="1"/>
        <v>19000</v>
      </c>
      <c r="G21" s="39">
        <f t="shared" si="1"/>
        <v>0</v>
      </c>
      <c r="H21" s="39">
        <f t="shared" si="1"/>
        <v>1142651</v>
      </c>
      <c r="I21" s="39">
        <f t="shared" si="1"/>
        <v>2255</v>
      </c>
      <c r="J21" s="39">
        <f t="shared" si="1"/>
        <v>66561</v>
      </c>
      <c r="K21" s="39">
        <f t="shared" si="1"/>
        <v>1500</v>
      </c>
      <c r="L21" s="39">
        <f t="shared" si="1"/>
        <v>605219</v>
      </c>
      <c r="M21" s="39">
        <f t="shared" si="1"/>
        <v>4497220</v>
      </c>
      <c r="N21" s="39">
        <f t="shared" si="1"/>
        <v>0</v>
      </c>
      <c r="O21" s="39">
        <f t="shared" si="1"/>
        <v>6652600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BEVÉTELI ELŐIRÁNYZATAI&amp;R&amp;"Times New Roman,Dőlt"&amp;9
 7.  melléklet
Adatok E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2015-09-10T13:21:51Z</cp:lastPrinted>
  <dcterms:created xsi:type="dcterms:W3CDTF">2002-12-30T13:12:46Z</dcterms:created>
  <dcterms:modified xsi:type="dcterms:W3CDTF">2015-09-23T07:42:00Z</dcterms:modified>
  <cp:category/>
  <cp:version/>
  <cp:contentType/>
  <cp:contentStatus/>
</cp:coreProperties>
</file>