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240" yWindow="140" windowWidth="17020" windowHeight="7250" activeTab="27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'1.sz.mell.'!$A$1:$F$119</definedName>
    <definedName name="_xlnm.Print_Area" localSheetId="13">'10.sz.mell'!$A$1:$I$60</definedName>
    <definedName name="_xlnm.Print_Area" localSheetId="16">'11.sz.mell'!$A$1:$H$60</definedName>
    <definedName name="_xlnm.Print_Area" localSheetId="22">'15.sz.mell'!$A$1:$C$16</definedName>
    <definedName name="_xlnm.Print_Area" localSheetId="2">'2.1.sz.mell  '!$B$4:$I$22</definedName>
    <definedName name="_xlnm.Print_Area" localSheetId="4">'3.sz.mell'!$A$1:$H$58</definedName>
    <definedName name="_xlnm.Print_Area" localSheetId="5">'4. sz.mell'!$A$1:$N$23</definedName>
    <definedName name="_xlnm.Print_Area" localSheetId="7">'6.sz.mell'!$A$1:$E$22</definedName>
    <definedName name="_xlnm.Print_Area" localSheetId="8">'7.sz.mell.'!$A$1:$L$16</definedName>
    <definedName name="_xlnm.Print_Area" localSheetId="11">'9.1.sz.mell'!$A$1:$M$100</definedName>
    <definedName name="_xlnm.Print_Area" localSheetId="12">'9.2.sz.mell'!$A$1:$M$157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J15" i="11" l="1"/>
  <c r="E77" i="1"/>
  <c r="H75" i="14"/>
  <c r="K157" i="16" l="1"/>
  <c r="E157" i="16"/>
  <c r="F157" i="16"/>
  <c r="G157" i="16"/>
  <c r="H157" i="16"/>
  <c r="I157" i="16"/>
  <c r="J157" i="16"/>
  <c r="D157" i="16"/>
  <c r="M89" i="16"/>
  <c r="M142" i="16" l="1"/>
  <c r="M143" i="16"/>
  <c r="M144" i="16"/>
  <c r="M145" i="16"/>
  <c r="M128" i="16"/>
  <c r="M129" i="16"/>
  <c r="M130" i="16"/>
  <c r="M131" i="16"/>
  <c r="M132" i="16"/>
  <c r="G122" i="16"/>
  <c r="H122" i="16"/>
  <c r="I122" i="16"/>
  <c r="J122" i="16"/>
  <c r="K122" i="16"/>
  <c r="F122" i="16"/>
  <c r="M123" i="16"/>
  <c r="M117" i="16"/>
  <c r="F113" i="16"/>
  <c r="M112" i="16"/>
  <c r="M113" i="16"/>
  <c r="M114" i="16"/>
  <c r="F110" i="16"/>
  <c r="M110" i="16" s="1"/>
  <c r="M111" i="16"/>
  <c r="F107" i="16"/>
  <c r="M107" i="16" s="1"/>
  <c r="M108" i="16"/>
  <c r="M57" i="16"/>
  <c r="M58" i="16"/>
  <c r="M59" i="16"/>
  <c r="M60" i="16"/>
  <c r="M40" i="16"/>
  <c r="M41" i="16"/>
  <c r="M42" i="16"/>
  <c r="M38" i="16"/>
  <c r="M39" i="16"/>
  <c r="M31" i="16"/>
  <c r="M32" i="16"/>
  <c r="M33" i="16"/>
  <c r="G11" i="16"/>
  <c r="H11" i="16"/>
  <c r="I11" i="16"/>
  <c r="J11" i="16"/>
  <c r="K11" i="16"/>
  <c r="L11" i="16"/>
  <c r="E100" i="15"/>
  <c r="F100" i="15"/>
  <c r="G100" i="15"/>
  <c r="I100" i="15"/>
  <c r="J100" i="15"/>
  <c r="K100" i="15"/>
  <c r="L100" i="15"/>
  <c r="D100" i="15"/>
  <c r="G33" i="7"/>
  <c r="H33" i="7"/>
  <c r="G30" i="7"/>
  <c r="H30" i="7"/>
  <c r="D16" i="11"/>
  <c r="F16" i="11"/>
  <c r="H16" i="11"/>
  <c r="J16" i="11"/>
  <c r="B16" i="11"/>
  <c r="M122" i="16" l="1"/>
  <c r="G183" i="13" l="1"/>
  <c r="G184" i="13"/>
  <c r="G185" i="13"/>
  <c r="G186" i="13"/>
  <c r="G187" i="13"/>
  <c r="G188" i="13"/>
  <c r="G189" i="13"/>
  <c r="G190" i="13"/>
  <c r="G191" i="13"/>
  <c r="G182" i="13"/>
  <c r="G160" i="13"/>
  <c r="G161" i="13"/>
  <c r="G162" i="13"/>
  <c r="G163" i="13"/>
  <c r="G164" i="13"/>
  <c r="G156" i="13"/>
  <c r="G157" i="13"/>
  <c r="G158" i="13"/>
  <c r="G159" i="13"/>
  <c r="G155" i="13"/>
  <c r="F129" i="13"/>
  <c r="F130" i="13"/>
  <c r="F131" i="13"/>
  <c r="F132" i="13"/>
  <c r="F133" i="13"/>
  <c r="F134" i="13"/>
  <c r="F135" i="13"/>
  <c r="F136" i="13"/>
  <c r="F137" i="13"/>
  <c r="F138" i="13"/>
  <c r="F128" i="13"/>
  <c r="G180" i="13"/>
  <c r="G178" i="13"/>
  <c r="G153" i="13"/>
  <c r="G151" i="13"/>
  <c r="F126" i="13"/>
  <c r="F124" i="13"/>
  <c r="E109" i="13"/>
  <c r="E108" i="13"/>
  <c r="E106" i="13"/>
  <c r="E99" i="13"/>
  <c r="E97" i="13"/>
  <c r="E82" i="13"/>
  <c r="E81" i="13"/>
  <c r="E72" i="13"/>
  <c r="E83" i="13" s="1"/>
  <c r="E70" i="13"/>
  <c r="E55" i="13"/>
  <c r="E54" i="13"/>
  <c r="E53" i="13"/>
  <c r="E46" i="13"/>
  <c r="E44" i="13"/>
  <c r="G55" i="7"/>
  <c r="G57" i="7"/>
  <c r="G45" i="7"/>
  <c r="G46" i="7"/>
  <c r="G47" i="7"/>
  <c r="G48" i="7"/>
  <c r="G49" i="7"/>
  <c r="G50" i="7"/>
  <c r="G51" i="7"/>
  <c r="G52" i="7"/>
  <c r="G53" i="7"/>
  <c r="G54" i="7"/>
  <c r="G36" i="7"/>
  <c r="G37" i="7"/>
  <c r="G38" i="7"/>
  <c r="G39" i="7"/>
  <c r="G40" i="7"/>
  <c r="G41" i="7"/>
  <c r="G42" i="7"/>
  <c r="G43" i="7"/>
  <c r="G44" i="7"/>
  <c r="G29" i="7"/>
  <c r="G31" i="7"/>
  <c r="G32" i="7"/>
  <c r="G34" i="7"/>
  <c r="G35" i="7"/>
  <c r="G21" i="7"/>
  <c r="G22" i="7"/>
  <c r="G23" i="7"/>
  <c r="G24" i="7"/>
  <c r="G25" i="7"/>
  <c r="G26" i="7"/>
  <c r="G27" i="7"/>
  <c r="G28" i="7"/>
  <c r="G14" i="7"/>
  <c r="G15" i="7"/>
  <c r="G16" i="7"/>
  <c r="G17" i="7"/>
  <c r="G18" i="7"/>
  <c r="G19" i="7"/>
  <c r="G20" i="7"/>
  <c r="G6" i="7"/>
  <c r="G7" i="7"/>
  <c r="G8" i="7"/>
  <c r="G9" i="7"/>
  <c r="G10" i="7"/>
  <c r="G11" i="7"/>
  <c r="G12" i="7"/>
  <c r="G13" i="7"/>
  <c r="G5" i="7"/>
  <c r="H58" i="7"/>
  <c r="G58" i="7" s="1"/>
  <c r="F58" i="7"/>
  <c r="H15" i="7"/>
  <c r="K13" i="11"/>
  <c r="I13" i="11"/>
  <c r="L15" i="11"/>
  <c r="D14" i="11"/>
  <c r="F14" i="11"/>
  <c r="H14" i="11"/>
  <c r="B14" i="11"/>
  <c r="D12" i="11"/>
  <c r="F12" i="11"/>
  <c r="H12" i="11"/>
  <c r="J12" i="11"/>
  <c r="B12" i="11"/>
  <c r="K9" i="11"/>
  <c r="C9" i="11"/>
  <c r="D10" i="11"/>
  <c r="F10" i="11"/>
  <c r="H10" i="11"/>
  <c r="J10" i="11"/>
  <c r="B10" i="11"/>
  <c r="L11" i="11"/>
  <c r="C11" i="11" s="1"/>
  <c r="K6" i="11"/>
  <c r="F7" i="11"/>
  <c r="H7" i="11"/>
  <c r="L8" i="11"/>
  <c r="G8" i="11" s="1"/>
  <c r="K15" i="11" l="1"/>
  <c r="L16" i="11"/>
  <c r="L14" i="11"/>
  <c r="C15" i="11"/>
  <c r="G15" i="11"/>
  <c r="E15" i="11"/>
  <c r="I15" i="11"/>
  <c r="E56" i="13"/>
  <c r="E8" i="11"/>
  <c r="I8" i="11"/>
  <c r="K8" i="11"/>
  <c r="C8" i="11"/>
  <c r="L10" i="11"/>
  <c r="C10" i="11" s="1"/>
  <c r="E11" i="11"/>
  <c r="G11" i="11"/>
  <c r="I11" i="11"/>
  <c r="K11" i="11"/>
  <c r="L12" i="11"/>
  <c r="C12" i="11" s="1"/>
  <c r="B7" i="11"/>
  <c r="K16" i="11" l="1"/>
  <c r="I16" i="11"/>
  <c r="E16" i="11"/>
  <c r="G16" i="11"/>
  <c r="C16" i="11"/>
  <c r="G14" i="11"/>
  <c r="K14" i="11"/>
  <c r="I14" i="11"/>
  <c r="E14" i="11"/>
  <c r="C14" i="11"/>
  <c r="E12" i="11"/>
  <c r="G10" i="11"/>
  <c r="G12" i="11"/>
  <c r="E10" i="11"/>
  <c r="I12" i="11"/>
  <c r="K10" i="11"/>
  <c r="K12" i="11"/>
  <c r="I10" i="11"/>
  <c r="M99" i="15"/>
  <c r="L98" i="15"/>
  <c r="H98" i="15"/>
  <c r="M91" i="15"/>
  <c r="M93" i="15"/>
  <c r="K92" i="15"/>
  <c r="M92" i="15" s="1"/>
  <c r="M88" i="15"/>
  <c r="M90" i="15"/>
  <c r="F89" i="15"/>
  <c r="M89" i="15" s="1"/>
  <c r="M82" i="15"/>
  <c r="M84" i="15"/>
  <c r="M83" i="15"/>
  <c r="M79" i="15"/>
  <c r="M81" i="15"/>
  <c r="F80" i="15"/>
  <c r="M80" i="15" s="1"/>
  <c r="M70" i="15"/>
  <c r="M71" i="15"/>
  <c r="M72" i="15"/>
  <c r="M73" i="15"/>
  <c r="M75" i="15"/>
  <c r="H74" i="15"/>
  <c r="M74" i="15" s="1"/>
  <c r="M67" i="15"/>
  <c r="M69" i="15"/>
  <c r="H68" i="15"/>
  <c r="M68" i="15" s="1"/>
  <c r="M64" i="15"/>
  <c r="M66" i="15"/>
  <c r="H65" i="15"/>
  <c r="M65" i="15" s="1"/>
  <c r="M61" i="15"/>
  <c r="M63" i="15"/>
  <c r="H62" i="15"/>
  <c r="M62" i="15" s="1"/>
  <c r="H50" i="15"/>
  <c r="L50" i="15"/>
  <c r="M45" i="15"/>
  <c r="M43" i="15"/>
  <c r="F44" i="15"/>
  <c r="M44" i="15" s="1"/>
  <c r="H29" i="15"/>
  <c r="M27" i="15"/>
  <c r="F26" i="15"/>
  <c r="M26" i="15" s="1"/>
  <c r="J23" i="15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4" i="14"/>
  <c r="G65" i="14"/>
  <c r="G66" i="14"/>
  <c r="G67" i="14"/>
  <c r="G68" i="14"/>
  <c r="G71" i="14"/>
  <c r="G72" i="14"/>
  <c r="G74" i="14"/>
  <c r="G24" i="14"/>
  <c r="H24" i="14"/>
  <c r="H14" i="14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5" i="9"/>
  <c r="G20" i="9"/>
  <c r="G22" i="9"/>
  <c r="E9" i="32"/>
  <c r="M98" i="15" l="1"/>
  <c r="F86" i="1"/>
  <c r="E67" i="1"/>
  <c r="D59" i="1"/>
  <c r="D60" i="1"/>
  <c r="E41" i="1"/>
  <c r="F41" i="1"/>
  <c r="E25" i="1"/>
  <c r="E26" i="1"/>
  <c r="E27" i="1"/>
  <c r="E28" i="1"/>
  <c r="E29" i="1"/>
  <c r="E30" i="1"/>
  <c r="E24" i="1"/>
  <c r="F24" i="1"/>
  <c r="F14" i="1"/>
  <c r="E21" i="1"/>
  <c r="G25" i="18" l="1"/>
  <c r="H56" i="17" l="1"/>
  <c r="I56" i="17"/>
  <c r="I52" i="17"/>
  <c r="I57" i="17" s="1"/>
  <c r="I60" i="17" s="1"/>
  <c r="H48" i="17"/>
  <c r="H49" i="17"/>
  <c r="H50" i="17"/>
  <c r="H52" i="17" s="1"/>
  <c r="H57" i="17" s="1"/>
  <c r="H60" i="17" s="1"/>
  <c r="H51" i="17"/>
  <c r="H47" i="17"/>
  <c r="I40" i="17"/>
  <c r="I41" i="17" s="1"/>
  <c r="I42" i="17" s="1"/>
  <c r="H35" i="17"/>
  <c r="H36" i="17"/>
  <c r="H37" i="17"/>
  <c r="H40" i="17" s="1"/>
  <c r="H41" i="17" s="1"/>
  <c r="H42" i="17" s="1"/>
  <c r="H38" i="17"/>
  <c r="H39" i="17"/>
  <c r="H34" i="17"/>
  <c r="H33" i="17"/>
  <c r="I33" i="17"/>
  <c r="H18" i="17"/>
  <c r="H19" i="17"/>
  <c r="H20" i="17"/>
  <c r="H21" i="17"/>
  <c r="H22" i="17"/>
  <c r="H23" i="17"/>
  <c r="H24" i="17"/>
  <c r="H25" i="17"/>
  <c r="H26" i="17"/>
  <c r="H27" i="17"/>
  <c r="H28" i="17"/>
  <c r="H17" i="17"/>
  <c r="H29" i="17" s="1"/>
  <c r="I29" i="17"/>
  <c r="G23" i="9"/>
  <c r="F110" i="14"/>
  <c r="F107" i="14"/>
  <c r="F112" i="14" s="1"/>
  <c r="F98" i="14"/>
  <c r="F97" i="14"/>
  <c r="F96" i="14"/>
  <c r="F94" i="14"/>
  <c r="F92" i="14" s="1"/>
  <c r="F85" i="14" s="1"/>
  <c r="F91" i="14"/>
  <c r="F89" i="14"/>
  <c r="F84" i="14"/>
  <c r="F83" i="14"/>
  <c r="F82" i="14"/>
  <c r="F81" i="14"/>
  <c r="F79" i="14"/>
  <c r="F73" i="14"/>
  <c r="F72" i="14" s="1"/>
  <c r="F75" i="14" s="1"/>
  <c r="F69" i="14"/>
  <c r="F66" i="14"/>
  <c r="F63" i="14"/>
  <c r="F60" i="14"/>
  <c r="F56" i="14"/>
  <c r="F49" i="14"/>
  <c r="F48" i="14"/>
  <c r="F47" i="14"/>
  <c r="F46" i="14"/>
  <c r="F41" i="14"/>
  <c r="F37" i="14"/>
  <c r="F33" i="14"/>
  <c r="F24" i="14"/>
  <c r="F31" i="14" s="1"/>
  <c r="F20" i="14"/>
  <c r="F19" i="14"/>
  <c r="F18" i="14"/>
  <c r="G18" i="14" s="1"/>
  <c r="F16" i="14"/>
  <c r="G16" i="14" s="1"/>
  <c r="F6" i="14"/>
  <c r="F12" i="14" s="1"/>
  <c r="E112" i="14"/>
  <c r="E105" i="14"/>
  <c r="E98" i="14"/>
  <c r="E92" i="14"/>
  <c r="E85" i="14" s="1"/>
  <c r="E95" i="14" s="1"/>
  <c r="E106" i="14" s="1"/>
  <c r="E113" i="14" s="1"/>
  <c r="E75" i="14"/>
  <c r="E72" i="14"/>
  <c r="E69" i="14"/>
  <c r="E66" i="14"/>
  <c r="E63" i="14"/>
  <c r="E57" i="14"/>
  <c r="E41" i="14"/>
  <c r="E37" i="14"/>
  <c r="E33" i="14"/>
  <c r="E45" i="14" s="1"/>
  <c r="E24" i="14"/>
  <c r="E31" i="14" s="1"/>
  <c r="E14" i="14"/>
  <c r="E12" i="14"/>
  <c r="D112" i="14"/>
  <c r="D98" i="14"/>
  <c r="D105" i="14" s="1"/>
  <c r="D92" i="14"/>
  <c r="D91" i="14"/>
  <c r="D75" i="14"/>
  <c r="D72" i="14"/>
  <c r="D69" i="14"/>
  <c r="D66" i="14"/>
  <c r="D63" i="14"/>
  <c r="D57" i="14"/>
  <c r="D41" i="14"/>
  <c r="D37" i="14"/>
  <c r="D33" i="14"/>
  <c r="D45" i="14" s="1"/>
  <c r="D24" i="14"/>
  <c r="D31" i="14" s="1"/>
  <c r="D14" i="14"/>
  <c r="D12" i="14"/>
  <c r="D22" i="14" l="1"/>
  <c r="D70" i="14" s="1"/>
  <c r="D85" i="14"/>
  <c r="D95" i="14" s="1"/>
  <c r="D106" i="14" s="1"/>
  <c r="D113" i="14" s="1"/>
  <c r="E22" i="14"/>
  <c r="F14" i="14"/>
  <c r="G14" i="14" s="1"/>
  <c r="F45" i="14"/>
  <c r="F105" i="14"/>
  <c r="F22" i="14"/>
  <c r="F95" i="14"/>
  <c r="F106" i="14" s="1"/>
  <c r="F113" i="14" s="1"/>
  <c r="F57" i="14"/>
  <c r="F70" i="14" s="1"/>
  <c r="F76" i="14" s="1"/>
  <c r="F51" i="14"/>
  <c r="E70" i="14"/>
  <c r="E76" i="14" s="1"/>
  <c r="D76" i="14"/>
  <c r="E20" i="19"/>
  <c r="F20" i="19"/>
  <c r="G20" i="19"/>
  <c r="H20" i="19"/>
  <c r="I20" i="19"/>
  <c r="J20" i="19"/>
  <c r="K20" i="19"/>
  <c r="L20" i="19"/>
  <c r="D20" i="19"/>
  <c r="M18" i="19"/>
  <c r="M19" i="19"/>
  <c r="E15" i="19"/>
  <c r="F15" i="19"/>
  <c r="G15" i="19"/>
  <c r="H15" i="19"/>
  <c r="I15" i="19"/>
  <c r="J15" i="19"/>
  <c r="K15" i="19"/>
  <c r="L15" i="19"/>
  <c r="D15" i="19"/>
  <c r="M15" i="19"/>
  <c r="M16" i="19"/>
  <c r="E9" i="19"/>
  <c r="F9" i="19"/>
  <c r="G9" i="19"/>
  <c r="H9" i="19"/>
  <c r="I9" i="19"/>
  <c r="J9" i="19"/>
  <c r="K9" i="19"/>
  <c r="L9" i="19"/>
  <c r="D9" i="19"/>
  <c r="M9" i="19" s="1"/>
  <c r="M10" i="19"/>
  <c r="E6" i="19"/>
  <c r="F6" i="19"/>
  <c r="H6" i="19"/>
  <c r="I6" i="19"/>
  <c r="J6" i="19"/>
  <c r="K6" i="19"/>
  <c r="L6" i="19"/>
  <c r="D6" i="19"/>
  <c r="M7" i="19"/>
  <c r="G11" i="21"/>
  <c r="H11" i="21"/>
  <c r="I11" i="21"/>
  <c r="J11" i="21"/>
  <c r="K11" i="21"/>
  <c r="F11" i="21"/>
  <c r="L10" i="21"/>
  <c r="L7" i="21"/>
  <c r="E14" i="20"/>
  <c r="F14" i="20"/>
  <c r="G14" i="20"/>
  <c r="H14" i="20"/>
  <c r="I14" i="20"/>
  <c r="J14" i="20"/>
  <c r="K14" i="20"/>
  <c r="L14" i="20"/>
  <c r="D14" i="20"/>
  <c r="E12" i="20"/>
  <c r="F12" i="20"/>
  <c r="G12" i="20"/>
  <c r="H12" i="20"/>
  <c r="I12" i="20"/>
  <c r="J12" i="20"/>
  <c r="K12" i="20"/>
  <c r="L12" i="20"/>
  <c r="D12" i="20"/>
  <c r="M13" i="20"/>
  <c r="M10" i="20"/>
  <c r="F9" i="20"/>
  <c r="M9" i="20" s="1"/>
  <c r="E6" i="20"/>
  <c r="F6" i="20"/>
  <c r="G6" i="20"/>
  <c r="H6" i="20"/>
  <c r="I6" i="20"/>
  <c r="J6" i="20"/>
  <c r="K6" i="20"/>
  <c r="L6" i="20"/>
  <c r="D6" i="20"/>
  <c r="M7" i="20"/>
  <c r="E14" i="22"/>
  <c r="F14" i="22"/>
  <c r="G14" i="22"/>
  <c r="H14" i="22"/>
  <c r="I14" i="22"/>
  <c r="J14" i="22"/>
  <c r="K14" i="22"/>
  <c r="D14" i="22"/>
  <c r="L12" i="22"/>
  <c r="L13" i="22"/>
  <c r="L10" i="22"/>
  <c r="L7" i="22"/>
  <c r="H52" i="18"/>
  <c r="H57" i="18" s="1"/>
  <c r="H60" i="18" s="1"/>
  <c r="H40" i="18"/>
  <c r="H41" i="18" s="1"/>
  <c r="G15" i="18"/>
  <c r="H15" i="18"/>
  <c r="G29" i="18"/>
  <c r="H29" i="18"/>
  <c r="H10" i="18"/>
  <c r="F155" i="16"/>
  <c r="M155" i="16" s="1"/>
  <c r="M156" i="16"/>
  <c r="M150" i="16"/>
  <c r="G146" i="16"/>
  <c r="H146" i="16"/>
  <c r="I146" i="16"/>
  <c r="J146" i="16"/>
  <c r="K146" i="16"/>
  <c r="L146" i="16"/>
  <c r="F146" i="16"/>
  <c r="M147" i="16"/>
  <c r="M141" i="16"/>
  <c r="E140" i="16"/>
  <c r="F140" i="16"/>
  <c r="G140" i="16"/>
  <c r="H140" i="16"/>
  <c r="I140" i="16"/>
  <c r="J140" i="16"/>
  <c r="K140" i="16"/>
  <c r="L140" i="16"/>
  <c r="D140" i="16"/>
  <c r="F116" i="16"/>
  <c r="M116" i="16" s="1"/>
  <c r="M101" i="16"/>
  <c r="F95" i="16"/>
  <c r="M95" i="16" s="1"/>
  <c r="M96" i="16"/>
  <c r="M92" i="16"/>
  <c r="M93" i="16"/>
  <c r="M90" i="16"/>
  <c r="I86" i="16"/>
  <c r="J86" i="16"/>
  <c r="K86" i="16"/>
  <c r="L86" i="16"/>
  <c r="H86" i="16"/>
  <c r="M87" i="16"/>
  <c r="M83" i="16"/>
  <c r="H80" i="16"/>
  <c r="M80" i="16" s="1"/>
  <c r="M78" i="16"/>
  <c r="F74" i="16"/>
  <c r="M74" i="16" s="1"/>
  <c r="M75" i="16"/>
  <c r="G71" i="16"/>
  <c r="F71" i="16"/>
  <c r="M72" i="16"/>
  <c r="J62" i="16"/>
  <c r="M62" i="16" s="1"/>
  <c r="M63" i="16"/>
  <c r="J56" i="16"/>
  <c r="M56" i="16" s="1"/>
  <c r="M50" i="16"/>
  <c r="M35" i="16"/>
  <c r="M36" i="16"/>
  <c r="G29" i="16"/>
  <c r="H29" i="16"/>
  <c r="I29" i="16"/>
  <c r="J29" i="16"/>
  <c r="K29" i="16"/>
  <c r="L29" i="16"/>
  <c r="F29" i="16"/>
  <c r="M30" i="16"/>
  <c r="F26" i="16"/>
  <c r="G26" i="16"/>
  <c r="H26" i="16"/>
  <c r="I26" i="16"/>
  <c r="J26" i="16"/>
  <c r="K26" i="16"/>
  <c r="L26" i="16"/>
  <c r="M27" i="16"/>
  <c r="E23" i="16"/>
  <c r="F23" i="16"/>
  <c r="G23" i="16"/>
  <c r="H23" i="16"/>
  <c r="I23" i="16"/>
  <c r="J23" i="16"/>
  <c r="K23" i="16"/>
  <c r="L23" i="16"/>
  <c r="D23" i="16"/>
  <c r="M24" i="16"/>
  <c r="M21" i="16"/>
  <c r="I20" i="16"/>
  <c r="J20" i="16"/>
  <c r="K20" i="16"/>
  <c r="M18" i="16"/>
  <c r="M15" i="16"/>
  <c r="M12" i="16"/>
  <c r="F11" i="16"/>
  <c r="M11" i="16" s="1"/>
  <c r="M9" i="16"/>
  <c r="M6" i="16"/>
  <c r="E5" i="16"/>
  <c r="F5" i="16"/>
  <c r="G5" i="16"/>
  <c r="H5" i="16"/>
  <c r="I5" i="16"/>
  <c r="J5" i="16"/>
  <c r="K5" i="16"/>
  <c r="L5" i="16"/>
  <c r="D5" i="16"/>
  <c r="M37" i="16"/>
  <c r="M43" i="16"/>
  <c r="M49" i="16"/>
  <c r="M52" i="16"/>
  <c r="M61" i="16"/>
  <c r="M64" i="16"/>
  <c r="H70" i="16"/>
  <c r="M70" i="16" s="1"/>
  <c r="M73" i="16"/>
  <c r="M79" i="16"/>
  <c r="M82" i="16"/>
  <c r="M88" i="16"/>
  <c r="M91" i="16"/>
  <c r="M97" i="16"/>
  <c r="M100" i="16"/>
  <c r="M106" i="16"/>
  <c r="M109" i="16"/>
  <c r="M115" i="16"/>
  <c r="M118" i="16"/>
  <c r="M124" i="16"/>
  <c r="M127" i="16"/>
  <c r="M136" i="16"/>
  <c r="M139" i="16"/>
  <c r="M151" i="16"/>
  <c r="K95" i="15"/>
  <c r="M60" i="15"/>
  <c r="M59" i="15"/>
  <c r="M42" i="15"/>
  <c r="E23" i="15"/>
  <c r="G23" i="15"/>
  <c r="H23" i="15"/>
  <c r="I23" i="15"/>
  <c r="K23" i="15"/>
  <c r="L23" i="15"/>
  <c r="D23" i="15"/>
  <c r="M12" i="15"/>
  <c r="M18" i="15"/>
  <c r="M21" i="15"/>
  <c r="M24" i="15"/>
  <c r="M28" i="15"/>
  <c r="M29" i="15"/>
  <c r="M30" i="15"/>
  <c r="M34" i="15"/>
  <c r="M35" i="15"/>
  <c r="M36" i="15"/>
  <c r="M37" i="15"/>
  <c r="M38" i="15"/>
  <c r="M39" i="15"/>
  <c r="M46" i="15"/>
  <c r="M47" i="15"/>
  <c r="M48" i="15"/>
  <c r="M49" i="15"/>
  <c r="M50" i="15"/>
  <c r="M51" i="15"/>
  <c r="M53" i="15"/>
  <c r="M54" i="15"/>
  <c r="M55" i="15"/>
  <c r="M56" i="15"/>
  <c r="M57" i="15"/>
  <c r="M76" i="15"/>
  <c r="M77" i="15"/>
  <c r="M78" i="15"/>
  <c r="M87" i="15"/>
  <c r="M96" i="15"/>
  <c r="M13" i="15"/>
  <c r="M15" i="15"/>
  <c r="M100" i="15" s="1"/>
  <c r="M5" i="15"/>
  <c r="F20" i="15"/>
  <c r="G20" i="15"/>
  <c r="H20" i="15"/>
  <c r="I20" i="15"/>
  <c r="J20" i="15"/>
  <c r="K20" i="15"/>
  <c r="L20" i="15"/>
  <c r="D20" i="15"/>
  <c r="F17" i="15"/>
  <c r="G17" i="15"/>
  <c r="H17" i="15"/>
  <c r="I17" i="15"/>
  <c r="J17" i="15"/>
  <c r="K17" i="15"/>
  <c r="D17" i="15"/>
  <c r="E14" i="15"/>
  <c r="F14" i="15"/>
  <c r="G14" i="15"/>
  <c r="H14" i="15"/>
  <c r="I14" i="15"/>
  <c r="J14" i="15"/>
  <c r="K14" i="15"/>
  <c r="D14" i="15"/>
  <c r="E11" i="15"/>
  <c r="F11" i="15"/>
  <c r="G11" i="15"/>
  <c r="H11" i="15"/>
  <c r="I11" i="15"/>
  <c r="J11" i="15"/>
  <c r="K11" i="15"/>
  <c r="L11" i="15"/>
  <c r="E8" i="15"/>
  <c r="F8" i="15"/>
  <c r="G8" i="15"/>
  <c r="H8" i="15"/>
  <c r="J8" i="15"/>
  <c r="K8" i="15"/>
  <c r="L8" i="15"/>
  <c r="D9" i="15"/>
  <c r="E6" i="15"/>
  <c r="F6" i="15"/>
  <c r="G6" i="15"/>
  <c r="H6" i="15"/>
  <c r="I6" i="15"/>
  <c r="J6" i="15"/>
  <c r="K6" i="15"/>
  <c r="L6" i="15"/>
  <c r="D6" i="15"/>
  <c r="H112" i="14"/>
  <c r="G108" i="14"/>
  <c r="G109" i="14"/>
  <c r="H105" i="14"/>
  <c r="G99" i="14"/>
  <c r="G100" i="14"/>
  <c r="G101" i="14"/>
  <c r="G102" i="14"/>
  <c r="H95" i="14"/>
  <c r="G87" i="14"/>
  <c r="G88" i="14"/>
  <c r="G90" i="14"/>
  <c r="G86" i="14"/>
  <c r="G75" i="14"/>
  <c r="H66" i="14"/>
  <c r="H69" i="14"/>
  <c r="G69" i="14" s="1"/>
  <c r="H63" i="14"/>
  <c r="G63" i="14" s="1"/>
  <c r="H57" i="14"/>
  <c r="H45" i="14"/>
  <c r="H31" i="14"/>
  <c r="H12" i="14"/>
  <c r="G7" i="14"/>
  <c r="G8" i="14"/>
  <c r="G9" i="14"/>
  <c r="G10" i="14"/>
  <c r="G11" i="14"/>
  <c r="D19" i="32"/>
  <c r="E19" i="32"/>
  <c r="D10" i="32"/>
  <c r="D22" i="32" s="1"/>
  <c r="E10" i="32"/>
  <c r="E22" i="32" s="1"/>
  <c r="H17" i="6"/>
  <c r="I17" i="6"/>
  <c r="I12" i="6"/>
  <c r="I18" i="6" s="1"/>
  <c r="H9" i="6"/>
  <c r="H10" i="6"/>
  <c r="D17" i="5"/>
  <c r="D17" i="6"/>
  <c r="E17" i="6"/>
  <c r="E12" i="6"/>
  <c r="D9" i="6"/>
  <c r="D10" i="6"/>
  <c r="D11" i="6"/>
  <c r="E19" i="5"/>
  <c r="I19" i="5"/>
  <c r="I13" i="5"/>
  <c r="I20" i="5" s="1"/>
  <c r="H12" i="5"/>
  <c r="H11" i="5"/>
  <c r="E13" i="5"/>
  <c r="D11" i="5"/>
  <c r="E111" i="1"/>
  <c r="F112" i="1"/>
  <c r="F106" i="1"/>
  <c r="F96" i="1"/>
  <c r="F107" i="1" s="1"/>
  <c r="F113" i="1" s="1"/>
  <c r="E75" i="1"/>
  <c r="F76" i="1"/>
  <c r="F118" i="1" s="1"/>
  <c r="E69" i="1"/>
  <c r="F69" i="1"/>
  <c r="E65" i="1"/>
  <c r="E64" i="1"/>
  <c r="E66" i="1" s="1"/>
  <c r="F66" i="1"/>
  <c r="F63" i="1"/>
  <c r="F57" i="1"/>
  <c r="F45" i="1"/>
  <c r="E31" i="1"/>
  <c r="F31" i="1"/>
  <c r="F12" i="1"/>
  <c r="F22" i="1" s="1"/>
  <c r="M157" i="16" l="1"/>
  <c r="M23" i="16"/>
  <c r="M146" i="16"/>
  <c r="M29" i="16"/>
  <c r="M14" i="15"/>
  <c r="E20" i="6"/>
  <c r="F70" i="1"/>
  <c r="F117" i="1" s="1"/>
  <c r="H33" i="18"/>
  <c r="H42" i="18" s="1"/>
  <c r="M5" i="16"/>
  <c r="M86" i="16"/>
  <c r="M140" i="16"/>
  <c r="L14" i="22"/>
  <c r="M6" i="20"/>
  <c r="M14" i="20"/>
  <c r="M12" i="20"/>
  <c r="L11" i="21"/>
  <c r="M6" i="19"/>
  <c r="E21" i="5"/>
  <c r="D8" i="15"/>
  <c r="M9" i="15"/>
  <c r="M20" i="19"/>
  <c r="H106" i="14"/>
  <c r="H113" i="14" s="1"/>
  <c r="F77" i="1"/>
  <c r="H71" i="16"/>
  <c r="M71" i="16" s="1"/>
  <c r="I21" i="5"/>
  <c r="I22" i="5"/>
  <c r="E22" i="5"/>
  <c r="E18" i="6"/>
  <c r="E19" i="6"/>
  <c r="M6" i="15"/>
  <c r="E20" i="5"/>
  <c r="O17" i="23" l="1"/>
  <c r="F56" i="17" l="1"/>
  <c r="F37" i="17"/>
  <c r="F18" i="17"/>
  <c r="F29" i="17" s="1"/>
  <c r="E59" i="17"/>
  <c r="F59" i="17"/>
  <c r="D59" i="17"/>
  <c r="G58" i="17"/>
  <c r="G59" i="17" s="1"/>
  <c r="G54" i="17"/>
  <c r="G55" i="17"/>
  <c r="G53" i="17"/>
  <c r="F52" i="17"/>
  <c r="G49" i="17"/>
  <c r="G50" i="17"/>
  <c r="G51" i="17"/>
  <c r="G48" i="17"/>
  <c r="G47" i="17"/>
  <c r="G39" i="17"/>
  <c r="G38" i="17"/>
  <c r="G36" i="17"/>
  <c r="G35" i="17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G56" i="17" l="1"/>
  <c r="F40" i="17"/>
  <c r="F41" i="17" s="1"/>
  <c r="F33" i="17"/>
  <c r="F57" i="17"/>
  <c r="F60" i="17" s="1"/>
  <c r="F42" i="17" l="1"/>
  <c r="M7" i="16"/>
  <c r="M10" i="16"/>
  <c r="M13" i="16"/>
  <c r="M22" i="16"/>
  <c r="M28" i="16"/>
  <c r="M34" i="16"/>
  <c r="M46" i="16"/>
  <c r="M55" i="16"/>
  <c r="M67" i="16"/>
  <c r="M76" i="16"/>
  <c r="M85" i="16"/>
  <c r="M94" i="16"/>
  <c r="M103" i="16"/>
  <c r="M121" i="16"/>
  <c r="M133" i="16"/>
  <c r="M154" i="16"/>
  <c r="E20" i="9"/>
  <c r="H16" i="16" l="1"/>
  <c r="H17" i="16" s="1"/>
  <c r="L16" i="16"/>
  <c r="E25" i="16"/>
  <c r="E26" i="16" s="1"/>
  <c r="D25" i="16"/>
  <c r="D26" i="16" s="1"/>
  <c r="M26" i="16" l="1"/>
  <c r="M25" i="16"/>
  <c r="M16" i="16"/>
  <c r="E19" i="15"/>
  <c r="M19" i="15" l="1"/>
  <c r="E20" i="15"/>
  <c r="M20" i="15" s="1"/>
  <c r="M8" i="19"/>
  <c r="M11" i="19"/>
  <c r="M14" i="19"/>
  <c r="M17" i="19"/>
  <c r="G84" i="14" l="1"/>
  <c r="F22" i="15" l="1"/>
  <c r="L16" i="15"/>
  <c r="L17" i="15" s="1"/>
  <c r="M4" i="15"/>
  <c r="F23" i="15" l="1"/>
  <c r="M23" i="15" s="1"/>
  <c r="M22" i="15"/>
  <c r="E16" i="15" l="1"/>
  <c r="M16" i="15" l="1"/>
  <c r="E17" i="15"/>
  <c r="M17" i="15" s="1"/>
  <c r="M8" i="20"/>
  <c r="E7" i="28" l="1"/>
  <c r="E23" i="28" l="1"/>
  <c r="E27" i="28" l="1"/>
  <c r="E29" i="28" s="1"/>
  <c r="F19" i="34"/>
  <c r="G19" i="34"/>
  <c r="G97" i="14" s="1"/>
  <c r="H19" i="34"/>
  <c r="I19" i="34"/>
  <c r="J19" i="34"/>
  <c r="K19" i="34"/>
  <c r="L19" i="34"/>
  <c r="M19" i="34"/>
  <c r="N19" i="34"/>
  <c r="E19" i="34"/>
  <c r="C16" i="5"/>
  <c r="D16" i="5" s="1"/>
  <c r="C15" i="6"/>
  <c r="F8" i="6"/>
  <c r="F7" i="6"/>
  <c r="F6" i="6"/>
  <c r="F7" i="5"/>
  <c r="F8" i="5"/>
  <c r="F9" i="5"/>
  <c r="F10" i="5"/>
  <c r="F6" i="5"/>
  <c r="B17" i="5" l="1"/>
  <c r="B16" i="5"/>
  <c r="B14" i="5"/>
  <c r="C14" i="6"/>
  <c r="C17" i="6" s="1"/>
  <c r="G4" i="6"/>
  <c r="C18" i="5"/>
  <c r="C15" i="5"/>
  <c r="D15" i="5" s="1"/>
  <c r="D19" i="5" s="1"/>
  <c r="C14" i="5"/>
  <c r="G4" i="5"/>
  <c r="C19" i="5" l="1"/>
  <c r="D109" i="1" l="1"/>
  <c r="E109" i="1" s="1"/>
  <c r="D110" i="1"/>
  <c r="D101" i="1"/>
  <c r="E101" i="1" s="1"/>
  <c r="D102" i="1"/>
  <c r="E102" i="1" s="1"/>
  <c r="D103" i="1"/>
  <c r="E103" i="1" s="1"/>
  <c r="D104" i="1"/>
  <c r="E104" i="1" s="1"/>
  <c r="D105" i="1"/>
  <c r="E105" i="1" s="1"/>
  <c r="D100" i="1"/>
  <c r="E100" i="1" s="1"/>
  <c r="D88" i="1"/>
  <c r="E88" i="1" s="1"/>
  <c r="D89" i="1"/>
  <c r="E89" i="1" s="1"/>
  <c r="D91" i="1"/>
  <c r="E91" i="1" s="1"/>
  <c r="D94" i="1"/>
  <c r="E94" i="1" s="1"/>
  <c r="D87" i="1"/>
  <c r="E87" i="1" s="1"/>
  <c r="E74" i="1"/>
  <c r="E59" i="1"/>
  <c r="D61" i="1"/>
  <c r="E61" i="1" s="1"/>
  <c r="D62" i="1"/>
  <c r="E62" i="1" s="1"/>
  <c r="D58" i="1"/>
  <c r="D54" i="1"/>
  <c r="E54" i="1" s="1"/>
  <c r="D55" i="1"/>
  <c r="E55" i="1" s="1"/>
  <c r="D53" i="1"/>
  <c r="E53" i="1" s="1"/>
  <c r="D50" i="1"/>
  <c r="E50" i="1" s="1"/>
  <c r="D43" i="1"/>
  <c r="E43" i="1" s="1"/>
  <c r="D44" i="1"/>
  <c r="E44" i="1" s="1"/>
  <c r="D42" i="1"/>
  <c r="E42" i="1" s="1"/>
  <c r="D40" i="1"/>
  <c r="E40" i="1" s="1"/>
  <c r="D39" i="1"/>
  <c r="E39" i="1" s="1"/>
  <c r="D38" i="1"/>
  <c r="E38" i="1" s="1"/>
  <c r="D35" i="1"/>
  <c r="E35" i="1" s="1"/>
  <c r="D36" i="1"/>
  <c r="E36" i="1" s="1"/>
  <c r="D34" i="1"/>
  <c r="E34" i="1" s="1"/>
  <c r="D32" i="1"/>
  <c r="D25" i="1"/>
  <c r="D17" i="1"/>
  <c r="E17" i="1" s="1"/>
  <c r="D19" i="1"/>
  <c r="E19" i="1" s="1"/>
  <c r="D21" i="1"/>
  <c r="M97" i="15"/>
  <c r="E52" i="15"/>
  <c r="M52" i="15" s="1"/>
  <c r="D13" i="1"/>
  <c r="D7" i="1"/>
  <c r="E7" i="1" s="1"/>
  <c r="D8" i="1"/>
  <c r="E8" i="1" s="1"/>
  <c r="D9" i="1"/>
  <c r="E9" i="1" s="1"/>
  <c r="D10" i="1"/>
  <c r="E10" i="1" s="1"/>
  <c r="D11" i="1"/>
  <c r="E11" i="1" s="1"/>
  <c r="D7" i="29"/>
  <c r="E7" i="29"/>
  <c r="F7" i="29"/>
  <c r="G7" i="29"/>
  <c r="C7" i="29"/>
  <c r="G16" i="5" l="1"/>
  <c r="E110" i="1"/>
  <c r="E18" i="1"/>
  <c r="D37" i="1"/>
  <c r="E37" i="1" s="1"/>
  <c r="H6" i="29"/>
  <c r="H5" i="29"/>
  <c r="H4" i="29"/>
  <c r="G19" i="5" l="1"/>
  <c r="H16" i="5"/>
  <c r="H19" i="5" s="1"/>
  <c r="H7" i="29"/>
  <c r="C19" i="30"/>
  <c r="F13" i="11" l="1"/>
  <c r="L13" i="11" s="1"/>
  <c r="G13" i="11" l="1"/>
  <c r="C13" i="11"/>
  <c r="E13" i="11"/>
  <c r="J10" i="26"/>
  <c r="G10" i="26"/>
  <c r="K9" i="26"/>
  <c r="K8" i="26"/>
  <c r="K7" i="26"/>
  <c r="K6" i="26"/>
  <c r="K5" i="26"/>
  <c r="K10" i="26" l="1"/>
  <c r="L9" i="11" l="1"/>
  <c r="G82" i="14"/>
  <c r="G81" i="14"/>
  <c r="I9" i="11" l="1"/>
  <c r="E9" i="11"/>
  <c r="G9" i="11"/>
  <c r="H13" i="34"/>
  <c r="H20" i="34" s="1"/>
  <c r="I13" i="34"/>
  <c r="I20" i="34" s="1"/>
  <c r="J13" i="34"/>
  <c r="J20" i="34" s="1"/>
  <c r="K13" i="34"/>
  <c r="K20" i="34" s="1"/>
  <c r="L13" i="34"/>
  <c r="L20" i="34" s="1"/>
  <c r="M13" i="34"/>
  <c r="M20" i="34" s="1"/>
  <c r="N13" i="34"/>
  <c r="N20" i="34" s="1"/>
  <c r="E13" i="34"/>
  <c r="E20" i="34" s="1"/>
  <c r="F13" i="34"/>
  <c r="F20" i="34" s="1"/>
  <c r="G13" i="34"/>
  <c r="G20" i="34" l="1"/>
  <c r="G96" i="14"/>
  <c r="D56" i="1"/>
  <c r="E56" i="1" s="1"/>
  <c r="D39" i="18" l="1"/>
  <c r="G89" i="14" l="1"/>
  <c r="H19" i="16" l="1"/>
  <c r="H20" i="16" s="1"/>
  <c r="D90" i="1"/>
  <c r="E90" i="1" s="1"/>
  <c r="E60" i="1" l="1"/>
  <c r="E63" i="1" s="1"/>
  <c r="E22" i="9" l="1"/>
  <c r="E23" i="9" s="1"/>
  <c r="C30" i="13"/>
  <c r="D30" i="13"/>
  <c r="E30" i="13"/>
  <c r="C26" i="13"/>
  <c r="G83" i="14" s="1"/>
  <c r="E24" i="31" l="1"/>
  <c r="D24" i="31"/>
  <c r="C24" i="31"/>
  <c r="E18" i="31"/>
  <c r="D18" i="31"/>
  <c r="C18" i="31"/>
  <c r="E16" i="31"/>
  <c r="D16" i="31"/>
  <c r="C16" i="31"/>
  <c r="E92" i="1" l="1"/>
  <c r="G91" i="14"/>
  <c r="C25" i="31"/>
  <c r="C10" i="32"/>
  <c r="C19" i="32"/>
  <c r="E25" i="31"/>
  <c r="D25" i="31"/>
  <c r="C22" i="32" l="1"/>
  <c r="E6" i="13"/>
  <c r="F16" i="13"/>
  <c r="F17" i="13"/>
  <c r="F18" i="13"/>
  <c r="F19" i="13"/>
  <c r="F20" i="13"/>
  <c r="F15" i="13"/>
  <c r="D22" i="13"/>
  <c r="E22" i="13"/>
  <c r="F25" i="13"/>
  <c r="F26" i="13"/>
  <c r="F27" i="13"/>
  <c r="F28" i="13"/>
  <c r="F29" i="13"/>
  <c r="F24" i="13"/>
  <c r="F22" i="13" l="1"/>
  <c r="F30" i="13"/>
  <c r="G94" i="14"/>
  <c r="E95" i="1" l="1"/>
  <c r="E98" i="1"/>
  <c r="E93" i="1" l="1"/>
  <c r="G92" i="14"/>
  <c r="G7" i="6"/>
  <c r="H7" i="6" s="1"/>
  <c r="C25" i="28"/>
  <c r="D38" i="18"/>
  <c r="D6" i="1" l="1"/>
  <c r="E6" i="1" s="1"/>
  <c r="E12" i="1" s="1"/>
  <c r="G6" i="14"/>
  <c r="G12" i="14" s="1"/>
  <c r="G22" i="14" s="1"/>
  <c r="E37" i="17" l="1"/>
  <c r="G37" i="17"/>
  <c r="K8" i="21" s="1"/>
  <c r="D37" i="17"/>
  <c r="F11" i="18"/>
  <c r="F12" i="18"/>
  <c r="F13" i="18"/>
  <c r="F14" i="18"/>
  <c r="F38" i="18"/>
  <c r="F39" i="18"/>
  <c r="E37" i="18"/>
  <c r="D37" i="18"/>
  <c r="L8" i="21" l="1"/>
  <c r="K9" i="21"/>
  <c r="L9" i="21" s="1"/>
  <c r="F37" i="18"/>
  <c r="G37" i="18" s="1"/>
  <c r="G40" i="18" s="1"/>
  <c r="G41" i="18" s="1"/>
  <c r="K5" i="22" l="1"/>
  <c r="K6" i="22" s="1"/>
  <c r="L6" i="22" s="1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14" i="25"/>
  <c r="C8" i="25"/>
  <c r="G110" i="14" l="1"/>
  <c r="L5" i="22"/>
  <c r="C15" i="25"/>
  <c r="H8" i="24"/>
  <c r="G8" i="24"/>
  <c r="F8" i="24"/>
  <c r="E8" i="24"/>
  <c r="B8" i="24"/>
  <c r="I7" i="24"/>
  <c r="I8" i="24" s="1"/>
  <c r="D7" i="24"/>
  <c r="D8" i="24" s="1"/>
  <c r="L148" i="16" l="1"/>
  <c r="M148" i="16" s="1"/>
  <c r="G107" i="14"/>
  <c r="G112" i="14" s="1"/>
  <c r="M20" i="16"/>
  <c r="M19" i="16"/>
  <c r="D108" i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O11" i="23"/>
  <c r="O10" i="23"/>
  <c r="O9" i="23"/>
  <c r="O8" i="23"/>
  <c r="O7" i="23"/>
  <c r="O6" i="23"/>
  <c r="O5" i="23"/>
  <c r="E11" i="21"/>
  <c r="D11" i="21"/>
  <c r="G13" i="6" l="1"/>
  <c r="G17" i="6" s="1"/>
  <c r="E108" i="1"/>
  <c r="E112" i="1" s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11" i="20"/>
  <c r="M5" i="20"/>
  <c r="M5" i="19"/>
  <c r="E59" i="18"/>
  <c r="D59" i="18"/>
  <c r="F58" i="18"/>
  <c r="F59" i="18" s="1"/>
  <c r="E56" i="18"/>
  <c r="D56" i="18"/>
  <c r="F55" i="18"/>
  <c r="F54" i="18"/>
  <c r="F53" i="18"/>
  <c r="E52" i="18"/>
  <c r="D52" i="18"/>
  <c r="D57" i="18" s="1"/>
  <c r="D60" i="18" s="1"/>
  <c r="F51" i="18"/>
  <c r="F50" i="18"/>
  <c r="F49" i="18"/>
  <c r="F48" i="18"/>
  <c r="F47" i="18"/>
  <c r="F36" i="18"/>
  <c r="F35" i="18"/>
  <c r="E34" i="18"/>
  <c r="E40" i="18" s="1"/>
  <c r="E41" i="18" s="1"/>
  <c r="D34" i="18"/>
  <c r="D40" i="18" s="1"/>
  <c r="D41" i="18" s="1"/>
  <c r="F32" i="18"/>
  <c r="F31" i="18"/>
  <c r="F30" i="18"/>
  <c r="F28" i="18"/>
  <c r="F27" i="18"/>
  <c r="F26" i="18"/>
  <c r="F25" i="18"/>
  <c r="F24" i="18"/>
  <c r="D52" i="1" s="1"/>
  <c r="E52" i="1" s="1"/>
  <c r="F23" i="18"/>
  <c r="E51" i="1" s="1"/>
  <c r="F22" i="18"/>
  <c r="F21" i="18"/>
  <c r="D49" i="1" s="1"/>
  <c r="E49" i="1" s="1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8" i="18"/>
  <c r="G8" i="18" s="1"/>
  <c r="G10" i="18" s="1"/>
  <c r="G33" i="18" s="1"/>
  <c r="G42" i="18" s="1"/>
  <c r="F7" i="18"/>
  <c r="F6" i="18"/>
  <c r="D15" i="1" s="1"/>
  <c r="E15" i="1" s="1"/>
  <c r="E56" i="17"/>
  <c r="D56" i="17"/>
  <c r="E52" i="17"/>
  <c r="D52" i="17"/>
  <c r="E34" i="17"/>
  <c r="E40" i="17" s="1"/>
  <c r="E41" i="17" s="1"/>
  <c r="D34" i="17"/>
  <c r="D40" i="17" s="1"/>
  <c r="D41" i="17" s="1"/>
  <c r="E18" i="17"/>
  <c r="E29" i="17" s="1"/>
  <c r="D18" i="17"/>
  <c r="D29" i="17" s="1"/>
  <c r="G16" i="17"/>
  <c r="E15" i="17"/>
  <c r="D15" i="17"/>
  <c r="E10" i="17"/>
  <c r="D10" i="17"/>
  <c r="M4" i="16"/>
  <c r="G98" i="14"/>
  <c r="G105" i="14" s="1"/>
  <c r="I7" i="15"/>
  <c r="I8" i="15" s="1"/>
  <c r="M8" i="15" s="1"/>
  <c r="D10" i="15"/>
  <c r="D11" i="15" s="1"/>
  <c r="M11" i="15" s="1"/>
  <c r="C31" i="13"/>
  <c r="B31" i="13"/>
  <c r="B30" i="13"/>
  <c r="C22" i="13"/>
  <c r="B22" i="13"/>
  <c r="C13" i="13"/>
  <c r="B13" i="13"/>
  <c r="E57" i="18" l="1"/>
  <c r="E60" i="18" s="1"/>
  <c r="G85" i="14"/>
  <c r="G95" i="14" s="1"/>
  <c r="G106" i="14" s="1"/>
  <c r="G113" i="14" s="1"/>
  <c r="F18" i="18"/>
  <c r="D82" i="1"/>
  <c r="G47" i="18"/>
  <c r="G49" i="18"/>
  <c r="D83" i="1"/>
  <c r="G48" i="18"/>
  <c r="D85" i="1"/>
  <c r="G50" i="18"/>
  <c r="M7" i="15"/>
  <c r="D8" i="22"/>
  <c r="D9" i="22" s="1"/>
  <c r="L9" i="22" s="1"/>
  <c r="D20" i="1"/>
  <c r="E20" i="1" s="1"/>
  <c r="E46" i="1"/>
  <c r="F31" i="13"/>
  <c r="M10" i="15"/>
  <c r="F11" i="22"/>
  <c r="D47" i="1"/>
  <c r="E47" i="1" s="1"/>
  <c r="F34" i="18"/>
  <c r="O24" i="23"/>
  <c r="E57" i="17"/>
  <c r="E60" i="17" s="1"/>
  <c r="F13" i="13"/>
  <c r="G52" i="17"/>
  <c r="G18" i="17"/>
  <c r="D48" i="1" s="1"/>
  <c r="E48" i="1" s="1"/>
  <c r="G34" i="17"/>
  <c r="G40" i="17" s="1"/>
  <c r="G41" i="17" s="1"/>
  <c r="G15" i="17"/>
  <c r="F52" i="18"/>
  <c r="F10" i="18"/>
  <c r="F56" i="18"/>
  <c r="E33" i="18"/>
  <c r="E42" i="18" s="1"/>
  <c r="F15" i="18"/>
  <c r="F40" i="18"/>
  <c r="F41" i="18" s="1"/>
  <c r="D33" i="18"/>
  <c r="D42" i="18" s="1"/>
  <c r="F29" i="18"/>
  <c r="D57" i="17"/>
  <c r="D60" i="17" s="1"/>
  <c r="D33" i="17"/>
  <c r="D42" i="17" s="1"/>
  <c r="G10" i="17"/>
  <c r="E33" i="17"/>
  <c r="E42" i="17" s="1"/>
  <c r="H22" i="14" l="1"/>
  <c r="H70" i="14" s="1"/>
  <c r="E57" i="1"/>
  <c r="G8" i="5"/>
  <c r="H8" i="5" s="1"/>
  <c r="E84" i="1"/>
  <c r="G6" i="5"/>
  <c r="H6" i="5" s="1"/>
  <c r="E82" i="1"/>
  <c r="G9" i="5"/>
  <c r="H9" i="5" s="1"/>
  <c r="E85" i="1"/>
  <c r="G7" i="5"/>
  <c r="H7" i="5" s="1"/>
  <c r="E83" i="1"/>
  <c r="G52" i="18"/>
  <c r="G57" i="18" s="1"/>
  <c r="G60" i="18" s="1"/>
  <c r="G94" i="15"/>
  <c r="C4" i="30"/>
  <c r="C10" i="30" s="1"/>
  <c r="C11" i="30" s="1"/>
  <c r="C20" i="30" s="1"/>
  <c r="L11" i="22"/>
  <c r="F57" i="18"/>
  <c r="F60" i="18" s="1"/>
  <c r="E16" i="1"/>
  <c r="E85" i="15"/>
  <c r="L8" i="22"/>
  <c r="G29" i="17"/>
  <c r="F5" i="21" s="1"/>
  <c r="F33" i="18"/>
  <c r="F42" i="18" s="1"/>
  <c r="G57" i="17"/>
  <c r="G60" i="17" s="1"/>
  <c r="M85" i="15" l="1"/>
  <c r="E86" i="15"/>
  <c r="M86" i="15" s="1"/>
  <c r="H76" i="14"/>
  <c r="G76" i="14" s="1"/>
  <c r="G70" i="14"/>
  <c r="M94" i="15"/>
  <c r="G95" i="15"/>
  <c r="M95" i="15" s="1"/>
  <c r="L5" i="21"/>
  <c r="F6" i="21"/>
  <c r="L6" i="21" s="1"/>
  <c r="G33" i="17"/>
  <c r="G42" i="17" s="1"/>
  <c r="F53" i="7"/>
  <c r="F51" i="7"/>
  <c r="F49" i="7"/>
  <c r="F46" i="7"/>
  <c r="F44" i="7"/>
  <c r="F43" i="7"/>
  <c r="F41" i="7"/>
  <c r="F38" i="7"/>
  <c r="F36" i="7"/>
  <c r="F35" i="7"/>
  <c r="F31" i="7"/>
  <c r="F30" i="7" s="1"/>
  <c r="F28" i="7"/>
  <c r="F26" i="7"/>
  <c r="F24" i="7"/>
  <c r="F23" i="7"/>
  <c r="F22" i="7"/>
  <c r="F21" i="7"/>
  <c r="F20" i="7"/>
  <c r="F19" i="7"/>
  <c r="F6" i="7"/>
  <c r="F5" i="7"/>
  <c r="E97" i="1" l="1"/>
  <c r="F15" i="7"/>
  <c r="F17" i="7" s="1"/>
  <c r="F18" i="7"/>
  <c r="F33" i="7" s="1"/>
  <c r="F55" i="7"/>
  <c r="F56" i="7" s="1"/>
  <c r="F52" i="7"/>
  <c r="G6" i="6" l="1"/>
  <c r="H6" i="6" s="1"/>
  <c r="C24" i="28"/>
  <c r="D112" i="1" l="1"/>
  <c r="C28" i="28" s="1"/>
  <c r="D99" i="1"/>
  <c r="E99" i="1" s="1"/>
  <c r="E106" i="1" s="1"/>
  <c r="D86" i="1"/>
  <c r="D80" i="1"/>
  <c r="D72" i="1"/>
  <c r="D69" i="1"/>
  <c r="C8" i="6" s="1"/>
  <c r="D8" i="6" s="1"/>
  <c r="D66" i="1"/>
  <c r="C10" i="5" s="1"/>
  <c r="D10" i="5" s="1"/>
  <c r="D63" i="1"/>
  <c r="D57" i="1"/>
  <c r="D41" i="1"/>
  <c r="D33" i="1"/>
  <c r="D24" i="1"/>
  <c r="D31" i="1" s="1"/>
  <c r="D14" i="1"/>
  <c r="D12" i="1"/>
  <c r="C6" i="5" s="1"/>
  <c r="D6" i="5" s="1"/>
  <c r="C7" i="5" l="1"/>
  <c r="D7" i="5" s="1"/>
  <c r="E14" i="1"/>
  <c r="E22" i="1" s="1"/>
  <c r="D45" i="1"/>
  <c r="C9" i="28" s="1"/>
  <c r="E33" i="1"/>
  <c r="E45" i="1" s="1"/>
  <c r="D76" i="1"/>
  <c r="C15" i="28" s="1"/>
  <c r="E72" i="1"/>
  <c r="E76" i="1" s="1"/>
  <c r="H10" i="5"/>
  <c r="H13" i="5" s="1"/>
  <c r="H20" i="5" s="1"/>
  <c r="E86" i="1"/>
  <c r="E96" i="1" s="1"/>
  <c r="E107" i="1" s="1"/>
  <c r="E113" i="1" s="1"/>
  <c r="C8" i="5"/>
  <c r="D8" i="5" s="1"/>
  <c r="C26" i="28"/>
  <c r="C23" i="28" s="1"/>
  <c r="G8" i="6"/>
  <c r="C6" i="6"/>
  <c r="D6" i="6" s="1"/>
  <c r="C8" i="28"/>
  <c r="C7" i="6"/>
  <c r="D7" i="6" s="1"/>
  <c r="C11" i="28"/>
  <c r="C9" i="5"/>
  <c r="D9" i="5" s="1"/>
  <c r="C10" i="28"/>
  <c r="D96" i="1"/>
  <c r="C22" i="28" s="1"/>
  <c r="C27" i="28" s="1"/>
  <c r="C29" i="28" s="1"/>
  <c r="D106" i="1"/>
  <c r="D22" i="1"/>
  <c r="C7" i="28" s="1"/>
  <c r="C13" i="5" l="1"/>
  <c r="C20" i="5" s="1"/>
  <c r="D118" i="1"/>
  <c r="G13" i="5"/>
  <c r="G20" i="5" s="1"/>
  <c r="D13" i="5"/>
  <c r="D21" i="5" s="1"/>
  <c r="D20" i="5"/>
  <c r="D12" i="6"/>
  <c r="E70" i="1"/>
  <c r="E117" i="1" s="1"/>
  <c r="G12" i="6"/>
  <c r="G18" i="6" s="1"/>
  <c r="H8" i="6"/>
  <c r="H12" i="6" s="1"/>
  <c r="H18" i="6" s="1"/>
  <c r="E118" i="1"/>
  <c r="C12" i="6"/>
  <c r="C18" i="6" s="1"/>
  <c r="D107" i="1"/>
  <c r="D113" i="1" s="1"/>
  <c r="C14" i="28"/>
  <c r="C16" i="28" s="1"/>
  <c r="D70" i="1"/>
  <c r="D77" i="1" s="1"/>
  <c r="G19" i="6"/>
  <c r="H22" i="5" l="1"/>
  <c r="G21" i="5"/>
  <c r="G22" i="5"/>
  <c r="C22" i="5"/>
  <c r="C21" i="5"/>
  <c r="C20" i="6"/>
  <c r="D22" i="5"/>
  <c r="H21" i="5"/>
  <c r="D20" i="6"/>
  <c r="D19" i="6"/>
  <c r="D18" i="6"/>
  <c r="C19" i="6"/>
  <c r="G20" i="6"/>
  <c r="D117" i="1"/>
  <c r="H17" i="14" l="1"/>
  <c r="H21" i="14"/>
  <c r="H15" i="14"/>
  <c r="H19" i="14"/>
  <c r="H20" i="14"/>
  <c r="J7" i="11"/>
  <c r="L6" i="11"/>
  <c r="E6" i="11" s="1"/>
  <c r="L7" i="11" l="1"/>
  <c r="K7" i="11" s="1"/>
  <c r="C6" i="11"/>
  <c r="G6" i="11"/>
  <c r="I6" i="11"/>
  <c r="I7" i="11" l="1"/>
  <c r="G7" i="11"/>
  <c r="E7" i="11"/>
  <c r="C7" i="11"/>
</calcChain>
</file>

<file path=xl/sharedStrings.xml><?xml version="1.0" encoding="utf-8"?>
<sst xmlns="http://schemas.openxmlformats.org/spreadsheetml/2006/main" count="2864" uniqueCount="1011">
  <si>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</si>
  <si>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</si>
  <si>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</si>
  <si>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</si>
  <si>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</si>
  <si>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</si>
  <si>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</si>
  <si>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</si>
  <si>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</si>
  <si>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</si>
  <si>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</si>
  <si>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</si>
  <si>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</si>
  <si>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</si>
  <si>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</si>
  <si>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</si>
  <si>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</si>
  <si>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</si>
  <si>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</si>
  <si>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</si>
  <si>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</si>
  <si>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</si>
  <si>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</si>
  <si>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</si>
  <si>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</si>
  <si>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</si>
  <si>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</si>
  <si>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</si>
  <si>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</si>
  <si>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</si>
  <si>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</si>
  <si>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</si>
  <si>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</si>
  <si>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</si>
  <si>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</si>
  <si>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</si>
  <si>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</si>
  <si>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</si>
  <si>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</si>
  <si>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</si>
  <si>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</si>
  <si>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</si>
  <si>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</si>
  <si>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</si>
  <si>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</si>
  <si>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</si>
  <si>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</si>
  <si>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</si>
  <si>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</si>
  <si>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</si>
  <si>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</si>
  <si>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</si>
  <si>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</si>
  <si>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</si>
  <si>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</si>
  <si>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</si>
  <si>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</si>
  <si>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</si>
  <si>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</si>
  <si>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</si>
  <si>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</si>
  <si>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</si>
  <si>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</si>
  <si>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</si>
  <si>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</si>
  <si>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</si>
  <si>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</si>
  <si>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</si>
  <si>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</si>
  <si>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</si>
  <si>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</si>
  <si>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</si>
  <si>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</si>
  <si>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</si>
  <si>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</si>
  <si>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</si>
  <si>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</si>
  <si>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</si>
  <si>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</si>
  <si>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</si>
  <si>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</si>
  <si>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</si>
  <si>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</si>
  <si>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</si>
  <si>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</si>
  <si>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</si>
  <si>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</si>
  <si>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</si>
  <si>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</si>
  <si>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</si>
  <si>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</si>
  <si>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</si>
  <si>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</si>
  <si>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</si>
  <si>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</si>
  <si>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</si>
  <si>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</si>
  <si>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</si>
  <si>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</si>
  <si>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</si>
  <si>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</si>
  <si>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</si>
  <si>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</si>
  <si>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</si>
  <si>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</si>
  <si>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</si>
  <si>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</si>
  <si>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</si>
  <si>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</si>
  <si>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</si>
  <si>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</si>
  <si>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</si>
  <si>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</si>
  <si>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</si>
  <si>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</si>
  <si>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</si>
  <si>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</si>
  <si>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</si>
  <si>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</si>
  <si>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</si>
  <si>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</si>
  <si>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</si>
  <si>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</si>
  <si>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</si>
  <si>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</si>
  <si>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</si>
  <si>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</si>
  <si>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</si>
  <si>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</si>
  <si>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</si>
  <si>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</si>
  <si>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</si>
  <si>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</si>
  <si>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</si>
  <si>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</si>
  <si>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</si>
  <si>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</si>
  <si>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</si>
  <si>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</si>
  <si>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</si>
  <si>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</si>
  <si>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</si>
  <si>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</si>
  <si>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</si>
  <si>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</si>
  <si>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</si>
  <si>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</si>
  <si>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</si>
  <si>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</si>
  <si>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</si>
  <si>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</si>
  <si>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</si>
  <si>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</si>
  <si>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</si>
  <si>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</si>
  <si>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</si>
  <si>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</si>
  <si>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</si>
  <si>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</si>
  <si>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</si>
  <si>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</si>
  <si>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</si>
  <si>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</si>
  <si>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</si>
  <si>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</si>
  <si>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</si>
  <si>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</si>
  <si>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</si>
  <si>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</si>
  <si>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</si>
  <si>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</si>
  <si>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</si>
  <si>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</si>
  <si>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</si>
  <si>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</si>
  <si>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</si>
  <si>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</si>
  <si>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</si>
  <si>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</si>
  <si>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</si>
  <si>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</si>
  <si>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</si>
  <si>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</si>
  <si>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</si>
  <si>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</si>
  <si>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</si>
  <si>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</si>
  <si>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</si>
  <si>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</si>
  <si>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</si>
  <si>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</si>
  <si>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</si>
  <si>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</si>
  <si>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</si>
  <si>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</si>
  <si>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</si>
  <si>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</si>
  <si>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</si>
  <si>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</si>
  <si>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</si>
  <si>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</si>
  <si>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</si>
  <si>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</si>
  <si>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</si>
  <si>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</si>
  <si>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</si>
  <si>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</si>
  <si>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</si>
  <si>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</si>
  <si>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</si>
  <si>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</si>
  <si>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</si>
  <si>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</si>
  <si>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</si>
  <si>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</si>
  <si>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</si>
  <si>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</si>
  <si>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</si>
  <si>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</si>
  <si>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</si>
  <si>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</si>
  <si>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</si>
  <si>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</si>
  <si>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</si>
  <si>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</si>
  <si>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</si>
  <si>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</si>
  <si>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</si>
  <si>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</si>
  <si>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</si>
  <si>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</si>
  <si>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</si>
  <si>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</si>
  <si>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</si>
  <si>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</si>
  <si>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</si>
  <si>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</si>
  <si>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</si>
  <si>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</si>
  <si>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</si>
  <si>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</si>
  <si>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</si>
  <si>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</si>
  <si>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</si>
  <si>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</si>
  <si>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</si>
  <si>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</si>
  <si>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</si>
  <si>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</si>
  <si>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</si>
  <si>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</si>
  <si>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</si>
  <si>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</si>
  <si>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</si>
  <si>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</si>
  <si>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</si>
  <si>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</si>
  <si>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</si>
  <si>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</si>
  <si>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</si>
  <si>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</si>
  <si>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</si>
  <si>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</si>
  <si>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</si>
  <si>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</si>
  <si>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</si>
  <si>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</si>
  <si>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</si>
  <si>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</si>
  <si>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</si>
  <si>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</si>
  <si>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</si>
  <si>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</si>
  <si>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</si>
  <si>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</si>
  <si>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</si>
  <si>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</si>
  <si>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</si>
  <si>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</si>
  <si>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</si>
  <si>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</si>
  <si>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</si>
  <si>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</si>
  <si>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</si>
  <si>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</si>
  <si>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</si>
  <si>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</si>
  <si>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</si>
  <si>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</si>
  <si>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</si>
  <si>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</si>
  <si>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</si>
  <si>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</si>
  <si>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</si>
  <si>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</si>
  <si>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</si>
  <si>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</si>
  <si>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</si>
  <si>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</si>
  <si>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</si>
  <si>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</si>
  <si>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</si>
  <si>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</si>
  <si>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</si>
  <si>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</si>
  <si>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</si>
  <si>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</si>
  <si>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</si>
  <si>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</si>
  <si>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</si>
  <si>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</si>
  <si>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</si>
  <si>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</si>
  <si>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</si>
  <si>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</si>
  <si>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</si>
  <si>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</si>
  <si>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</si>
  <si>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</si>
  <si>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</si>
  <si>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</si>
  <si>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</si>
  <si>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</si>
  <si>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</si>
  <si>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</si>
  <si>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</si>
  <si>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</si>
  <si>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</si>
  <si>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</si>
  <si>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</si>
  <si>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</si>
  <si>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</si>
  <si>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</si>
  <si>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</si>
  <si>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</si>
  <si>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</si>
  <si>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</si>
  <si>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</si>
  <si>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</si>
  <si>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</si>
  <si>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</si>
  <si>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</si>
  <si>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</si>
  <si>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</si>
  <si>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</si>
  <si>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</si>
  <si>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</si>
  <si>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</si>
  <si>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</si>
  <si>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</si>
  <si>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</si>
  <si>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</si>
  <si>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</si>
  <si>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</si>
  <si>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</si>
  <si>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</si>
  <si>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</si>
  <si>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</si>
  <si>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</si>
  <si>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</si>
  <si>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</si>
  <si>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</si>
  <si>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</si>
  <si>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</si>
  <si>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</si>
  <si>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</si>
  <si>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</si>
  <si>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</si>
  <si>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</si>
  <si>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</si>
  <si>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</si>
  <si>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</si>
  <si>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</si>
  <si>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</si>
  <si>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</si>
  <si>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</si>
  <si>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</si>
  <si>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</si>
  <si>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</si>
  <si>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</si>
  <si>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</si>
  <si>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</si>
  <si>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</si>
  <si>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</si>
  <si>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</si>
  <si>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</si>
  <si>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</si>
  <si>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</si>
  <si>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</si>
  <si>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</si>
  <si>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</si>
  <si>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</si>
  <si>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</si>
  <si>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</si>
  <si>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</si>
  <si>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</si>
  <si>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</si>
  <si>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</si>
  <si>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</si>
  <si>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</si>
  <si>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</si>
  <si>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</si>
  <si>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</si>
  <si>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</si>
  <si>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A 2016. évről áthúzódó bérkompenzáció támogatása</t>
  </si>
  <si>
    <t>2017. évi állami támogatás</t>
  </si>
  <si>
    <t xml:space="preserve"> Mezőtúr Város Önkormányzatának
2017. évi állami támogatások  jogcímei és összegei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</si>
  <si>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</si>
  <si>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</si>
  <si>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</si>
  <si>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</si>
  <si>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</si>
  <si>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</si>
  <si>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</si>
  <si>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</si>
  <si>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</si>
  <si>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</si>
  <si>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</si>
  <si>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</si>
  <si>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</si>
  <si>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</si>
  <si>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</si>
  <si>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Első lakáshoz jutók felhalmozási célú támogatása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</si>
  <si>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</si>
  <si>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</si>
  <si>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</si>
  <si>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</si>
  <si>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</si>
  <si>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</si>
  <si>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</si>
  <si>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</si>
  <si>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</si>
  <si>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</si>
  <si>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</si>
  <si>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</si>
  <si>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</si>
  <si>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</si>
  <si>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</si>
  <si>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</si>
  <si>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</si>
  <si>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</si>
  <si>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</si>
  <si>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</si>
  <si>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</si>
  <si>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</si>
  <si>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</si>
  <si>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</si>
  <si>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</si>
  <si>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</si>
  <si>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</si>
  <si>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</si>
  <si>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</si>
  <si>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</si>
  <si>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</si>
  <si>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</si>
  <si>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</si>
  <si>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</si>
  <si>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</si>
  <si>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</si>
  <si>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</si>
  <si>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</si>
  <si>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</si>
  <si>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</si>
  <si>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</si>
  <si>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</si>
  <si>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</si>
  <si>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</si>
  <si>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</si>
  <si>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</si>
  <si>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</si>
  <si>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</si>
  <si>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</si>
  <si>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</si>
  <si>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Mezőtúr Város Önkormányzatának
2017. évi bevételei  feladatonként</t>
  </si>
  <si>
    <t>Mezőtúr Város Önkormányzatának
2017. évi kiadásai  feladatonként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</si>
  <si>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</si>
  <si>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</si>
  <si>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</si>
  <si>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</si>
  <si>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</si>
  <si>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</si>
  <si>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</si>
  <si>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</si>
  <si>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</si>
  <si>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</si>
  <si>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</si>
  <si>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</si>
  <si>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</si>
  <si>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</si>
  <si>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</si>
  <si>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</si>
  <si>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</si>
  <si>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</si>
  <si>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</si>
  <si>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</si>
  <si>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</si>
  <si>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</si>
  <si>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</si>
  <si>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</si>
  <si>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</si>
  <si>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</si>
  <si>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</si>
  <si>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</si>
  <si>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</si>
  <si>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</si>
  <si>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</si>
  <si>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</si>
  <si>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</si>
  <si>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</si>
  <si>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</si>
  <si>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</si>
  <si>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</si>
  <si>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</si>
  <si>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</si>
  <si>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</si>
  <si>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</si>
  <si>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</si>
  <si>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</si>
  <si>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</si>
  <si>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</si>
  <si>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</si>
  <si>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</si>
  <si>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</si>
  <si>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</si>
  <si>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</si>
  <si>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</si>
  <si>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Mezőtúri Közös Önkormányzati Hivatal
2017. évi kiadásai  feladatonként</t>
  </si>
  <si>
    <t>Mezőtúri Móricz Zsigmond Könyvtár
2017. évi kiadásai  feladatonként</t>
  </si>
  <si>
    <t>Mezőtúri Közös Önkormányzati Hivatal
2017. évi bevételei  feladatonként</t>
  </si>
  <si>
    <t>Mezőtúri Móricz Zsigmond Könyvtár
2017. évi bevételei  feladatonként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</si>
  <si>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</si>
  <si>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</si>
  <si>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</si>
  <si>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</si>
  <si>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</si>
  <si>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</si>
  <si>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</si>
  <si>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</si>
  <si>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</si>
  <si>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</si>
  <si>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</si>
  <si>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</si>
  <si>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</si>
  <si>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</si>
  <si>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</si>
  <si>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</si>
  <si>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</si>
  <si>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</si>
  <si>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</si>
  <si>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</si>
  <si>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</si>
  <si>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</si>
  <si>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</si>
  <si>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</si>
  <si>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</si>
  <si>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</si>
  <si>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</si>
  <si>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</si>
  <si>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2018. IV. negyedév</t>
  </si>
  <si>
    <t>2019. I.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</si>
  <si>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</si>
  <si>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</si>
  <si>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</si>
  <si>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</si>
  <si>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</si>
  <si>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</si>
  <si>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</si>
  <si>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</si>
  <si>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</si>
  <si>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Mezőtőr Város Önkormányzata
2017. évi Előirányzat-felhasználási terve havi bontásban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</si>
  <si>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</si>
  <si>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</si>
  <si>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</si>
  <si>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</si>
  <si>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</si>
  <si>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</si>
  <si>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</si>
  <si>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</si>
  <si>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</si>
  <si>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</si>
  <si>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</si>
  <si>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</si>
  <si>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</si>
  <si>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</si>
  <si>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</si>
  <si>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</si>
  <si>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</si>
  <si>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</si>
  <si>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</si>
  <si>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</si>
  <si>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</si>
  <si>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</si>
  <si>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</si>
  <si>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</si>
  <si>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</si>
  <si>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Mezőtúr Város Önkormányzata
2017. évi engedélyezett létszámkerete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</si>
  <si>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</si>
  <si>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</si>
  <si>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</si>
  <si>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</si>
  <si>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</si>
  <si>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</si>
  <si>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Vadászház vásárlás</t>
  </si>
  <si>
    <t>Uszoda felújítás</t>
  </si>
  <si>
    <t>Komp felújítás</t>
  </si>
  <si>
    <t>MFB ÖIP hitel - Mentőállomás beruházás  (ÉAOP-4.1.2/A-12-2013-0030. " Egészségház és Mentőállomás kialakítása projkethez kapcsolódóan)</t>
  </si>
  <si>
    <t xml:space="preserve">Belterületi utak felújítása MFB ÖIP hitel - ÉAOP-3.1.2/A-11-2012-0004. „Mezőtúr Város önkormányzati tulajdonú belterületi útjainak a fejlesztése” </t>
  </si>
  <si>
    <t>Mezőtúri járási foglalkoztatási együttműködések</t>
  </si>
  <si>
    <t>TOP-5.1.2-15-JN1-2016-00007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</si>
  <si>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</si>
  <si>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</si>
  <si>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</si>
  <si>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</si>
  <si>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Jász-Nagykun-Szolnok Megyei Kormányhivatal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</si>
  <si>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</si>
  <si>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</si>
  <si>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</si>
  <si>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</si>
  <si>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</si>
  <si>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</si>
  <si>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</si>
  <si>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</si>
  <si>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</si>
  <si>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Mezőtúr Város Önkormányzata
költségvetési évet követő három év tervezett előirányzatainak keretszámai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</si>
  <si>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</si>
  <si>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</si>
  <si>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</si>
  <si>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</si>
  <si>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</si>
  <si>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</si>
  <si>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</si>
  <si>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Mezőtúr Városi Önkormányzata
által 2017. évben folyósított ellátottak pénzbeli juttatásai</t>
  </si>
  <si>
    <t>Mezőtúri Közös Önkormányzati Hivatal
által 2017. évben folyósított ellátottak pénzbeli juttatásai</t>
  </si>
  <si>
    <t>Kiegészítő gyermekvédelmi támogatás</t>
  </si>
  <si>
    <t>Mezőtúr Város Önkormányzatának
2017. évi bevételi és kiadási előirányzatai</t>
  </si>
  <si>
    <t>Mezőtúri Közös Önkormányzati Hivatal
2017. évi bevételi és kiadási előirányzatai</t>
  </si>
  <si>
    <t>Mezőtúr Város Önkormányzata
2017. évi általános és céltartalékai</t>
  </si>
  <si>
    <t xml:space="preserve">Mezőtúr Város Önkormányzata
2017. évi adósságot keletkeztető fejlesztési céljai </t>
  </si>
  <si>
    <t>Cím száma</t>
  </si>
  <si>
    <t>Alcím száma</t>
  </si>
  <si>
    <t>Cím/alcím neve</t>
  </si>
  <si>
    <t>I.</t>
  </si>
  <si>
    <t>II.</t>
  </si>
  <si>
    <t>Címrend
Mezőtúr Város Önkormányzata 2017. évi költségvetéséhez</t>
  </si>
  <si>
    <t>Gazdasági szervezettel rendelkező költségvetési szerv</t>
  </si>
  <si>
    <t>Gazdasági szervezettel nem rendelkező költségvetési szerv</t>
  </si>
  <si>
    <t>Mezőtúr Város Önkormányzata
2017. évi költségvetésének összevont mérlege</t>
  </si>
  <si>
    <t>Mezőtúr Város Önkormányzata
2017. évi költségvetésében a működési célú bevételek és kiadások összevont mérlege</t>
  </si>
  <si>
    <t>Mezőtúr Város Önkormányzata
 2017. évi költségvetésében a felhalmozási célú bevételek és kiadások összevont mérlege</t>
  </si>
  <si>
    <t>Ellátás jogcíme</t>
  </si>
  <si>
    <t>Mezőtúri Móricz Zsigmond Könyvtár
2017. évi bevételi és kiadási előirányzatai</t>
  </si>
  <si>
    <t>Mezőtúr Város Önkormányzata
által 2017. évben adott közvetett támogatások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</si>
  <si>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</si>
  <si>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</si>
  <si>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Mezőtúri Intézményellátó és Ingatlankezelő KN Kft 2017. évi kompenzációja</t>
  </si>
  <si>
    <t>Mezőtúri Közművelődési és Sport KN Kft 2017. évi kompenzációja</t>
  </si>
  <si>
    <t>Mezőtúri Ipari Park Kft 2017. évi kompenzációja</t>
  </si>
  <si>
    <t>Mezőtúri Városfejlesztési Kft 2017. évi kompenzációja</t>
  </si>
  <si>
    <t>TURMED BT. OEP finanszírozás átadása</t>
  </si>
  <si>
    <t>Kiegészítő gyermekvédelmi támogatás pótlék</t>
  </si>
  <si>
    <t>Tálaló konyha fűtés korszerűsítés</t>
  </si>
  <si>
    <t xml:space="preserve"> Egyéb felhalmozási célú kiadások (Lakástámogatás)</t>
  </si>
  <si>
    <t>Rákóczi Szövetség támogatása</t>
  </si>
  <si>
    <t>Közvilágítás fejlesztés</t>
  </si>
  <si>
    <t>Vagyongazdálkodás ingatlan vásárlás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</si>
  <si>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</si>
  <si>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</si>
  <si>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</si>
  <si>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</si>
  <si>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</si>
  <si>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</si>
  <si>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</si>
  <si>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</si>
  <si>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</si>
  <si>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</si>
  <si>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</si>
  <si>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</si>
  <si>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</si>
  <si>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Beruházási kiadások összesen</t>
  </si>
  <si>
    <t>Mezőtúr Város Önkormányzata
2017. évi és további évekre áthúzódó Beruházási és felújítási kiadások feladatonként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</si>
  <si>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</si>
  <si>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</si>
  <si>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</si>
  <si>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</si>
  <si>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</si>
  <si>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</si>
  <si>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</si>
  <si>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</si>
  <si>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</si>
  <si>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</si>
  <si>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</si>
  <si>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</si>
  <si>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</si>
  <si>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</si>
  <si>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</si>
  <si>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</si>
  <si>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</si>
  <si>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</si>
  <si>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</si>
  <si>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</si>
  <si>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</si>
  <si>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</si>
  <si>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</si>
  <si>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</si>
  <si>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</si>
  <si>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</si>
  <si>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TOP-5.1.2-15-JN1-2016-00007 Mezőtúri járási foglalkoztatási együttműködések 2018-2019. időszakra jutó támogatás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</si>
  <si>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</si>
  <si>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</si>
  <si>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</si>
  <si>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</si>
  <si>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</si>
  <si>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</si>
  <si>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</si>
  <si>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</si>
  <si>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</si>
  <si>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</si>
  <si>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</si>
  <si>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</si>
  <si>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</si>
  <si>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</si>
  <si>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</si>
  <si>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</si>
  <si>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</si>
  <si>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</si>
  <si>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</si>
  <si>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</si>
  <si>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</si>
  <si>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</si>
  <si>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</si>
  <si>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Költségvetési bevételek összesen: (1.+...+3.)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</si>
  <si>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</si>
  <si>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</si>
  <si>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</si>
  <si>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</si>
  <si>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</si>
  <si>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</si>
  <si>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</si>
  <si>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2017</t>
  </si>
  <si>
    <t>2016</t>
  </si>
  <si>
    <t>2018</t>
  </si>
  <si>
    <t>2016. évi támogatás, saját bevétel maradvány</t>
  </si>
  <si>
    <t>Felújításisi kiadások összesen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</si>
  <si>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</si>
  <si>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</si>
  <si>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</si>
  <si>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</si>
  <si>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</si>
  <si>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</si>
  <si>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</si>
  <si>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</si>
  <si>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</si>
  <si>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1818/2016. (XII. 22.) Korm. Határozat alapján Útfelújítás</t>
  </si>
  <si>
    <t>2019</t>
  </si>
  <si>
    <t>TOP-5.1.2-15-JN1-2016-00007 Mezőtúri járási foglalkoztatási együttműködések</t>
  </si>
  <si>
    <t>Intézményellátó Kft. autó vásárlás</t>
  </si>
  <si>
    <t>Közművelődési Kft.autó vásárlás</t>
  </si>
  <si>
    <t>TRV Zrt. fejlesztése gördülő fejlesztési terv alapján</t>
  </si>
  <si>
    <t>013350</t>
  </si>
  <si>
    <t>Önkormányzati vagyonnal való gazdálkodással kapcsolatos feladatok</t>
  </si>
  <si>
    <t>018010</t>
  </si>
  <si>
    <t>Önkormányzatok elszámolásai a központi költségvetéssel</t>
  </si>
  <si>
    <t>041237</t>
  </si>
  <si>
    <t>Közfoglalkoztatási mintaprogram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</si>
  <si>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</si>
  <si>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</si>
  <si>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</si>
  <si>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</si>
  <si>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</si>
  <si>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</si>
  <si>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</si>
  <si>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Út, autó pálya építése</t>
  </si>
  <si>
    <t>900020</t>
  </si>
  <si>
    <t>Önkormányzatok funkciókra nem sorolt bevételei áht-n kívülről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</si>
  <si>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</si>
  <si>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</si>
  <si>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</si>
  <si>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</si>
  <si>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</si>
  <si>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</si>
  <si>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</si>
  <si>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</si>
  <si>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</si>
  <si>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</si>
  <si>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</si>
  <si>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051020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</si>
  <si>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</si>
  <si>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</si>
  <si>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</si>
  <si>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</si>
  <si>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</si>
  <si>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</si>
  <si>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</si>
  <si>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</si>
  <si>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</si>
  <si>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</si>
  <si>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</si>
  <si>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</si>
  <si>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</si>
  <si>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</si>
  <si>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</si>
  <si>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091220</t>
  </si>
  <si>
    <t>091250</t>
  </si>
  <si>
    <t>092120</t>
  </si>
  <si>
    <t>092260</t>
  </si>
  <si>
    <t>092270</t>
  </si>
  <si>
    <t>096015</t>
  </si>
  <si>
    <t>096030</t>
  </si>
  <si>
    <t>098022</t>
  </si>
  <si>
    <t>104031</t>
  </si>
  <si>
    <t>104037</t>
  </si>
  <si>
    <t>107060</t>
  </si>
  <si>
    <t>900060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</si>
  <si>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</si>
  <si>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</si>
  <si>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</si>
  <si>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</si>
  <si>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</si>
  <si>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</si>
  <si>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</si>
  <si>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összetevőinek válogatása, szállítása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</si>
  <si>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</si>
  <si>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</si>
  <si>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</si>
  <si>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Vízellátással kapcsolatos közmű építése, fenntart.üzem.</t>
  </si>
  <si>
    <t>Közvilágítás</t>
  </si>
  <si>
    <t>Város-, községgazdálkodási egyéb szolgáltatások</t>
  </si>
  <si>
    <t>066010</t>
  </si>
  <si>
    <t>Zöldterület kezelés</t>
  </si>
  <si>
    <t>Háziorvosi ügyeleti ellátás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</si>
  <si>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</si>
  <si>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</si>
  <si>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</si>
  <si>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</si>
  <si>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</si>
  <si>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082064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</si>
  <si>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</si>
  <si>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</si>
  <si>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</si>
  <si>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</si>
  <si>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Köznevelési intézmény 1-4.évf.tanulók nev.okt. működ.fel.</t>
  </si>
  <si>
    <t>Alapfokú művészetoktatással összefüggő működtetési feladatok</t>
  </si>
  <si>
    <t>Köznevelési intézmény 5-8.évf.tanulók nev.okt. működ.fel.</t>
  </si>
  <si>
    <t>Gimnázium és szakképző iskola tanulóinak elméleti okt.műk.fel.</t>
  </si>
  <si>
    <t>Szakképző isk.tanulók gyakorlati okt.műk.fel.</t>
  </si>
  <si>
    <t>Gyermekétkeztetés köznevelési intézményben</t>
  </si>
  <si>
    <t>Köznevelési intézményben tanulók lakhatásának biztosítása</t>
  </si>
  <si>
    <t>Pedagógiai szakszolgáltató tev.műk.fel.</t>
  </si>
  <si>
    <t>Gyermekek bölcsődei ellátása</t>
  </si>
  <si>
    <t>Intézményen kívüli gyermekétkeztetés</t>
  </si>
  <si>
    <t>Egyéb szociális pénzbeli és természetbeni ellátások, támog.</t>
  </si>
  <si>
    <t>Forgatási és befektetési célú finanszírozási műveletek</t>
  </si>
  <si>
    <t>900070</t>
  </si>
  <si>
    <t>Fejezeti és általános tartalékok elszámolása</t>
  </si>
  <si>
    <t>Támogatási célú finanszírozási műveletek</t>
  </si>
  <si>
    <t>Mezőtúr Város Önkormányzata
által 2017. évben nyújtott működési és felhalmozási  támogatások államháztartáson kívülre</t>
  </si>
  <si>
    <t>Államigazgatási feladat</t>
  </si>
  <si>
    <t>G</t>
  </si>
  <si>
    <t>Finanszírozási bevételek, kiadások egyenlege
(finanszírozási bevételek 70. sor - finanszírozási kiadások 31. sor) (+/-)</t>
  </si>
  <si>
    <t>Módosított előirányzat</t>
  </si>
  <si>
    <t>Módosítás</t>
  </si>
  <si>
    <t>Módosított előirányzít</t>
  </si>
  <si>
    <t>H</t>
  </si>
  <si>
    <t>I</t>
  </si>
  <si>
    <t>Módosítás kötelező</t>
  </si>
  <si>
    <t xml:space="preserve"> </t>
  </si>
  <si>
    <t>Támogatási célú feinanszírozási műveletek</t>
  </si>
  <si>
    <t>Lakáshoz jutást segítő támogatások</t>
  </si>
  <si>
    <t>061030</t>
  </si>
  <si>
    <t>Közművelődés-hagyományos köz. Kult ért. Gond</t>
  </si>
  <si>
    <t xml:space="preserve">Módosítás </t>
  </si>
  <si>
    <t>Ingatlan értékesítés</t>
  </si>
  <si>
    <t>Városi közuti szemszáll.</t>
  </si>
  <si>
    <t>045140</t>
  </si>
  <si>
    <t>Módosíatott előirányzat</t>
  </si>
  <si>
    <t>047120</t>
  </si>
  <si>
    <t>Piac üzemeltetés</t>
  </si>
  <si>
    <t>Telepfejl pjojekt</t>
  </si>
  <si>
    <t>062020</t>
  </si>
  <si>
    <t>Köznev. 1-4</t>
  </si>
  <si>
    <t>Alapf. Múűvész. Okt</t>
  </si>
  <si>
    <t>Köznev. 5-8 évf</t>
  </si>
  <si>
    <t>Gimnázium</t>
  </si>
  <si>
    <t>Szakképzés</t>
  </si>
  <si>
    <t>Gyerm napközi ell.</t>
  </si>
  <si>
    <t>104030</t>
  </si>
  <si>
    <t>Gyermvéd pénzb. Tám</t>
  </si>
  <si>
    <t>Szociális étk.</t>
  </si>
  <si>
    <t>107051</t>
  </si>
  <si>
    <t>Egy. Szoc. Pénzb. Tám</t>
  </si>
  <si>
    <t>Módosított összeg</t>
  </si>
  <si>
    <t>V.</t>
  </si>
  <si>
    <t>Működési célú ktgv-i és kiegészítő támogatás</t>
  </si>
  <si>
    <t>Közétkeztetést ellátó konyha fejlesztése Mezőtúron</t>
  </si>
  <si>
    <t>TOP-1.1.3-15-JN1-2016-00014</t>
  </si>
  <si>
    <t>2017,06,01</t>
  </si>
  <si>
    <t>2019,02,28</t>
  </si>
  <si>
    <t>Kedvezményezett:</t>
  </si>
  <si>
    <t xml:space="preserve">  </t>
  </si>
  <si>
    <t>Mezőtúr Városi Bölcsőde fejlesztése</t>
  </si>
  <si>
    <t>TOP-1.4.4-15-JN1-2016-00033</t>
  </si>
  <si>
    <t>ebből Tárgyi eszköz beszerzése</t>
  </si>
  <si>
    <t>Magas színvonalú szociális alapszolgáltatáshoz való hozzáféhetőség biztosítása Mezőtúron</t>
  </si>
  <si>
    <t>TOP-4.2.1-15-JN1-2016-0002</t>
  </si>
  <si>
    <t>COFOG</t>
  </si>
  <si>
    <t>047120-Piac üzemeltetés</t>
  </si>
  <si>
    <t>104030- Gyermekek napközbeni ellátása</t>
  </si>
  <si>
    <t>107051- Szociális étkeztetés</t>
  </si>
  <si>
    <t>Projekt bruttó összköltsége Ft:</t>
  </si>
  <si>
    <t>ebből tárgsyi eszköz beszerzése</t>
  </si>
  <si>
    <t>Kelet-nyugati kerékpárút megépítése Mezőtúron</t>
  </si>
  <si>
    <t>TOP-3.1.1-15-JN1-2016-00003</t>
  </si>
  <si>
    <t>045140- Városi és elővárosi közúti személyszállítás</t>
  </si>
  <si>
    <t>Megyar Közúti Nonprofit Zrt</t>
  </si>
  <si>
    <t>Zöld kapcsolat kialakítása Mezőtúron a rekreációs-, intézményi- és lakoövezetek között</t>
  </si>
  <si>
    <t>TOP-2.1.2-15-JN1-2016-00001</t>
  </si>
  <si>
    <t>062020 - Településfejlesztési projektek és támogatásuk</t>
  </si>
  <si>
    <t>2020. év</t>
  </si>
  <si>
    <t>Belterületi vízrendezési projekt megvalósítása Mezőtúron-Borsó és Cs.Wágner utcákban, valamint a Vásárhelyi Pál utcában</t>
  </si>
  <si>
    <t>TOP-2.1.3-15-JN1-2016-0022</t>
  </si>
  <si>
    <t>047410 - Ár5 és belvízvédelemmel összefüggő tevékenységek</t>
  </si>
  <si>
    <t>Intézményi bevételek mindösszesen</t>
  </si>
  <si>
    <t>Mezőtúr Város Önkormányzata
2017. évi  költségvetési bevételeinek forrásösszetétele</t>
  </si>
  <si>
    <t>Mezőtúr Város Önkormányzatának bevételei</t>
  </si>
  <si>
    <t>Intézmények és Önkormányzat bevételei mindöszesen intézményi támogatás halmozásának kiszűrésével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</si>
  <si>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</si>
  <si>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</si>
  <si>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</si>
  <si>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</si>
  <si>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</si>
  <si>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</si>
  <si>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</si>
  <si>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</si>
  <si>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</si>
  <si>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</si>
  <si>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</si>
  <si>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</si>
  <si>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</si>
  <si>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</si>
  <si>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</si>
  <si>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</si>
  <si>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</si>
  <si>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</si>
  <si>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</si>
  <si>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</si>
  <si>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</si>
  <si>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</si>
  <si>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</si>
  <si>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</si>
  <si>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</si>
  <si>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Városi és elővárosi közl.</t>
  </si>
  <si>
    <t xml:space="preserve">Településfejl.project 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</si>
  <si>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</si>
  <si>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</si>
  <si>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</si>
  <si>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</si>
  <si>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</si>
  <si>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</si>
  <si>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</si>
  <si>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</si>
  <si>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</si>
  <si>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</si>
  <si>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</si>
  <si>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</si>
  <si>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</si>
  <si>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</si>
  <si>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</si>
  <si>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</si>
  <si>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</si>
  <si>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</si>
  <si>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</si>
  <si>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</si>
  <si>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</si>
  <si>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</si>
  <si>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</si>
  <si>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</si>
  <si>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</si>
  <si>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</si>
  <si>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</si>
  <si>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</si>
  <si>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</si>
  <si>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</si>
  <si>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</si>
  <si>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</si>
  <si>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Gyermekek napközbeni ellátása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</si>
  <si>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</si>
  <si>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</si>
  <si>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</si>
  <si>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</si>
  <si>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</si>
  <si>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</si>
  <si>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</si>
  <si>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</si>
  <si>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</si>
  <si>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</si>
  <si>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</si>
  <si>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</si>
  <si>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Szociális étkezés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</si>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</sst>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  <font>
      <sz val="10"/>
      <color theme="1"/>
      <name val="Times New Roman CE"/>
      <charset val="238"/>
    </font>
    <font>
      <i/>
      <sz val="10"/>
      <color theme="1"/>
      <name val="Times New Roman CE"/>
      <charset val="238"/>
    </font>
    <font>
      <i/>
      <sz val="12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2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7" applyNumberFormat="0" applyAlignment="0" applyProtection="0"/>
    <xf numFmtId="0" fontId="34" fillId="21" borderId="18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17" applyNumberFormat="0" applyAlignment="0" applyProtection="0"/>
    <xf numFmtId="0" fontId="43" fillId="0" borderId="22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23" applyNumberFormat="0" applyFont="0" applyAlignment="0" applyProtection="0"/>
    <xf numFmtId="0" fontId="51" fillId="20" borderId="24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4" fillId="7" borderId="17" applyNumberFormat="0" applyAlignment="0" applyProtection="0"/>
    <xf numFmtId="0" fontId="75" fillId="0" borderId="0" applyNumberFormat="0" applyFill="0" applyBorder="0" applyAlignment="0" applyProtection="0"/>
    <xf numFmtId="0" fontId="76" fillId="0" borderId="19" applyNumberFormat="0" applyFill="0" applyAlignment="0" applyProtection="0"/>
    <xf numFmtId="0" fontId="77" fillId="0" borderId="20" applyNumberFormat="0" applyFill="0" applyAlignment="0" applyProtection="0"/>
    <xf numFmtId="0" fontId="78" fillId="0" borderId="21" applyNumberFormat="0" applyFill="0" applyAlignment="0" applyProtection="0"/>
    <xf numFmtId="0" fontId="78" fillId="0" borderId="0" applyNumberFormat="0" applyFill="0" applyBorder="0" applyAlignment="0" applyProtection="0"/>
    <xf numFmtId="0" fontId="79" fillId="21" borderId="18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22" applyNumberFormat="0" applyFill="0" applyAlignment="0" applyProtection="0"/>
    <xf numFmtId="0" fontId="36" fillId="23" borderId="23" applyNumberFormat="0" applyFont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9" borderId="0" applyNumberFormat="0" applyBorder="0" applyAlignment="0" applyProtection="0"/>
    <xf numFmtId="0" fontId="83" fillId="4" borderId="0" applyNumberFormat="0" applyBorder="0" applyAlignment="0" applyProtection="0"/>
    <xf numFmtId="0" fontId="84" fillId="20" borderId="24" applyNumberFormat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8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7" fillId="0" borderId="25" applyNumberFormat="0" applyFill="0" applyAlignment="0" applyProtection="0"/>
    <xf numFmtId="44" fontId="11" fillId="0" borderId="0" applyFont="0" applyFill="0" applyBorder="0" applyAlignment="0" applyProtection="0"/>
    <xf numFmtId="0" fontId="88" fillId="3" borderId="0" applyNumberFormat="0" applyBorder="0" applyAlignment="0" applyProtection="0"/>
    <xf numFmtId="0" fontId="89" fillId="22" borderId="0" applyNumberFormat="0" applyBorder="0" applyAlignment="0" applyProtection="0"/>
    <xf numFmtId="0" fontId="86" fillId="0" borderId="0"/>
    <xf numFmtId="0" fontId="90" fillId="20" borderId="17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3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0" fontId="15" fillId="0" borderId="0" xfId="1" applyFont="1" applyFill="1" applyProtection="1"/>
    <xf numFmtId="0" fontId="7" fillId="0" borderId="0" xfId="1" applyFill="1" applyAlignment="1" applyProtection="1"/>
    <xf numFmtId="0" fontId="24" fillId="0" borderId="0" xfId="1" applyFont="1" applyFill="1" applyProtection="1"/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vertical="center" wrapText="1"/>
    </xf>
    <xf numFmtId="164" fontId="29" fillId="0" borderId="0" xfId="0" applyNumberFormat="1" applyFont="1" applyFill="1" applyAlignment="1" applyProtection="1">
      <alignment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3" fontId="20" fillId="0" borderId="0" xfId="51" applyNumberFormat="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0" fontId="70" fillId="0" borderId="0" xfId="48" applyFont="1"/>
    <xf numFmtId="0" fontId="67" fillId="0" borderId="0" xfId="48" applyFont="1" applyBorder="1"/>
    <xf numFmtId="166" fontId="67" fillId="0" borderId="0" xfId="35" applyNumberFormat="1" applyFont="1" applyBorder="1"/>
    <xf numFmtId="164" fontId="71" fillId="0" borderId="0" xfId="1" applyNumberFormat="1" applyFont="1" applyFill="1" applyBorder="1" applyAlignment="1" applyProtection="1">
      <alignment horizontal="centerContinuous" vertical="center"/>
    </xf>
    <xf numFmtId="0" fontId="49" fillId="0" borderId="0" xfId="0" applyFont="1"/>
    <xf numFmtId="0" fontId="49" fillId="0" borderId="0" xfId="0" applyFont="1" applyBorder="1"/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24" fillId="0" borderId="0" xfId="0" applyFont="1" applyFill="1" applyAlignment="1" applyProtection="1">
      <alignment vertical="top" wrapText="1"/>
    </xf>
    <xf numFmtId="0" fontId="0" fillId="0" borderId="0" xfId="0" applyFill="1"/>
    <xf numFmtId="0" fontId="24" fillId="0" borderId="0" xfId="0" applyFont="1" applyFill="1" applyProtection="1"/>
    <xf numFmtId="0" fontId="0" fillId="0" borderId="0" xfId="0" applyFill="1" applyAlignment="1" applyProtection="1"/>
    <xf numFmtId="164" fontId="20" fillId="0" borderId="0" xfId="160" applyNumberFormat="1" applyFont="1" applyFill="1" applyBorder="1" applyAlignment="1">
      <alignment horizontal="left" vertical="center"/>
    </xf>
    <xf numFmtId="164" fontId="49" fillId="0" borderId="0" xfId="160" applyNumberFormat="1" applyFont="1" applyAlignment="1">
      <alignment vertical="center"/>
    </xf>
    <xf numFmtId="0" fontId="55" fillId="0" borderId="0" xfId="0" applyFont="1" applyFill="1" applyBorder="1" applyAlignment="1" applyProtection="1"/>
    <xf numFmtId="0" fontId="0" fillId="0" borderId="0" xfId="0" applyFill="1" applyBorder="1"/>
    <xf numFmtId="0" fontId="92" fillId="0" borderId="0" xfId="0" applyFont="1" applyFill="1" applyBorder="1" applyAlignment="1" applyProtection="1">
      <alignment horizontal="center" vertical="center"/>
    </xf>
    <xf numFmtId="3" fontId="93" fillId="0" borderId="0" xfId="0" applyNumberFormat="1" applyFont="1" applyFill="1" applyBorder="1" applyAlignment="1" applyProtection="1">
      <alignment vertical="center"/>
    </xf>
    <xf numFmtId="10" fontId="16" fillId="0" borderId="0" xfId="160" applyNumberFormat="1" applyFont="1" applyFill="1" applyBorder="1" applyAlignment="1">
      <alignment horizontal="left" vertical="center"/>
    </xf>
    <xf numFmtId="3" fontId="94" fillId="0" borderId="0" xfId="0" applyNumberFormat="1" applyFont="1" applyFill="1" applyBorder="1" applyAlignment="1" applyProtection="1">
      <alignment vertical="center"/>
    </xf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Alignment="1">
      <alignment vertical="center"/>
    </xf>
    <xf numFmtId="164" fontId="16" fillId="0" borderId="0" xfId="160" applyNumberFormat="1" applyFont="1" applyFill="1" applyBorder="1" applyAlignment="1">
      <alignment vertical="center"/>
    </xf>
    <xf numFmtId="3" fontId="95" fillId="0" borderId="12" xfId="76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59" fillId="0" borderId="0" xfId="160" applyNumberFormat="1" applyFont="1" applyFill="1" applyBorder="1" applyAlignment="1">
      <alignment horizontal="left" vertical="center" wrapText="1"/>
    </xf>
    <xf numFmtId="164" fontId="59" fillId="0" borderId="0" xfId="160" applyNumberFormat="1" applyFont="1" applyFill="1" applyBorder="1" applyAlignment="1">
      <alignment horizontal="right" vertical="center" wrapText="1"/>
    </xf>
    <xf numFmtId="164" fontId="59" fillId="0" borderId="0" xfId="160" applyNumberFormat="1" applyFont="1" applyAlignment="1">
      <alignment vertical="center"/>
    </xf>
    <xf numFmtId="0" fontId="93" fillId="0" borderId="0" xfId="0" applyFont="1" applyFill="1" applyBorder="1" applyAlignment="1" applyProtection="1">
      <protection locked="0"/>
    </xf>
    <xf numFmtId="164" fontId="16" fillId="0" borderId="0" xfId="16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 applyProtection="1"/>
    <xf numFmtId="0" fontId="23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0" fontId="23" fillId="0" borderId="12" xfId="0" applyFont="1" applyBorder="1" applyAlignment="1">
      <alignment horizontal="right"/>
    </xf>
    <xf numFmtId="0" fontId="0" fillId="0" borderId="0" xfId="0" applyFont="1" applyBorder="1"/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2" xfId="0" applyFont="1" applyBorder="1" applyAlignment="1">
      <alignment horizontal="right"/>
    </xf>
    <xf numFmtId="0" fontId="9" fillId="0" borderId="0" xfId="0" applyFont="1" applyFill="1" applyAlignment="1">
      <alignment vertical="center"/>
    </xf>
    <xf numFmtId="0" fontId="97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8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vertical="center" wrapText="1"/>
    </xf>
    <xf numFmtId="0" fontId="101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100" fillId="0" borderId="13" xfId="0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left" vertical="center" wrapText="1"/>
    </xf>
    <xf numFmtId="164" fontId="2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3" xfId="1" applyNumberFormat="1" applyFont="1" applyFill="1" applyBorder="1" applyAlignment="1" applyProtection="1">
      <alignment horizontal="right" vertical="center" wrapText="1"/>
    </xf>
    <xf numFmtId="0" fontId="17" fillId="0" borderId="13" xfId="1" applyFont="1" applyFill="1" applyBorder="1" applyAlignment="1" applyProtection="1">
      <alignment horizontal="center" vertical="center" wrapText="1"/>
    </xf>
    <xf numFmtId="0" fontId="100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14" xfId="1" applyFont="1" applyFill="1" applyBorder="1" applyAlignment="1" applyProtection="1">
      <alignment horizontal="center" vertical="center" wrapText="1"/>
    </xf>
    <xf numFmtId="0" fontId="98" fillId="0" borderId="13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13" xfId="1" applyNumberFormat="1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left" vertical="center" wrapText="1" indent="1"/>
    </xf>
    <xf numFmtId="164" fontId="17" fillId="0" borderId="13" xfId="1" applyNumberFormat="1" applyFont="1" applyFill="1" applyBorder="1" applyAlignment="1" applyProtection="1">
      <alignment vertical="center" wrapText="1"/>
    </xf>
    <xf numFmtId="49" fontId="9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2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7" fillId="0" borderId="0" xfId="171" applyFill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5" fillId="0" borderId="0" xfId="171" applyFont="1" applyFill="1" applyProtection="1"/>
    <xf numFmtId="0" fontId="100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4" fillId="0" borderId="0" xfId="172" applyFont="1" applyAlignment="1">
      <alignment horizontal="center" vertical="center" wrapText="1"/>
    </xf>
    <xf numFmtId="0" fontId="105" fillId="0" borderId="0" xfId="172" applyFont="1"/>
    <xf numFmtId="0" fontId="106" fillId="0" borderId="0" xfId="172" applyFont="1" applyAlignment="1">
      <alignment horizontal="center" vertical="center" wrapText="1"/>
    </xf>
    <xf numFmtId="0" fontId="106" fillId="0" borderId="0" xfId="172" applyFont="1"/>
    <xf numFmtId="0" fontId="61" fillId="24" borderId="13" xfId="172" applyFont="1" applyFill="1" applyBorder="1" applyAlignment="1">
      <alignment horizontal="center" vertical="center"/>
    </xf>
    <xf numFmtId="0" fontId="104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8" fillId="0" borderId="0" xfId="173" applyFont="1" applyFill="1" applyBorder="1" applyAlignment="1">
      <alignment horizontal="right"/>
    </xf>
    <xf numFmtId="0" fontId="62" fillId="0" borderId="0" xfId="173" applyFont="1" applyAlignment="1">
      <alignment horizontal="center" vertical="center"/>
    </xf>
    <xf numFmtId="0" fontId="104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7" fillId="0" borderId="33" xfId="173" applyFont="1" applyBorder="1" applyAlignment="1"/>
    <xf numFmtId="0" fontId="107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3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63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164" fontId="7" fillId="0" borderId="0" xfId="1" applyNumberFormat="1" applyFont="1" applyFill="1" applyAlignment="1" applyProtection="1">
      <alignment horizontal="right" vertical="center" indent="1"/>
    </xf>
    <xf numFmtId="164" fontId="16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0" fontId="16" fillId="0" borderId="0" xfId="160" applyNumberFormat="1" applyFont="1" applyFill="1" applyBorder="1" applyAlignment="1">
      <alignment horizontal="left" vertical="center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71" fillId="0" borderId="0" xfId="1" applyNumberFormat="1" applyFont="1" applyFill="1" applyBorder="1" applyAlignment="1" applyProtection="1">
      <alignment horizontal="center" vertical="center" wrapText="1"/>
    </xf>
    <xf numFmtId="0" fontId="104" fillId="0" borderId="0" xfId="175" applyFont="1"/>
    <xf numFmtId="0" fontId="62" fillId="0" borderId="0" xfId="175" applyFont="1"/>
    <xf numFmtId="0" fontId="30" fillId="0" borderId="0" xfId="176"/>
    <xf numFmtId="166" fontId="71" fillId="0" borderId="0" xfId="177" applyNumberFormat="1" applyFont="1" applyFill="1" applyBorder="1" applyAlignment="1" applyProtection="1">
      <alignment horizontal="centerContinuous" vertical="center"/>
    </xf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166" fontId="94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0" fontId="61" fillId="0" borderId="13" xfId="172" applyFont="1" applyBorder="1" applyAlignment="1">
      <alignment horizontal="left" vertical="center"/>
    </xf>
    <xf numFmtId="0" fontId="105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3" fontId="62" fillId="0" borderId="0" xfId="48" applyNumberFormat="1" applyFont="1"/>
    <xf numFmtId="0" fontId="61" fillId="0" borderId="13" xfId="48" applyFont="1" applyBorder="1" applyAlignment="1">
      <alignment horizontal="center" vertical="center"/>
    </xf>
    <xf numFmtId="0" fontId="16" fillId="0" borderId="0" xfId="2" applyFont="1" applyBorder="1" applyAlignment="1">
      <alignment vertical="center" wrapText="1"/>
    </xf>
    <xf numFmtId="0" fontId="104" fillId="0" borderId="13" xfId="175" applyFont="1" applyBorder="1" applyAlignment="1">
      <alignment horizontal="center" vertical="center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4" xfId="174" applyFont="1" applyFill="1" applyBorder="1" applyAlignment="1">
      <alignment horizontal="center" vertical="center" wrapText="1"/>
    </xf>
    <xf numFmtId="0" fontId="59" fillId="0" borderId="5" xfId="174" applyFont="1" applyFill="1" applyBorder="1" applyAlignment="1">
      <alignment horizontal="left" vertical="center" wrapText="1"/>
    </xf>
    <xf numFmtId="0" fontId="59" fillId="0" borderId="9" xfId="174" applyFont="1" applyFill="1" applyBorder="1" applyAlignment="1">
      <alignment horizontal="center" vertical="center"/>
    </xf>
    <xf numFmtId="0" fontId="59" fillId="0" borderId="35" xfId="174" applyFont="1" applyFill="1" applyBorder="1" applyAlignment="1">
      <alignment vertical="center" wrapText="1"/>
    </xf>
    <xf numFmtId="49" fontId="115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59" fillId="0" borderId="5" xfId="174" applyFont="1" applyFill="1" applyBorder="1" applyAlignment="1">
      <alignment horizontal="center" vertical="center" wrapText="1"/>
    </xf>
    <xf numFmtId="0" fontId="61" fillId="0" borderId="28" xfId="174" applyFont="1" applyFill="1" applyBorder="1" applyAlignment="1">
      <alignment horizontal="center" vertical="center"/>
    </xf>
    <xf numFmtId="0" fontId="61" fillId="0" borderId="6" xfId="174" applyFont="1" applyFill="1" applyBorder="1" applyAlignment="1">
      <alignment horizontal="center" vertical="center"/>
    </xf>
    <xf numFmtId="0" fontId="59" fillId="0" borderId="35" xfId="174" applyFont="1" applyFill="1" applyBorder="1" applyAlignment="1">
      <alignment horizontal="center" vertical="center" wrapText="1"/>
    </xf>
    <xf numFmtId="0" fontId="59" fillId="0" borderId="35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164" fontId="17" fillId="0" borderId="13" xfId="0" applyNumberFormat="1" applyFont="1" applyFill="1" applyBorder="1" applyAlignment="1" applyProtection="1">
      <alignment horizontal="left"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 indent="1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164" fontId="18" fillId="0" borderId="0" xfId="0" applyNumberFormat="1" applyFont="1" applyBorder="1" applyAlignment="1">
      <alignment horizontal="center"/>
    </xf>
    <xf numFmtId="0" fontId="16" fillId="0" borderId="0" xfId="0" applyFont="1" applyBorder="1"/>
    <xf numFmtId="0" fontId="96" fillId="0" borderId="0" xfId="0" applyFont="1" applyBorder="1"/>
    <xf numFmtId="164" fontId="69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164" fontId="71" fillId="0" borderId="13" xfId="0" applyNumberFormat="1" applyFont="1" applyFill="1" applyBorder="1" applyAlignment="1" applyProtection="1">
      <alignment horizontal="right" vertical="center" wrapText="1"/>
    </xf>
    <xf numFmtId="0" fontId="20" fillId="0" borderId="13" xfId="0" applyFont="1" applyFill="1" applyBorder="1" applyAlignment="1">
      <alignment vertical="center" wrapText="1"/>
    </xf>
    <xf numFmtId="0" fontId="71" fillId="0" borderId="13" xfId="0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99" fillId="0" borderId="13" xfId="0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7" fillId="0" borderId="13" xfId="1" applyNumberFormat="1" applyFont="1" applyFill="1" applyBorder="1" applyAlignment="1" applyProtection="1">
      <alignment vertical="center" wrapText="1"/>
      <protection locked="0"/>
    </xf>
    <xf numFmtId="0" fontId="72" fillId="0" borderId="0" xfId="1" applyFont="1" applyFill="1" applyProtection="1"/>
    <xf numFmtId="0" fontId="100" fillId="0" borderId="13" xfId="1" applyFont="1" applyFill="1" applyBorder="1" applyAlignment="1" applyProtection="1">
      <alignment horizontal="left" vertical="center" wrapText="1"/>
    </xf>
    <xf numFmtId="49" fontId="72" fillId="0" borderId="16" xfId="1" applyNumberFormat="1" applyFont="1" applyFill="1" applyBorder="1" applyAlignment="1" applyProtection="1">
      <alignment horizontal="center" vertical="center" wrapText="1"/>
    </xf>
    <xf numFmtId="0" fontId="72" fillId="0" borderId="16" xfId="1" applyFont="1" applyFill="1" applyBorder="1" applyAlignment="1" applyProtection="1">
      <alignment horizontal="left" vertical="center" wrapText="1" indent="1"/>
    </xf>
    <xf numFmtId="0" fontId="72" fillId="0" borderId="16" xfId="1" applyFont="1" applyFill="1" applyBorder="1" applyAlignment="1" applyProtection="1">
      <alignment horizontal="center" vertical="center" wrapText="1"/>
    </xf>
    <xf numFmtId="164" fontId="72" fillId="0" borderId="16" xfId="1" applyNumberFormat="1" applyFont="1" applyFill="1" applyBorder="1" applyAlignment="1" applyProtection="1">
      <alignment vertical="center" wrapText="1"/>
      <protection locked="0"/>
    </xf>
    <xf numFmtId="49" fontId="72" fillId="0" borderId="15" xfId="1" applyNumberFormat="1" applyFont="1" applyFill="1" applyBorder="1" applyAlignment="1" applyProtection="1">
      <alignment horizontal="center" vertical="center" wrapText="1"/>
    </xf>
    <xf numFmtId="0" fontId="72" fillId="0" borderId="15" xfId="1" applyFont="1" applyFill="1" applyBorder="1" applyAlignment="1" applyProtection="1">
      <alignment horizontal="left" vertical="center" wrapText="1" indent="1"/>
    </xf>
    <xf numFmtId="0" fontId="72" fillId="0" borderId="15" xfId="1" applyFont="1" applyFill="1" applyBorder="1" applyAlignment="1" applyProtection="1">
      <alignment horizontal="center" vertical="center" wrapText="1"/>
    </xf>
    <xf numFmtId="164" fontId="72" fillId="0" borderId="15" xfId="1" applyNumberFormat="1" applyFont="1" applyFill="1" applyBorder="1" applyAlignment="1" applyProtection="1">
      <alignment vertical="center" wrapText="1"/>
      <protection locked="0"/>
    </xf>
    <xf numFmtId="49" fontId="71" fillId="0" borderId="15" xfId="1" applyNumberFormat="1" applyFont="1" applyFill="1" applyBorder="1" applyAlignment="1" applyProtection="1">
      <alignment horizontal="center" vertical="center" wrapText="1"/>
    </xf>
    <xf numFmtId="0" fontId="71" fillId="0" borderId="15" xfId="1" applyFont="1" applyFill="1" applyBorder="1" applyAlignment="1" applyProtection="1">
      <alignment vertical="center" wrapText="1"/>
    </xf>
    <xf numFmtId="0" fontId="71" fillId="0" borderId="15" xfId="1" applyFont="1" applyFill="1" applyBorder="1" applyAlignment="1" applyProtection="1">
      <alignment horizontal="center" vertical="center" wrapText="1"/>
    </xf>
    <xf numFmtId="164" fontId="71" fillId="0" borderId="15" xfId="1" applyNumberFormat="1" applyFont="1" applyFill="1" applyBorder="1" applyAlignment="1" applyProtection="1">
      <alignment vertical="center" wrapText="1"/>
      <protection locked="0"/>
    </xf>
    <xf numFmtId="49" fontId="71" fillId="0" borderId="27" xfId="1" applyNumberFormat="1" applyFont="1" applyFill="1" applyBorder="1" applyAlignment="1" applyProtection="1">
      <alignment horizontal="center" vertical="center" wrapText="1"/>
    </xf>
    <xf numFmtId="0" fontId="71" fillId="0" borderId="27" xfId="1" applyFont="1" applyFill="1" applyBorder="1" applyAlignment="1" applyProtection="1">
      <alignment horizontal="left" vertical="center" wrapText="1" indent="1"/>
    </xf>
    <xf numFmtId="0" fontId="71" fillId="0" borderId="27" xfId="1" applyFont="1" applyFill="1" applyBorder="1" applyAlignment="1" applyProtection="1">
      <alignment horizontal="center" vertical="center" wrapText="1"/>
    </xf>
    <xf numFmtId="164" fontId="71" fillId="0" borderId="27" xfId="1" applyNumberFormat="1" applyFont="1" applyFill="1" applyBorder="1" applyAlignment="1" applyProtection="1">
      <alignment vertical="center" wrapText="1"/>
      <protection locked="0"/>
    </xf>
    <xf numFmtId="49" fontId="71" fillId="0" borderId="13" xfId="1" applyNumberFormat="1" applyFont="1" applyFill="1" applyBorder="1" applyAlignment="1" applyProtection="1">
      <alignment horizontal="center" vertical="center" wrapText="1"/>
    </xf>
    <xf numFmtId="0" fontId="71" fillId="0" borderId="13" xfId="1" applyFont="1" applyFill="1" applyBorder="1" applyAlignment="1" applyProtection="1">
      <alignment horizontal="left" vertical="center" wrapText="1" indent="1"/>
    </xf>
    <xf numFmtId="0" fontId="71" fillId="0" borderId="13" xfId="1" applyFont="1" applyFill="1" applyBorder="1" applyAlignment="1" applyProtection="1">
      <alignment horizontal="center" vertical="center" wrapText="1"/>
    </xf>
    <xf numFmtId="164" fontId="71" fillId="0" borderId="13" xfId="1" applyNumberFormat="1" applyFont="1" applyFill="1" applyBorder="1" applyAlignment="1" applyProtection="1">
      <alignment vertical="center" wrapText="1"/>
    </xf>
    <xf numFmtId="0" fontId="71" fillId="0" borderId="15" xfId="1" applyFont="1" applyFill="1" applyBorder="1" applyAlignment="1" applyProtection="1">
      <alignment horizontal="left" vertical="center" wrapText="1" indent="1"/>
    </xf>
    <xf numFmtId="0" fontId="71" fillId="0" borderId="30" xfId="1" applyFont="1" applyFill="1" applyBorder="1" applyAlignment="1" applyProtection="1">
      <alignment horizontal="center" vertical="center" wrapText="1"/>
    </xf>
    <xf numFmtId="164" fontId="71" fillId="0" borderId="15" xfId="1" applyNumberFormat="1" applyFont="1" applyFill="1" applyBorder="1" applyAlignment="1" applyProtection="1">
      <alignment vertical="center" wrapText="1"/>
    </xf>
    <xf numFmtId="0" fontId="71" fillId="0" borderId="26" xfId="1" applyFont="1" applyFill="1" applyBorder="1" applyAlignment="1" applyProtection="1">
      <alignment horizontal="center" vertical="center" wrapText="1"/>
    </xf>
    <xf numFmtId="0" fontId="71" fillId="0" borderId="26" xfId="1" applyFont="1" applyFill="1" applyBorder="1" applyAlignment="1" applyProtection="1">
      <alignment horizontal="left" vertical="center" wrapText="1" indent="1"/>
    </xf>
    <xf numFmtId="164" fontId="71" fillId="0" borderId="26" xfId="1" applyNumberFormat="1" applyFont="1" applyFill="1" applyBorder="1" applyAlignment="1" applyProtection="1">
      <alignment vertical="center" wrapText="1"/>
    </xf>
    <xf numFmtId="3" fontId="7" fillId="0" borderId="0" xfId="1" applyNumberFormat="1" applyFill="1" applyProtection="1"/>
    <xf numFmtId="3" fontId="17" fillId="0" borderId="13" xfId="1" applyNumberFormat="1" applyFont="1" applyFill="1" applyBorder="1" applyAlignment="1" applyProtection="1">
      <alignment horizontal="center" vertical="center"/>
    </xf>
    <xf numFmtId="3" fontId="17" fillId="0" borderId="13" xfId="1" applyNumberFormat="1" applyFont="1" applyFill="1" applyBorder="1" applyAlignment="1" applyProtection="1">
      <alignment horizontal="center" vertical="center" wrapText="1"/>
    </xf>
    <xf numFmtId="3" fontId="28" fillId="0" borderId="13" xfId="1" applyNumberFormat="1" applyFont="1" applyFill="1" applyBorder="1" applyAlignment="1" applyProtection="1">
      <alignment horizontal="center"/>
    </xf>
    <xf numFmtId="3" fontId="15" fillId="0" borderId="13" xfId="1" applyNumberFormat="1" applyFont="1" applyFill="1" applyBorder="1" applyProtection="1"/>
    <xf numFmtId="3" fontId="7" fillId="0" borderId="0" xfId="1" applyNumberFormat="1" applyFill="1" applyAlignment="1" applyProtection="1"/>
    <xf numFmtId="3" fontId="14" fillId="0" borderId="13" xfId="1" applyNumberFormat="1" applyFont="1" applyFill="1" applyBorder="1" applyAlignment="1" applyProtection="1">
      <alignment horizontal="center" vertical="center"/>
    </xf>
    <xf numFmtId="3" fontId="11" fillId="0" borderId="13" xfId="1" applyNumberFormat="1" applyFont="1" applyFill="1" applyBorder="1" applyProtection="1"/>
    <xf numFmtId="164" fontId="23" fillId="0" borderId="13" xfId="0" applyNumberFormat="1" applyFont="1" applyFill="1" applyBorder="1" applyAlignment="1" applyProtection="1">
      <alignment textRotation="180" wrapText="1"/>
    </xf>
    <xf numFmtId="164" fontId="0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vertical="center" wrapText="1"/>
    </xf>
    <xf numFmtId="0" fontId="23" fillId="0" borderId="13" xfId="1" applyFont="1" applyFill="1" applyBorder="1" applyAlignment="1" applyProtection="1">
      <alignment horizontal="left" vertical="center" wrapText="1" indent="4"/>
    </xf>
    <xf numFmtId="164" fontId="23" fillId="0" borderId="13" xfId="0" applyNumberFormat="1" applyFont="1" applyFill="1" applyBorder="1" applyAlignment="1" applyProtection="1">
      <alignment vertical="center" wrapText="1"/>
      <protection locked="0"/>
    </xf>
    <xf numFmtId="0" fontId="23" fillId="0" borderId="13" xfId="1" applyFont="1" applyFill="1" applyBorder="1" applyAlignment="1" applyProtection="1">
      <alignment horizontal="left" vertical="center" wrapText="1" indent="8"/>
    </xf>
    <xf numFmtId="0" fontId="0" fillId="0" borderId="13" xfId="1" applyFont="1" applyFill="1" applyBorder="1" applyAlignment="1" applyProtection="1">
      <alignment horizontal="left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vertical="center" wrapText="1"/>
    </xf>
    <xf numFmtId="0" fontId="23" fillId="0" borderId="13" xfId="1" applyFont="1" applyFill="1" applyBorder="1" applyAlignment="1" applyProtection="1">
      <alignment horizontal="left" vertical="center" wrapText="1"/>
    </xf>
    <xf numFmtId="49" fontId="0" fillId="0" borderId="13" xfId="0" applyNumberFormat="1" applyFont="1" applyFill="1" applyBorder="1" applyAlignment="1" applyProtection="1">
      <alignment horizontal="left" vertical="center" wrapText="1" indent="1"/>
    </xf>
    <xf numFmtId="0" fontId="23" fillId="0" borderId="13" xfId="1" applyFont="1" applyFill="1" applyBorder="1" applyAlignment="1" applyProtection="1">
      <alignment horizontal="left" vertical="center" wrapText="1" indent="3"/>
    </xf>
    <xf numFmtId="164" fontId="23" fillId="0" borderId="13" xfId="0" applyNumberFormat="1" applyFont="1" applyFill="1" applyBorder="1" applyAlignment="1" applyProtection="1">
      <alignment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vertical="center" wrapText="1"/>
    </xf>
    <xf numFmtId="3" fontId="0" fillId="0" borderId="13" xfId="0" applyNumberFormat="1" applyFont="1" applyFill="1" applyBorder="1" applyAlignment="1" applyProtection="1">
      <alignment wrapText="1"/>
    </xf>
    <xf numFmtId="3" fontId="17" fillId="0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Font="1" applyFill="1" applyBorder="1" applyAlignment="1" applyProtection="1">
      <alignment horizontal="center" wrapText="1"/>
    </xf>
    <xf numFmtId="3" fontId="0" fillId="0" borderId="13" xfId="0" applyNumberFormat="1" applyFill="1" applyBorder="1" applyAlignment="1" applyProtection="1">
      <alignment vertical="center" wrapText="1"/>
    </xf>
    <xf numFmtId="3" fontId="13" fillId="0" borderId="13" xfId="0" applyNumberFormat="1" applyFont="1" applyFill="1" applyBorder="1" applyAlignment="1" applyProtection="1">
      <alignment horizontal="center" vertical="center" wrapText="1"/>
    </xf>
    <xf numFmtId="3" fontId="16" fillId="0" borderId="0" xfId="178" applyNumberFormat="1" applyFont="1" applyFill="1"/>
    <xf numFmtId="3" fontId="20" fillId="0" borderId="13" xfId="178" applyNumberFormat="1" applyFont="1" applyFill="1" applyBorder="1" applyAlignment="1">
      <alignment horizontal="center" vertical="top" wrapText="1"/>
    </xf>
    <xf numFmtId="3" fontId="16" fillId="0" borderId="13" xfId="178" applyNumberFormat="1" applyFont="1" applyFill="1" applyBorder="1" applyAlignment="1">
      <alignment vertical="center"/>
    </xf>
    <xf numFmtId="3" fontId="20" fillId="0" borderId="0" xfId="178" applyNumberFormat="1" applyFont="1" applyFill="1" applyAlignment="1">
      <alignment vertical="center"/>
    </xf>
    <xf numFmtId="3" fontId="16" fillId="0" borderId="13" xfId="178" applyNumberFormat="1" applyFont="1" applyFill="1" applyBorder="1"/>
    <xf numFmtId="0" fontId="16" fillId="0" borderId="13" xfId="178" applyFont="1" applyFill="1" applyBorder="1"/>
    <xf numFmtId="3" fontId="11" fillId="0" borderId="0" xfId="1" applyNumberFormat="1" applyFont="1" applyFill="1" applyAlignment="1" applyProtection="1">
      <alignment horizontal="center" vertical="center"/>
    </xf>
    <xf numFmtId="3" fontId="11" fillId="0" borderId="13" xfId="1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Alignment="1" applyProtection="1">
      <alignment horizontal="right" vertical="center"/>
    </xf>
    <xf numFmtId="3" fontId="17" fillId="0" borderId="13" xfId="1" applyNumberFormat="1" applyFont="1" applyFill="1" applyBorder="1" applyAlignment="1" applyProtection="1">
      <alignment horizontal="right" vertical="center" wrapText="1"/>
    </xf>
    <xf numFmtId="3" fontId="11" fillId="0" borderId="13" xfId="1" applyNumberFormat="1" applyFont="1" applyFill="1" applyBorder="1" applyAlignment="1" applyProtection="1">
      <alignment horizontal="right" vertical="center"/>
    </xf>
    <xf numFmtId="3" fontId="0" fillId="0" borderId="13" xfId="1" applyNumberFormat="1" applyFont="1" applyFill="1" applyBorder="1" applyAlignment="1" applyProtection="1">
      <alignment horizontal="right" vertical="center"/>
    </xf>
    <xf numFmtId="3" fontId="17" fillId="0" borderId="1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3" fontId="0" fillId="0" borderId="13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99" fillId="0" borderId="13" xfId="0" applyNumberFormat="1" applyFont="1" applyFill="1" applyBorder="1" applyAlignment="1">
      <alignment vertical="center" wrapText="1"/>
    </xf>
    <xf numFmtId="3" fontId="118" fillId="0" borderId="13" xfId="0" applyNumberFormat="1" applyFont="1" applyFill="1" applyBorder="1" applyAlignment="1">
      <alignment vertical="center" wrapText="1"/>
    </xf>
    <xf numFmtId="3" fontId="99" fillId="0" borderId="0" xfId="0" applyNumberFormat="1" applyFont="1" applyFill="1" applyAlignment="1">
      <alignment vertical="center" wrapText="1"/>
    </xf>
    <xf numFmtId="3" fontId="23" fillId="0" borderId="13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0" fontId="63" fillId="0" borderId="13" xfId="178" applyFont="1" applyBorder="1" applyAlignment="1">
      <alignment horizontal="center" vertical="center" wrapText="1"/>
    </xf>
    <xf numFmtId="0" fontId="63" fillId="0" borderId="13" xfId="178" applyFont="1" applyBorder="1" applyAlignment="1">
      <alignment horizontal="center" vertical="center"/>
    </xf>
    <xf numFmtId="0" fontId="49" fillId="0" borderId="13" xfId="178" applyFont="1" applyBorder="1" applyAlignment="1">
      <alignment horizontal="center" vertical="center"/>
    </xf>
    <xf numFmtId="0" fontId="63" fillId="0" borderId="13" xfId="178" applyFont="1" applyBorder="1" applyAlignment="1">
      <alignment vertical="center"/>
    </xf>
    <xf numFmtId="0" fontId="49" fillId="0" borderId="13" xfId="178" applyFont="1" applyBorder="1" applyAlignment="1">
      <alignment vertical="center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left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164" fontId="15" fillId="0" borderId="13" xfId="1" applyNumberFormat="1" applyFont="1" applyFill="1" applyBorder="1" applyAlignment="1" applyProtection="1">
      <alignment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</xf>
    <xf numFmtId="164" fontId="19" fillId="0" borderId="13" xfId="1" applyNumberFormat="1" applyFont="1" applyFill="1" applyBorder="1" applyAlignment="1" applyProtection="1">
      <alignment vertical="center" wrapText="1"/>
      <protection locked="0"/>
    </xf>
    <xf numFmtId="0" fontId="18" fillId="0" borderId="13" xfId="0" applyFont="1" applyBorder="1" applyAlignment="1" applyProtection="1">
      <alignment horizontal="left" vertical="center" wrapText="1" indent="6"/>
    </xf>
    <xf numFmtId="49" fontId="13" fillId="0" borderId="13" xfId="1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left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164" fontId="13" fillId="0" borderId="13" xfId="1" applyNumberFormat="1" applyFont="1" applyFill="1" applyBorder="1" applyAlignment="1" applyProtection="1">
      <alignment vertical="center" wrapText="1"/>
    </xf>
    <xf numFmtId="0" fontId="16" fillId="0" borderId="13" xfId="0" applyFont="1" applyBorder="1" applyAlignment="1" applyProtection="1">
      <alignment horizontal="left" wrapText="1"/>
    </xf>
    <xf numFmtId="0" fontId="18" fillId="0" borderId="13" xfId="0" applyFont="1" applyBorder="1" applyAlignment="1" applyProtection="1">
      <alignment horizontal="left" vertical="center" wrapText="1" indent="7"/>
    </xf>
    <xf numFmtId="0" fontId="15" fillId="0" borderId="13" xfId="1" applyFont="1" applyFill="1" applyBorder="1" applyAlignment="1" applyProtection="1">
      <alignment horizontal="left" vertical="center" wrapText="1"/>
    </xf>
    <xf numFmtId="0" fontId="15" fillId="0" borderId="13" xfId="1" applyFont="1" applyFill="1" applyBorder="1" applyAlignment="1" applyProtection="1">
      <alignment horizontal="center" vertical="center" wrapText="1"/>
    </xf>
    <xf numFmtId="164" fontId="11" fillId="0" borderId="13" xfId="1" applyNumberFormat="1" applyFont="1" applyFill="1" applyBorder="1" applyAlignment="1" applyProtection="1">
      <alignment vertical="center" wrapText="1"/>
    </xf>
    <xf numFmtId="16" fontId="18" fillId="0" borderId="13" xfId="2" applyNumberFormat="1" applyFont="1" applyFill="1" applyBorder="1" applyAlignment="1">
      <alignment horizontal="left" vertical="center" indent="5"/>
    </xf>
    <xf numFmtId="0" fontId="18" fillId="0" borderId="13" xfId="0" applyFont="1" applyBorder="1" applyAlignment="1" applyProtection="1">
      <alignment horizontal="center" vertical="center" wrapText="1"/>
    </xf>
    <xf numFmtId="164" fontId="23" fillId="0" borderId="13" xfId="1" applyNumberFormat="1" applyFont="1" applyFill="1" applyBorder="1" applyAlignment="1" applyProtection="1">
      <alignment vertical="center" wrapText="1"/>
      <protection locked="0"/>
    </xf>
    <xf numFmtId="0" fontId="18" fillId="0" borderId="13" xfId="2" applyFont="1" applyFill="1" applyBorder="1" applyAlignment="1">
      <alignment horizontal="left" vertical="center" indent="5"/>
    </xf>
    <xf numFmtId="0" fontId="16" fillId="0" borderId="13" xfId="2" applyFont="1" applyFill="1" applyBorder="1" applyAlignment="1">
      <alignment horizontal="left"/>
    </xf>
    <xf numFmtId="0" fontId="18" fillId="0" borderId="13" xfId="2" applyFont="1" applyFill="1" applyBorder="1" applyAlignment="1">
      <alignment horizontal="left" indent="5"/>
    </xf>
    <xf numFmtId="0" fontId="16" fillId="0" borderId="13" xfId="2" applyFont="1" applyFill="1" applyBorder="1" applyAlignment="1">
      <alignment horizontal="left" wrapText="1"/>
    </xf>
    <xf numFmtId="0" fontId="16" fillId="0" borderId="13" xfId="0" applyFont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left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vertical="center" wrapText="1"/>
      <protection locked="0"/>
    </xf>
    <xf numFmtId="164" fontId="15" fillId="0" borderId="13" xfId="1" applyNumberFormat="1" applyFont="1" applyFill="1" applyBorder="1" applyAlignment="1" applyProtection="1">
      <alignment vertical="center" wrapText="1"/>
    </xf>
    <xf numFmtId="0" fontId="18" fillId="0" borderId="13" xfId="0" applyFont="1" applyBorder="1" applyAlignment="1" applyProtection="1">
      <alignment horizontal="left" wrapText="1" indent="5"/>
    </xf>
    <xf numFmtId="0" fontId="18" fillId="0" borderId="13" xfId="0" applyFont="1" applyBorder="1" applyAlignment="1" applyProtection="1">
      <alignment horizontal="left" vertical="center" wrapText="1" indent="5"/>
    </xf>
    <xf numFmtId="0" fontId="16" fillId="0" borderId="13" xfId="0" applyFont="1" applyBorder="1" applyAlignment="1" applyProtection="1">
      <alignment vertical="center" wrapText="1"/>
    </xf>
    <xf numFmtId="0" fontId="20" fillId="0" borderId="13" xfId="0" applyFont="1" applyBorder="1" applyAlignment="1" applyProtection="1">
      <alignment wrapText="1"/>
    </xf>
    <xf numFmtId="0" fontId="20" fillId="0" borderId="13" xfId="0" applyFont="1" applyBorder="1" applyAlignment="1" applyProtection="1">
      <alignment horizontal="center" wrapText="1"/>
    </xf>
    <xf numFmtId="0" fontId="23" fillId="0" borderId="13" xfId="1" applyFont="1" applyFill="1" applyBorder="1" applyAlignment="1" applyProtection="1">
      <alignment horizontal="center" vertical="center" wrapText="1"/>
    </xf>
    <xf numFmtId="0" fontId="23" fillId="0" borderId="13" xfId="1" applyFont="1" applyFill="1" applyBorder="1" applyAlignment="1" applyProtection="1">
      <alignment horizontal="left" vertical="center" wrapText="1" indent="5"/>
    </xf>
    <xf numFmtId="0" fontId="23" fillId="0" borderId="13" xfId="1" applyFont="1" applyFill="1" applyBorder="1" applyAlignment="1" applyProtection="1">
      <alignment horizontal="center" vertical="center"/>
    </xf>
    <xf numFmtId="0" fontId="23" fillId="0" borderId="13" xfId="1" applyFont="1" applyFill="1" applyBorder="1" applyAlignment="1" applyProtection="1">
      <alignment horizontal="left" indent="5"/>
    </xf>
    <xf numFmtId="0" fontId="23" fillId="0" borderId="13" xfId="1" applyFont="1" applyFill="1" applyBorder="1" applyAlignment="1" applyProtection="1">
      <alignment horizontal="left" vertical="center" wrapText="1" indent="11"/>
    </xf>
    <xf numFmtId="49" fontId="17" fillId="0" borderId="13" xfId="1" applyNumberFormat="1" applyFont="1" applyFill="1" applyBorder="1" applyAlignment="1" applyProtection="1">
      <alignment horizontal="left" vertical="center" wrapText="1" indent="1"/>
    </xf>
    <xf numFmtId="0" fontId="17" fillId="0" borderId="13" xfId="1" applyFont="1" applyFill="1" applyBorder="1" applyAlignment="1" applyProtection="1">
      <alignment vertical="center" wrapText="1"/>
    </xf>
    <xf numFmtId="0" fontId="19" fillId="0" borderId="13" xfId="1" applyFont="1" applyFill="1" applyBorder="1" applyAlignment="1" applyProtection="1">
      <alignment horizontal="left" vertical="center" wrapText="1"/>
    </xf>
    <xf numFmtId="0" fontId="19" fillId="0" borderId="13" xfId="1" applyFont="1" applyFill="1" applyBorder="1" applyAlignment="1" applyProtection="1">
      <alignment horizontal="left" vertical="center" wrapText="1" indent="5"/>
    </xf>
    <xf numFmtId="0" fontId="0" fillId="0" borderId="13" xfId="1" applyFont="1" applyFill="1" applyBorder="1" applyAlignment="1" applyProtection="1">
      <alignment horizontal="center" vertical="center" wrapText="1"/>
    </xf>
    <xf numFmtId="0" fontId="15" fillId="0" borderId="13" xfId="1" applyFont="1" applyFill="1" applyBorder="1" applyAlignment="1" applyProtection="1">
      <alignment horizontal="left" vertical="center" wrapText="1" indent="1"/>
    </xf>
    <xf numFmtId="49" fontId="13" fillId="0" borderId="13" xfId="1" applyNumberFormat="1" applyFont="1" applyFill="1" applyBorder="1" applyAlignment="1" applyProtection="1">
      <alignment horizontal="left" vertical="center" wrapText="1" indent="1"/>
    </xf>
    <xf numFmtId="164" fontId="20" fillId="0" borderId="13" xfId="0" quotePrefix="1" applyNumberFormat="1" applyFont="1" applyBorder="1" applyAlignment="1" applyProtection="1">
      <alignment vertical="center" wrapText="1"/>
    </xf>
    <xf numFmtId="0" fontId="20" fillId="0" borderId="13" xfId="0" applyFont="1" applyBorder="1" applyAlignment="1" applyProtection="1">
      <alignment horizontal="left" vertical="center" wrapText="1" indent="1"/>
    </xf>
    <xf numFmtId="0" fontId="13" fillId="0" borderId="13" xfId="1" applyFont="1" applyFill="1" applyBorder="1" applyAlignment="1" applyProtection="1">
      <alignment horizontal="center" vertical="center" wrapText="1"/>
    </xf>
    <xf numFmtId="164" fontId="13" fillId="0" borderId="13" xfId="1" applyNumberFormat="1" applyFont="1" applyFill="1" applyBorder="1" applyAlignment="1" applyProtection="1">
      <alignment horizontal="right" vertical="center" wrapText="1" indent="1"/>
    </xf>
    <xf numFmtId="164" fontId="0" fillId="0" borderId="13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55" fillId="0" borderId="13" xfId="0" applyNumberFormat="1" applyFont="1" applyFill="1" applyBorder="1" applyAlignment="1" applyProtection="1">
      <alignment horizontal="right"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/>
    </xf>
    <xf numFmtId="0" fontId="20" fillId="0" borderId="13" xfId="51" applyFont="1" applyBorder="1" applyAlignment="1">
      <alignment horizontal="center" vertical="center"/>
    </xf>
    <xf numFmtId="0" fontId="20" fillId="0" borderId="13" xfId="51" applyFont="1" applyBorder="1" applyAlignment="1">
      <alignment horizontal="center" vertical="center" wrapText="1"/>
    </xf>
    <xf numFmtId="0" fontId="16" fillId="0" borderId="13" xfId="51" applyFont="1" applyFill="1" applyBorder="1" applyAlignment="1">
      <alignment horizontal="center" vertical="center"/>
    </xf>
    <xf numFmtId="0" fontId="16" fillId="0" borderId="13" xfId="51" applyFont="1" applyFill="1" applyBorder="1" applyAlignment="1">
      <alignment vertical="center" wrapText="1"/>
    </xf>
    <xf numFmtId="0" fontId="16" fillId="0" borderId="13" xfId="51" applyFont="1" applyFill="1" applyBorder="1" applyAlignment="1">
      <alignment horizontal="center" vertical="center" wrapText="1"/>
    </xf>
    <xf numFmtId="4" fontId="16" fillId="0" borderId="13" xfId="51" applyNumberFormat="1" applyFont="1" applyFill="1" applyBorder="1" applyAlignment="1">
      <alignment vertical="center"/>
    </xf>
    <xf numFmtId="3" fontId="16" fillId="0" borderId="13" xfId="51" applyNumberFormat="1" applyFont="1" applyFill="1" applyBorder="1" applyAlignment="1">
      <alignment vertical="center"/>
    </xf>
    <xf numFmtId="3" fontId="57" fillId="0" borderId="13" xfId="51" applyNumberFormat="1" applyFont="1" applyFill="1" applyBorder="1" applyAlignment="1">
      <alignment vertical="center"/>
    </xf>
    <xf numFmtId="0" fontId="16" fillId="0" borderId="13" xfId="51" applyFont="1" applyFill="1" applyBorder="1" applyAlignment="1">
      <alignment vertical="center"/>
    </xf>
    <xf numFmtId="0" fontId="18" fillId="0" borderId="13" xfId="51" applyFont="1" applyFill="1" applyBorder="1" applyAlignment="1">
      <alignment horizontal="center" vertical="center"/>
    </xf>
    <xf numFmtId="0" fontId="18" fillId="0" borderId="13" xfId="51" applyFont="1" applyFill="1" applyBorder="1" applyAlignment="1">
      <alignment vertical="center" wrapText="1"/>
    </xf>
    <xf numFmtId="0" fontId="18" fillId="0" borderId="13" xfId="51" applyFont="1" applyFill="1" applyBorder="1" applyAlignment="1">
      <alignment vertical="center"/>
    </xf>
    <xf numFmtId="3" fontId="18" fillId="0" borderId="13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3" xfId="51" applyFont="1" applyFill="1" applyBorder="1" applyAlignment="1">
      <alignment vertical="center" wrapText="1"/>
    </xf>
    <xf numFmtId="0" fontId="20" fillId="0" borderId="13" xfId="51" applyFont="1" applyFill="1" applyBorder="1" applyAlignment="1">
      <alignment vertical="center"/>
    </xf>
    <xf numFmtId="3" fontId="58" fillId="0" borderId="13" xfId="51" applyNumberFormat="1" applyFont="1" applyFill="1" applyBorder="1" applyAlignment="1">
      <alignment vertical="center"/>
    </xf>
    <xf numFmtId="3" fontId="20" fillId="0" borderId="13" xfId="51" applyNumberFormat="1" applyFont="1" applyFill="1" applyBorder="1" applyAlignment="1">
      <alignment vertical="center"/>
    </xf>
    <xf numFmtId="165" fontId="18" fillId="0" borderId="13" xfId="51" applyNumberFormat="1" applyFont="1" applyFill="1" applyBorder="1" applyAlignment="1">
      <alignment vertical="center"/>
    </xf>
    <xf numFmtId="0" fontId="20" fillId="24" borderId="13" xfId="51" applyFont="1" applyFill="1" applyBorder="1" applyAlignment="1">
      <alignment horizontal="center" vertical="center"/>
    </xf>
    <xf numFmtId="0" fontId="20" fillId="24" borderId="13" xfId="51" applyFont="1" applyFill="1" applyBorder="1" applyAlignment="1">
      <alignment vertical="center"/>
    </xf>
    <xf numFmtId="0" fontId="20" fillId="0" borderId="13" xfId="144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/>
    <xf numFmtId="49" fontId="16" fillId="0" borderId="13" xfId="0" applyNumberFormat="1" applyFont="1" applyFill="1" applyBorder="1" applyAlignment="1">
      <alignment horizontal="center" vertical="center"/>
    </xf>
    <xf numFmtId="164" fontId="16" fillId="0" borderId="13" xfId="0" applyNumberFormat="1" applyFont="1" applyFill="1" applyBorder="1" applyAlignment="1">
      <alignment vertical="center" wrapText="1"/>
    </xf>
    <xf numFmtId="164" fontId="16" fillId="0" borderId="13" xfId="0" applyNumberFormat="1" applyFont="1" applyFill="1" applyBorder="1" applyAlignment="1" applyProtection="1">
      <alignment vertical="center" wrapText="1"/>
      <protection locked="0"/>
    </xf>
    <xf numFmtId="164" fontId="20" fillId="0" borderId="13" xfId="0" applyNumberFormat="1" applyFont="1" applyFill="1" applyBorder="1" applyAlignment="1">
      <alignment vertical="center" wrapText="1"/>
    </xf>
    <xf numFmtId="164" fontId="20" fillId="24" borderId="13" xfId="0" applyNumberFormat="1" applyFont="1" applyFill="1" applyBorder="1" applyAlignment="1">
      <alignment horizontal="center" vertical="center" wrapText="1"/>
    </xf>
    <xf numFmtId="164" fontId="20" fillId="24" borderId="13" xfId="0" applyNumberFormat="1" applyFont="1" applyFill="1" applyBorder="1" applyAlignment="1">
      <alignment vertical="center" wrapText="1"/>
    </xf>
    <xf numFmtId="0" fontId="61" fillId="0" borderId="13" xfId="48" applyFont="1" applyBorder="1" applyAlignment="1">
      <alignment horizontal="center" vertical="center" wrapText="1"/>
    </xf>
    <xf numFmtId="166" fontId="61" fillId="0" borderId="13" xfId="35" applyNumberFormat="1" applyFont="1" applyBorder="1" applyAlignment="1">
      <alignment horizontal="center" vertical="center" wrapText="1"/>
    </xf>
    <xf numFmtId="0" fontId="59" fillId="0" borderId="13" xfId="48" applyFont="1" applyBorder="1" applyAlignment="1">
      <alignment horizontal="center" vertical="center"/>
    </xf>
    <xf numFmtId="166" fontId="59" fillId="0" borderId="13" xfId="35" applyNumberFormat="1" applyFont="1" applyFill="1" applyBorder="1" applyAlignment="1">
      <alignment vertical="center"/>
    </xf>
    <xf numFmtId="166" fontId="69" fillId="0" borderId="13" xfId="35" applyNumberFormat="1" applyFont="1" applyFill="1" applyBorder="1" applyAlignment="1">
      <alignment vertical="center"/>
    </xf>
    <xf numFmtId="166" fontId="59" fillId="0" borderId="13" xfId="35" applyNumberFormat="1" applyFont="1" applyBorder="1" applyAlignment="1">
      <alignment vertical="center"/>
    </xf>
    <xf numFmtId="166" fontId="61" fillId="0" borderId="13" xfId="35" applyNumberFormat="1" applyFont="1" applyBorder="1" applyAlignment="1">
      <alignment vertical="center"/>
    </xf>
    <xf numFmtId="0" fontId="61" fillId="0" borderId="13" xfId="178" applyFont="1" applyFill="1" applyBorder="1" applyAlignment="1">
      <alignment horizontal="center" vertical="center" wrapText="1"/>
    </xf>
    <xf numFmtId="0" fontId="59" fillId="0" borderId="13" xfId="178" applyFont="1" applyFill="1" applyBorder="1" applyAlignment="1">
      <alignment horizontal="center"/>
    </xf>
    <xf numFmtId="14" fontId="99" fillId="0" borderId="13" xfId="0" applyNumberFormat="1" applyFont="1" applyFill="1" applyBorder="1" applyAlignment="1"/>
    <xf numFmtId="3" fontId="59" fillId="0" borderId="13" xfId="178" applyNumberFormat="1" applyFont="1" applyFill="1" applyBorder="1" applyAlignment="1">
      <alignment horizontal="right"/>
    </xf>
    <xf numFmtId="0" fontId="61" fillId="0" borderId="13" xfId="178" applyFont="1" applyFill="1" applyBorder="1" applyAlignment="1">
      <alignment horizontal="center"/>
    </xf>
    <xf numFmtId="0" fontId="61" fillId="0" borderId="13" xfId="178" applyFont="1" applyFill="1" applyBorder="1" applyAlignment="1">
      <alignment horizontal="left"/>
    </xf>
    <xf numFmtId="3" fontId="61" fillId="0" borderId="13" xfId="178" applyNumberFormat="1" applyFont="1" applyFill="1" applyBorder="1" applyAlignment="1">
      <alignment horizontal="right"/>
    </xf>
    <xf numFmtId="164" fontId="16" fillId="0" borderId="13" xfId="67" applyNumberFormat="1" applyFont="1" applyBorder="1" applyAlignment="1">
      <alignment horizontal="center" vertical="center" wrapText="1"/>
    </xf>
    <xf numFmtId="164" fontId="16" fillId="0" borderId="13" xfId="67" applyNumberFormat="1" applyFont="1" applyFill="1" applyBorder="1" applyAlignment="1">
      <alignment horizontal="center" vertical="center" wrapText="1"/>
    </xf>
    <xf numFmtId="164" fontId="16" fillId="0" borderId="13" xfId="67" applyNumberFormat="1" applyFont="1" applyBorder="1" applyAlignment="1">
      <alignment horizontal="left" vertical="center" wrapText="1"/>
    </xf>
    <xf numFmtId="164" fontId="16" fillId="0" borderId="13" xfId="67" applyNumberFormat="1" applyFont="1" applyBorder="1" applyAlignment="1">
      <alignment vertical="center"/>
    </xf>
    <xf numFmtId="165" fontId="16" fillId="0" borderId="13" xfId="67" applyNumberFormat="1" applyFont="1" applyBorder="1" applyAlignment="1">
      <alignment vertical="center"/>
    </xf>
    <xf numFmtId="4" fontId="16" fillId="0" borderId="13" xfId="67" applyNumberFormat="1" applyFont="1" applyBorder="1" applyAlignment="1">
      <alignment vertical="center"/>
    </xf>
    <xf numFmtId="164" fontId="16" fillId="0" borderId="13" xfId="67" applyNumberFormat="1" applyFont="1" applyFill="1" applyBorder="1" applyAlignment="1">
      <alignment horizontal="left" vertical="center"/>
    </xf>
    <xf numFmtId="164" fontId="61" fillId="0" borderId="13" xfId="67" applyNumberFormat="1" applyFont="1" applyBorder="1" applyAlignment="1">
      <alignment vertical="center" wrapText="1"/>
    </xf>
    <xf numFmtId="164" fontId="20" fillId="0" borderId="13" xfId="67" applyNumberFormat="1" applyFont="1" applyBorder="1" applyAlignment="1">
      <alignment vertical="center"/>
    </xf>
    <xf numFmtId="164" fontId="59" fillId="0" borderId="13" xfId="67" applyNumberFormat="1" applyFont="1" applyBorder="1" applyAlignment="1">
      <alignment vertical="center" wrapText="1"/>
    </xf>
    <xf numFmtId="3" fontId="16" fillId="0" borderId="13" xfId="67" applyNumberFormat="1" applyFont="1" applyBorder="1" applyAlignment="1">
      <alignment vertical="center"/>
    </xf>
    <xf numFmtId="164" fontId="20" fillId="0" borderId="13" xfId="160" applyNumberFormat="1" applyFont="1" applyFill="1" applyBorder="1" applyAlignment="1">
      <alignment horizontal="center" vertical="center"/>
    </xf>
    <xf numFmtId="164" fontId="20" fillId="0" borderId="13" xfId="160" applyNumberFormat="1" applyFont="1" applyFill="1" applyBorder="1" applyAlignment="1">
      <alignment horizontal="center" vertical="center" wrapText="1"/>
    </xf>
    <xf numFmtId="164" fontId="20" fillId="0" borderId="13" xfId="160" applyNumberFormat="1" applyFont="1" applyFill="1" applyBorder="1" applyAlignment="1">
      <alignment horizontal="right" vertical="center"/>
    </xf>
    <xf numFmtId="164" fontId="16" fillId="0" borderId="13" xfId="160" applyNumberFormat="1" applyFont="1" applyFill="1" applyBorder="1" applyAlignment="1">
      <alignment vertical="center" wrapText="1"/>
    </xf>
    <xf numFmtId="164" fontId="16" fillId="0" borderId="13" xfId="160" applyNumberFormat="1" applyFont="1" applyFill="1" applyBorder="1" applyAlignment="1">
      <alignment horizontal="left" vertical="center" wrapText="1"/>
    </xf>
    <xf numFmtId="164" fontId="16" fillId="0" borderId="13" xfId="160" applyNumberFormat="1" applyFont="1" applyFill="1" applyBorder="1" applyAlignment="1">
      <alignment horizontal="right" vertical="center"/>
    </xf>
    <xf numFmtId="164" fontId="20" fillId="0" borderId="13" xfId="160" applyNumberFormat="1" applyFont="1" applyFill="1" applyBorder="1" applyAlignment="1">
      <alignment vertical="center" wrapText="1"/>
    </xf>
    <xf numFmtId="164" fontId="16" fillId="0" borderId="13" xfId="160" applyNumberFormat="1" applyFont="1" applyFill="1" applyBorder="1" applyAlignment="1">
      <alignment horizontal="right" vertical="center" wrapText="1"/>
    </xf>
    <xf numFmtId="164" fontId="96" fillId="0" borderId="13" xfId="160" applyNumberFormat="1" applyFont="1" applyFill="1" applyBorder="1" applyAlignment="1">
      <alignment vertical="center" wrapText="1"/>
    </xf>
    <xf numFmtId="164" fontId="96" fillId="0" borderId="13" xfId="160" applyNumberFormat="1" applyFont="1" applyFill="1" applyBorder="1" applyAlignment="1">
      <alignment horizontal="right" vertical="center" wrapText="1"/>
    </xf>
    <xf numFmtId="164" fontId="96" fillId="0" borderId="13" xfId="160" applyNumberFormat="1" applyFont="1" applyFill="1" applyBorder="1" applyAlignment="1">
      <alignment horizontal="right" vertical="center"/>
    </xf>
    <xf numFmtId="0" fontId="13" fillId="0" borderId="31" xfId="1" applyFont="1" applyFill="1" applyBorder="1" applyAlignment="1" applyProtection="1">
      <alignment horizontal="center" vertical="center" wrapText="1"/>
    </xf>
    <xf numFmtId="3" fontId="16" fillId="0" borderId="13" xfId="0" applyNumberFormat="1" applyFont="1" applyBorder="1" applyAlignment="1" applyProtection="1">
      <alignment horizontal="right" vertical="center" wrapText="1"/>
    </xf>
    <xf numFmtId="164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/>
    </xf>
    <xf numFmtId="3" fontId="16" fillId="0" borderId="13" xfId="0" applyNumberFormat="1" applyFont="1" applyBorder="1" applyAlignment="1" applyProtection="1">
      <alignment horizontal="center" vertical="center" wrapTex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3" xfId="1" applyNumberFormat="1" applyFont="1" applyFill="1" applyBorder="1" applyAlignment="1" applyProtection="1">
      <alignment horizontal="center" vertical="center" wrapText="1"/>
    </xf>
    <xf numFmtId="3" fontId="18" fillId="0" borderId="13" xfId="0" applyNumberFormat="1" applyFont="1" applyBorder="1" applyAlignment="1" applyProtection="1">
      <alignment horizontal="right" vertical="center" wrapText="1"/>
    </xf>
    <xf numFmtId="3" fontId="16" fillId="0" borderId="13" xfId="0" applyNumberFormat="1" applyFont="1" applyBorder="1" applyAlignment="1" applyProtection="1">
      <alignment horizontal="right" wrapText="1"/>
    </xf>
    <xf numFmtId="164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3" xfId="0" applyFont="1" applyBorder="1" applyAlignment="1" applyProtection="1">
      <alignment vertical="center" wrapText="1"/>
    </xf>
    <xf numFmtId="3" fontId="15" fillId="0" borderId="13" xfId="1" applyNumberFormat="1" applyFont="1" applyFill="1" applyBorder="1" applyAlignment="1" applyProtection="1">
      <alignment horizontal="right" vertical="center" wrapText="1"/>
    </xf>
    <xf numFmtId="3" fontId="23" fillId="0" borderId="13" xfId="1" applyNumberFormat="1" applyFont="1" applyFill="1" applyBorder="1" applyAlignment="1" applyProtection="1">
      <alignment horizontal="right" vertical="center"/>
    </xf>
    <xf numFmtId="164" fontId="23" fillId="0" borderId="13" xfId="1" applyNumberFormat="1" applyFont="1" applyFill="1" applyBorder="1" applyAlignment="1" applyProtection="1">
      <alignment vertical="center"/>
      <protection locked="0"/>
    </xf>
    <xf numFmtId="3" fontId="23" fillId="0" borderId="13" xfId="1" applyNumberFormat="1" applyFont="1" applyFill="1" applyBorder="1" applyAlignment="1" applyProtection="1">
      <alignment horizontal="right" vertical="center" wrapText="1"/>
    </xf>
    <xf numFmtId="3" fontId="0" fillId="0" borderId="13" xfId="1" applyNumberFormat="1" applyFont="1" applyFill="1" applyBorder="1" applyAlignment="1" applyProtection="1">
      <alignment horizontal="right" vertical="center" wrapText="1"/>
    </xf>
    <xf numFmtId="3" fontId="20" fillId="0" borderId="13" xfId="0" applyNumberFormat="1" applyFont="1" applyBorder="1" applyAlignment="1" applyProtection="1">
      <alignment vertical="center" wrapText="1"/>
    </xf>
    <xf numFmtId="3" fontId="11" fillId="25" borderId="13" xfId="1" applyNumberFormat="1" applyFont="1" applyFill="1" applyBorder="1" applyAlignment="1" applyProtection="1">
      <alignment horizontal="right" vertical="center"/>
    </xf>
    <xf numFmtId="164" fontId="17" fillId="25" borderId="13" xfId="1" applyNumberFormat="1" applyFont="1" applyFill="1" applyBorder="1" applyAlignment="1" applyProtection="1">
      <alignment vertical="center" wrapText="1"/>
    </xf>
    <xf numFmtId="164" fontId="20" fillId="0" borderId="13" xfId="161" applyNumberFormat="1" applyFont="1" applyFill="1" applyBorder="1" applyAlignment="1" applyProtection="1">
      <alignment horizontal="center" vertical="center" wrapText="1"/>
    </xf>
    <xf numFmtId="164" fontId="20" fillId="0" borderId="13" xfId="159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13" xfId="161" applyNumberFormat="1" applyFont="1" applyFill="1" applyBorder="1" applyAlignment="1" applyProtection="1">
      <alignment vertical="center" wrapText="1"/>
    </xf>
    <xf numFmtId="49" fontId="16" fillId="0" borderId="13" xfId="161" applyNumberFormat="1" applyFont="1" applyFill="1" applyBorder="1" applyAlignment="1" applyProtection="1">
      <alignment horizontal="left" vertical="center" wrapText="1" indent="2"/>
    </xf>
    <xf numFmtId="3" fontId="16" fillId="0" borderId="13" xfId="161" applyNumberFormat="1" applyFont="1" applyFill="1" applyBorder="1" applyAlignment="1" applyProtection="1">
      <alignment horizontal="right" vertical="center"/>
    </xf>
    <xf numFmtId="3" fontId="16" fillId="0" borderId="13" xfId="0" applyNumberFormat="1" applyFont="1" applyFill="1" applyBorder="1" applyAlignment="1">
      <alignment horizontal="right" vertical="center"/>
    </xf>
    <xf numFmtId="3" fontId="16" fillId="0" borderId="13" xfId="159" applyNumberFormat="1" applyFont="1" applyBorder="1" applyAlignment="1">
      <alignment horizontal="right" vertical="center"/>
    </xf>
    <xf numFmtId="3" fontId="0" fillId="0" borderId="13" xfId="0" applyNumberFormat="1" applyFont="1" applyBorder="1" applyAlignment="1">
      <alignment horizontal="right" vertical="center"/>
    </xf>
    <xf numFmtId="164" fontId="20" fillId="0" borderId="13" xfId="161" applyNumberFormat="1" applyFont="1" applyFill="1" applyBorder="1" applyAlignment="1" applyProtection="1">
      <alignment vertical="center" wrapText="1"/>
    </xf>
    <xf numFmtId="49" fontId="20" fillId="0" borderId="13" xfId="161" applyNumberFormat="1" applyFont="1" applyFill="1" applyBorder="1" applyAlignment="1" applyProtection="1">
      <alignment horizontal="left" vertical="center" wrapText="1" indent="2"/>
    </xf>
    <xf numFmtId="3" fontId="20" fillId="0" borderId="13" xfId="161" applyNumberFormat="1" applyFont="1" applyFill="1" applyBorder="1" applyAlignment="1" applyProtection="1">
      <alignment horizontal="right" vertical="center"/>
    </xf>
    <xf numFmtId="3" fontId="20" fillId="0" borderId="13" xfId="0" applyNumberFormat="1" applyFont="1" applyFill="1" applyBorder="1" applyAlignment="1">
      <alignment horizontal="right" vertical="center"/>
    </xf>
    <xf numFmtId="3" fontId="20" fillId="0" borderId="13" xfId="159" applyNumberFormat="1" applyFont="1" applyBorder="1" applyAlignment="1">
      <alignment horizontal="right" vertical="center"/>
    </xf>
    <xf numFmtId="3" fontId="17" fillId="0" borderId="13" xfId="0" applyNumberFormat="1" applyFont="1" applyBorder="1" applyAlignment="1">
      <alignment horizontal="right" vertical="center"/>
    </xf>
    <xf numFmtId="164" fontId="16" fillId="0" borderId="13" xfId="161" applyNumberFormat="1" applyFont="1" applyFill="1" applyBorder="1" applyAlignment="1" applyProtection="1">
      <alignment horizontal="left" vertical="center" wrapText="1"/>
    </xf>
    <xf numFmtId="164" fontId="20" fillId="0" borderId="13" xfId="161" applyNumberFormat="1" applyFont="1" applyFill="1" applyBorder="1" applyAlignment="1" applyProtection="1">
      <alignment horizontal="left" vertical="center" wrapText="1"/>
    </xf>
    <xf numFmtId="164" fontId="20" fillId="0" borderId="13" xfId="161" applyNumberFormat="1" applyFont="1" applyFill="1" applyBorder="1" applyAlignment="1" applyProtection="1">
      <alignment vertical="center"/>
    </xf>
    <xf numFmtId="49" fontId="20" fillId="24" borderId="13" xfId="161" applyNumberFormat="1" applyFont="1" applyFill="1" applyBorder="1" applyAlignment="1" applyProtection="1">
      <alignment horizontal="left" vertical="center" wrapText="1" indent="2"/>
    </xf>
    <xf numFmtId="164" fontId="16" fillId="0" borderId="33" xfId="161" applyNumberFormat="1" applyFont="1" applyFill="1" applyBorder="1" applyAlignment="1" applyProtection="1">
      <alignment horizontal="center" vertical="center" wrapText="1"/>
    </xf>
    <xf numFmtId="0" fontId="104" fillId="0" borderId="0" xfId="48" applyFont="1"/>
    <xf numFmtId="3" fontId="104" fillId="0" borderId="13" xfId="48" applyNumberFormat="1" applyFont="1" applyBorder="1" applyAlignment="1">
      <alignment wrapText="1"/>
    </xf>
    <xf numFmtId="3" fontId="62" fillId="0" borderId="13" xfId="48" applyNumberFormat="1" applyFont="1" applyBorder="1"/>
    <xf numFmtId="0" fontId="20" fillId="0" borderId="13" xfId="0" applyFont="1" applyBorder="1" applyAlignment="1">
      <alignment horizontal="center" vertical="center" wrapText="1"/>
    </xf>
    <xf numFmtId="164" fontId="16" fillId="0" borderId="13" xfId="161" applyNumberFormat="1" applyFont="1" applyFill="1" applyBorder="1" applyAlignment="1" applyProtection="1">
      <alignment horizontal="right" vertical="center"/>
    </xf>
    <xf numFmtId="164" fontId="16" fillId="0" borderId="13" xfId="0" applyNumberFormat="1" applyFont="1" applyFill="1" applyBorder="1" applyAlignment="1">
      <alignment horizontal="right" vertical="center"/>
    </xf>
    <xf numFmtId="164" fontId="16" fillId="0" borderId="13" xfId="159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164" fontId="16" fillId="0" borderId="13" xfId="0" applyNumberFormat="1" applyFont="1" applyBorder="1" applyAlignment="1">
      <alignment horizontal="right" vertical="center"/>
    </xf>
    <xf numFmtId="164" fontId="20" fillId="0" borderId="13" xfId="161" applyNumberFormat="1" applyFont="1" applyFill="1" applyBorder="1" applyAlignment="1" applyProtection="1">
      <alignment horizontal="right" vertical="center"/>
    </xf>
    <xf numFmtId="164" fontId="20" fillId="0" borderId="13" xfId="0" applyNumberFormat="1" applyFont="1" applyFill="1" applyBorder="1" applyAlignment="1">
      <alignment horizontal="right" vertical="center"/>
    </xf>
    <xf numFmtId="164" fontId="20" fillId="0" borderId="13" xfId="159" applyNumberFormat="1" applyFont="1" applyBorder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164" fontId="20" fillId="0" borderId="13" xfId="0" applyNumberFormat="1" applyFont="1" applyBorder="1" applyAlignment="1">
      <alignment horizontal="right" vertical="center"/>
    </xf>
    <xf numFmtId="3" fontId="16" fillId="0" borderId="13" xfId="0" applyNumberFormat="1" applyFont="1" applyBorder="1" applyAlignment="1">
      <alignment horizontal="right" vertical="center"/>
    </xf>
    <xf numFmtId="3" fontId="20" fillId="0" borderId="13" xfId="0" applyNumberFormat="1" applyFont="1" applyBorder="1" applyAlignment="1">
      <alignment horizontal="right" vertical="center"/>
    </xf>
    <xf numFmtId="0" fontId="0" fillId="0" borderId="13" xfId="0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vertical="center" wrapText="1"/>
    </xf>
    <xf numFmtId="0" fontId="101" fillId="0" borderId="13" xfId="0" applyFont="1" applyFill="1" applyBorder="1" applyAlignment="1">
      <alignment vertical="center" wrapText="1"/>
    </xf>
    <xf numFmtId="0" fontId="91" fillId="0" borderId="13" xfId="0" applyFont="1" applyFill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164" fontId="99" fillId="0" borderId="13" xfId="0" applyNumberFormat="1" applyFont="1" applyFill="1" applyBorder="1" applyAlignment="1" applyProtection="1">
      <alignment horizontal="right" vertical="center" wrapText="1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164" fontId="15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3" xfId="0" applyFont="1" applyBorder="1" applyAlignment="1">
      <alignment horizontal="left" vertical="center" indent="2"/>
    </xf>
    <xf numFmtId="0" fontId="18" fillId="0" borderId="13" xfId="0" applyFont="1" applyBorder="1" applyAlignment="1">
      <alignment horizontal="center" vertical="center"/>
    </xf>
    <xf numFmtId="164" fontId="1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Fill="1" applyBorder="1" applyAlignment="1">
      <alignment vertical="center"/>
    </xf>
    <xf numFmtId="0" fontId="23" fillId="0" borderId="13" xfId="1" applyFont="1" applyFill="1" applyBorder="1" applyAlignment="1" applyProtection="1">
      <alignment horizontal="left" vertical="center" wrapText="1" indent="1"/>
    </xf>
    <xf numFmtId="0" fontId="23" fillId="0" borderId="13" xfId="1" applyFont="1" applyFill="1" applyBorder="1" applyAlignment="1" applyProtection="1">
      <alignment horizontal="left" vertical="center" wrapText="1" indent="6"/>
    </xf>
    <xf numFmtId="0" fontId="98" fillId="0" borderId="13" xfId="0" applyFont="1" applyFill="1" applyBorder="1" applyAlignment="1">
      <alignment horizontal="center" vertical="center" wrapText="1"/>
    </xf>
    <xf numFmtId="0" fontId="100" fillId="0" borderId="0" xfId="0" applyFont="1" applyFill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11" fillId="0" borderId="13" xfId="1" applyFont="1" applyFill="1" applyBorder="1" applyAlignment="1" applyProtection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 indent="1"/>
    </xf>
    <xf numFmtId="0" fontId="17" fillId="0" borderId="0" xfId="0" applyFont="1" applyFill="1" applyBorder="1" applyAlignment="1">
      <alignment vertical="center" wrapText="1"/>
    </xf>
    <xf numFmtId="164" fontId="20" fillId="0" borderId="13" xfId="161" applyNumberFormat="1" applyFont="1" applyFill="1" applyBorder="1" applyAlignment="1" applyProtection="1">
      <alignment horizontal="center" vertical="center"/>
    </xf>
    <xf numFmtId="0" fontId="0" fillId="0" borderId="13" xfId="0" applyFont="1" applyBorder="1" applyAlignment="1">
      <alignment horizontal="right" vertical="center"/>
    </xf>
    <xf numFmtId="164" fontId="0" fillId="0" borderId="13" xfId="0" applyNumberFormat="1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164" fontId="17" fillId="0" borderId="13" xfId="0" applyNumberFormat="1" applyFont="1" applyBorder="1" applyAlignment="1">
      <alignment horizontal="right" vertical="center"/>
    </xf>
    <xf numFmtId="0" fontId="59" fillId="0" borderId="13" xfId="0" applyFont="1" applyBorder="1" applyAlignment="1">
      <alignment vertical="center" wrapText="1"/>
    </xf>
    <xf numFmtId="0" fontId="61" fillId="0" borderId="13" xfId="0" applyFont="1" applyFill="1" applyBorder="1" applyAlignment="1">
      <alignment horizontal="left" vertical="center" wrapText="1"/>
    </xf>
    <xf numFmtId="0" fontId="61" fillId="0" borderId="13" xfId="0" applyFont="1" applyFill="1" applyBorder="1" applyAlignment="1">
      <alignment vertical="center" wrapText="1"/>
    </xf>
    <xf numFmtId="0" fontId="59" fillId="0" borderId="13" xfId="0" applyFont="1" applyBorder="1" applyAlignment="1">
      <alignment vertical="center"/>
    </xf>
    <xf numFmtId="0" fontId="69" fillId="0" borderId="13" xfId="0" applyFont="1" applyBorder="1" applyAlignment="1">
      <alignment horizontal="left" vertical="center" indent="2"/>
    </xf>
    <xf numFmtId="0" fontId="59" fillId="0" borderId="13" xfId="0" applyFont="1" applyBorder="1" applyAlignment="1">
      <alignment horizontal="left" vertical="center"/>
    </xf>
    <xf numFmtId="0" fontId="59" fillId="0" borderId="13" xfId="0" applyFont="1" applyFill="1" applyBorder="1" applyAlignment="1">
      <alignment vertical="center"/>
    </xf>
    <xf numFmtId="0" fontId="99" fillId="0" borderId="13" xfId="1" applyFont="1" applyFill="1" applyBorder="1" applyAlignment="1" applyProtection="1">
      <alignment horizontal="left" vertical="center" wrapText="1"/>
    </xf>
    <xf numFmtId="0" fontId="118" fillId="0" borderId="13" xfId="1" applyFont="1" applyFill="1" applyBorder="1" applyAlignment="1" applyProtection="1">
      <alignment horizontal="left" vertical="center" wrapText="1" indent="4"/>
    </xf>
    <xf numFmtId="0" fontId="118" fillId="0" borderId="13" xfId="1" applyFont="1" applyFill="1" applyBorder="1" applyAlignment="1" applyProtection="1">
      <alignment horizontal="left" vertical="center" wrapText="1" indent="1"/>
    </xf>
    <xf numFmtId="0" fontId="118" fillId="0" borderId="13" xfId="1" applyFont="1" applyFill="1" applyBorder="1" applyAlignment="1" applyProtection="1">
      <alignment horizontal="left" vertical="center" wrapText="1" indent="6"/>
    </xf>
    <xf numFmtId="164" fontId="23" fillId="25" borderId="13" xfId="1" applyNumberFormat="1" applyFont="1" applyFill="1" applyBorder="1" applyAlignment="1" applyProtection="1">
      <alignment horizontal="right" vertical="center" wrapText="1"/>
      <protection locked="0"/>
    </xf>
    <xf numFmtId="3" fontId="99" fillId="25" borderId="13" xfId="0" applyNumberFormat="1" applyFont="1" applyFill="1" applyBorder="1" applyAlignment="1">
      <alignment vertical="center" wrapText="1"/>
    </xf>
    <xf numFmtId="49" fontId="16" fillId="0" borderId="13" xfId="161" applyNumberFormat="1" applyFont="1" applyFill="1" applyBorder="1" applyAlignment="1" applyProtection="1">
      <alignment horizontal="center" vertical="center" wrapText="1"/>
    </xf>
    <xf numFmtId="49" fontId="20" fillId="0" borderId="13" xfId="161" applyNumberFormat="1" applyFont="1" applyFill="1" applyBorder="1" applyAlignment="1" applyProtection="1">
      <alignment horizontal="center" vertical="center" wrapText="1"/>
    </xf>
    <xf numFmtId="0" fontId="92" fillId="0" borderId="13" xfId="171" applyFont="1" applyFill="1" applyBorder="1" applyAlignment="1" applyProtection="1">
      <alignment horizontal="center" vertical="center" wrapText="1"/>
    </xf>
    <xf numFmtId="0" fontId="92" fillId="0" borderId="13" xfId="171" applyFont="1" applyFill="1" applyBorder="1" applyAlignment="1" applyProtection="1">
      <alignment horizontal="center" vertical="center"/>
    </xf>
    <xf numFmtId="0" fontId="14" fillId="0" borderId="13" xfId="171" applyFont="1" applyFill="1" applyBorder="1" applyAlignment="1" applyProtection="1">
      <alignment horizontal="left" vertical="center" indent="1"/>
    </xf>
    <xf numFmtId="164" fontId="14" fillId="0" borderId="13" xfId="171" applyNumberFormat="1" applyFont="1" applyFill="1" applyBorder="1" applyAlignment="1" applyProtection="1">
      <alignment vertical="center"/>
      <protection locked="0"/>
    </xf>
    <xf numFmtId="164" fontId="14" fillId="0" borderId="13" xfId="171" applyNumberFormat="1" applyFont="1" applyFill="1" applyBorder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wrapText="1" indent="1"/>
    </xf>
    <xf numFmtId="0" fontId="97" fillId="0" borderId="13" xfId="171" applyFont="1" applyFill="1" applyBorder="1" applyAlignment="1" applyProtection="1">
      <alignment horizontal="left" vertical="center" indent="1"/>
    </xf>
    <xf numFmtId="164" fontId="98" fillId="0" borderId="13" xfId="171" applyNumberFormat="1" applyFont="1" applyFill="1" applyBorder="1" applyAlignment="1" applyProtection="1">
      <alignment vertical="center"/>
    </xf>
    <xf numFmtId="0" fontId="98" fillId="0" borderId="13" xfId="171" applyFont="1" applyFill="1" applyBorder="1" applyAlignment="1" applyProtection="1">
      <alignment horizontal="left" vertical="center" indent="1"/>
    </xf>
    <xf numFmtId="164" fontId="98" fillId="0" borderId="13" xfId="171" applyNumberFormat="1" applyFont="1" applyFill="1" applyBorder="1" applyProtection="1"/>
    <xf numFmtId="0" fontId="20" fillId="0" borderId="13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/>
    </xf>
    <xf numFmtId="0" fontId="16" fillId="0" borderId="13" xfId="2" applyFont="1" applyBorder="1" applyAlignment="1">
      <alignment vertical="center"/>
    </xf>
    <xf numFmtId="0" fontId="16" fillId="0" borderId="13" xfId="2" applyFont="1" applyBorder="1" applyAlignment="1">
      <alignment vertical="center" wrapText="1"/>
    </xf>
    <xf numFmtId="0" fontId="16" fillId="0" borderId="13" xfId="2" applyFont="1" applyBorder="1" applyAlignment="1">
      <alignment horizontal="right" vertical="center"/>
    </xf>
    <xf numFmtId="3" fontId="16" fillId="0" borderId="13" xfId="2" applyNumberFormat="1" applyFont="1" applyBorder="1" applyAlignment="1">
      <alignment horizontal="right" vertical="center"/>
    </xf>
    <xf numFmtId="9" fontId="16" fillId="0" borderId="13" xfId="2" applyNumberFormat="1" applyFont="1" applyBorder="1" applyAlignment="1">
      <alignment vertical="center" wrapText="1"/>
    </xf>
    <xf numFmtId="0" fontId="16" fillId="0" borderId="13" xfId="2" applyFont="1" applyBorder="1" applyAlignment="1">
      <alignment wrapText="1"/>
    </xf>
    <xf numFmtId="0" fontId="16" fillId="0" borderId="13" xfId="2" applyFont="1" applyBorder="1"/>
    <xf numFmtId="3" fontId="16" fillId="0" borderId="13" xfId="2" applyNumberFormat="1" applyFont="1" applyBorder="1" applyAlignment="1">
      <alignment horizontal="right"/>
    </xf>
    <xf numFmtId="0" fontId="16" fillId="0" borderId="13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 wrapText="1"/>
    </xf>
    <xf numFmtId="0" fontId="20" fillId="0" borderId="13" xfId="2" applyFont="1" applyBorder="1"/>
    <xf numFmtId="3" fontId="20" fillId="0" borderId="13" xfId="2" applyNumberFormat="1" applyFont="1" applyBorder="1" applyAlignment="1">
      <alignment horizontal="right"/>
    </xf>
    <xf numFmtId="0" fontId="20" fillId="0" borderId="13" xfId="2" applyFont="1" applyBorder="1" applyAlignment="1">
      <alignment horizontal="right"/>
    </xf>
    <xf numFmtId="0" fontId="104" fillId="0" borderId="13" xfId="173" applyFont="1" applyBorder="1" applyAlignment="1">
      <alignment horizontal="center" vertical="center"/>
    </xf>
    <xf numFmtId="0" fontId="104" fillId="0" borderId="13" xfId="173" applyFont="1" applyFill="1" applyBorder="1" applyAlignment="1">
      <alignment horizontal="center" vertical="center" wrapText="1"/>
    </xf>
    <xf numFmtId="0" fontId="62" fillId="0" borderId="13" xfId="173" applyFont="1" applyBorder="1" applyAlignment="1">
      <alignment horizontal="center" vertical="center"/>
    </xf>
    <xf numFmtId="0" fontId="62" fillId="0" borderId="13" xfId="173" applyFont="1" applyBorder="1" applyAlignment="1">
      <alignment vertical="center" wrapText="1"/>
    </xf>
    <xf numFmtId="3" fontId="62" fillId="0" borderId="13" xfId="173" applyNumberFormat="1" applyFont="1" applyFill="1" applyBorder="1" applyAlignment="1">
      <alignment vertical="center"/>
    </xf>
    <xf numFmtId="0" fontId="62" fillId="0" borderId="13" xfId="173" applyFont="1" applyBorder="1" applyAlignment="1">
      <alignment vertical="center"/>
    </xf>
    <xf numFmtId="0" fontId="61" fillId="0" borderId="13" xfId="173" applyFont="1" applyBorder="1" applyAlignment="1">
      <alignment vertical="center"/>
    </xf>
    <xf numFmtId="3" fontId="61" fillId="0" borderId="13" xfId="173" applyNumberFormat="1" applyFont="1" applyFill="1" applyBorder="1" applyAlignment="1">
      <alignment vertical="center"/>
    </xf>
    <xf numFmtId="0" fontId="62" fillId="0" borderId="13" xfId="173" applyFont="1" applyBorder="1" applyAlignment="1">
      <alignment horizontal="left" vertical="center" wrapText="1"/>
    </xf>
    <xf numFmtId="0" fontId="104" fillId="0" borderId="13" xfId="173" applyFont="1" applyBorder="1" applyAlignment="1">
      <alignment horizontal="left" vertical="center"/>
    </xf>
    <xf numFmtId="3" fontId="104" fillId="0" borderId="13" xfId="173" applyNumberFormat="1" applyFont="1" applyBorder="1" applyAlignment="1">
      <alignment vertical="center"/>
    </xf>
    <xf numFmtId="0" fontId="104" fillId="0" borderId="13" xfId="173" applyFont="1" applyBorder="1" applyAlignment="1">
      <alignment vertic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99" fillId="0" borderId="13" xfId="1" applyFont="1" applyFill="1" applyBorder="1" applyAlignment="1" applyProtection="1">
      <alignment horizontal="center" vertical="center" wrapText="1"/>
    </xf>
    <xf numFmtId="0" fontId="59" fillId="0" borderId="13" xfId="0" applyFont="1" applyBorder="1" applyAlignment="1" applyProtection="1">
      <alignment horizontal="left" vertical="center" wrapText="1" indent="1"/>
    </xf>
    <xf numFmtId="164" fontId="72" fillId="0" borderId="13" xfId="1" applyNumberFormat="1" applyFont="1" applyFill="1" applyBorder="1" applyAlignment="1" applyProtection="1">
      <alignment vertical="center" wrapText="1"/>
      <protection locked="0"/>
    </xf>
    <xf numFmtId="0" fontId="72" fillId="0" borderId="13" xfId="1" applyFont="1" applyFill="1" applyBorder="1" applyAlignment="1" applyProtection="1">
      <alignment horizontal="left" vertical="center" wrapText="1" indent="1"/>
    </xf>
    <xf numFmtId="164" fontId="99" fillId="0" borderId="13" xfId="1" applyNumberFormat="1" applyFont="1" applyFill="1" applyBorder="1" applyAlignment="1" applyProtection="1">
      <alignment vertical="center" wrapText="1"/>
    </xf>
    <xf numFmtId="164" fontId="99" fillId="0" borderId="13" xfId="1" applyNumberFormat="1" applyFont="1" applyFill="1" applyBorder="1" applyAlignment="1" applyProtection="1">
      <alignment vertical="center" wrapText="1"/>
      <protection locked="0"/>
    </xf>
    <xf numFmtId="0" fontId="15" fillId="0" borderId="13" xfId="1" applyFont="1" applyFill="1" applyBorder="1" applyAlignment="1" applyProtection="1">
      <alignment vertical="center" wrapText="1"/>
    </xf>
    <xf numFmtId="0" fontId="16" fillId="0" borderId="13" xfId="0" applyFont="1" applyBorder="1" applyAlignment="1" applyProtection="1">
      <alignment horizontal="left" vertical="center" wrapText="1" indent="1"/>
    </xf>
    <xf numFmtId="164" fontId="16" fillId="0" borderId="13" xfId="0" quotePrefix="1" applyNumberFormat="1" applyFont="1" applyBorder="1" applyAlignment="1" applyProtection="1">
      <alignment vertical="center" wrapText="1"/>
      <protection locked="0"/>
    </xf>
    <xf numFmtId="0" fontId="61" fillId="0" borderId="13" xfId="172" applyFont="1" applyBorder="1" applyAlignment="1">
      <alignment horizontal="center"/>
    </xf>
    <xf numFmtId="0" fontId="59" fillId="0" borderId="13" xfId="172" applyFont="1" applyBorder="1" applyAlignment="1">
      <alignment horizontal="left" vertical="center" wrapText="1"/>
    </xf>
    <xf numFmtId="3" fontId="59" fillId="0" borderId="13" xfId="172" applyNumberFormat="1" applyFont="1" applyBorder="1" applyAlignment="1">
      <alignment horizontal="center" vertical="center"/>
    </xf>
    <xf numFmtId="0" fontId="59" fillId="0" borderId="13" xfId="172" applyFont="1" applyBorder="1" applyAlignment="1">
      <alignment horizontal="center" vertical="center" wrapText="1"/>
    </xf>
    <xf numFmtId="3" fontId="61" fillId="0" borderId="13" xfId="172" applyNumberFormat="1" applyFont="1" applyBorder="1" applyAlignment="1">
      <alignment horizontal="center" vertical="center"/>
    </xf>
    <xf numFmtId="0" fontId="104" fillId="0" borderId="13" xfId="175" applyFont="1" applyBorder="1" applyAlignment="1">
      <alignment horizontal="center" vertical="center" wrapText="1"/>
    </xf>
    <xf numFmtId="0" fontId="62" fillId="0" borderId="13" xfId="175" applyFont="1" applyBorder="1" applyAlignment="1">
      <alignment horizontal="center" vertical="center"/>
    </xf>
    <xf numFmtId="0" fontId="112" fillId="0" borderId="13" xfId="0" applyFont="1" applyBorder="1" applyAlignment="1">
      <alignment horizontal="left" vertical="center" wrapText="1"/>
    </xf>
    <xf numFmtId="164" fontId="67" fillId="0" borderId="13" xfId="35" applyNumberFormat="1" applyFont="1" applyBorder="1" applyAlignment="1">
      <alignment horizontal="right" vertical="center"/>
    </xf>
    <xf numFmtId="0" fontId="113" fillId="0" borderId="13" xfId="0" applyFont="1" applyBorder="1" applyAlignment="1">
      <alignment horizontal="left" vertical="center" wrapText="1"/>
    </xf>
    <xf numFmtId="164" fontId="109" fillId="0" borderId="13" xfId="35" applyNumberFormat="1" applyFont="1" applyBorder="1" applyAlignment="1">
      <alignment horizontal="right" vertical="center"/>
    </xf>
    <xf numFmtId="164" fontId="104" fillId="0" borderId="13" xfId="175" applyNumberFormat="1" applyFont="1" applyBorder="1" applyAlignment="1">
      <alignment horizontal="right" vertical="center"/>
    </xf>
    <xf numFmtId="0" fontId="100" fillId="0" borderId="13" xfId="1" applyFont="1" applyFill="1" applyBorder="1" applyAlignment="1" applyProtection="1">
      <alignment horizontal="center" vertical="center" wrapText="1"/>
    </xf>
    <xf numFmtId="166" fontId="100" fillId="0" borderId="13" xfId="177" applyNumberFormat="1" applyFont="1" applyFill="1" applyBorder="1" applyAlignment="1" applyProtection="1">
      <alignment horizontal="center" vertical="center" wrapText="1"/>
    </xf>
    <xf numFmtId="1" fontId="99" fillId="0" borderId="13" xfId="1" applyNumberFormat="1" applyFont="1" applyFill="1" applyBorder="1" applyAlignment="1" applyProtection="1">
      <alignment horizontal="center" vertical="center"/>
    </xf>
    <xf numFmtId="1" fontId="99" fillId="0" borderId="13" xfId="177" applyNumberFormat="1" applyFont="1" applyFill="1" applyBorder="1" applyAlignment="1" applyProtection="1">
      <alignment horizontal="center" vertical="center"/>
    </xf>
    <xf numFmtId="0" fontId="99" fillId="0" borderId="13" xfId="1" applyFont="1" applyFill="1" applyBorder="1" applyAlignment="1" applyProtection="1">
      <alignment horizontal="center" vertical="center"/>
    </xf>
    <xf numFmtId="0" fontId="67" fillId="0" borderId="13" xfId="176" applyFont="1" applyFill="1" applyBorder="1" applyAlignment="1">
      <alignment wrapText="1"/>
    </xf>
    <xf numFmtId="166" fontId="67" fillId="0" borderId="13" xfId="177" applyNumberFormat="1" applyFont="1" applyFill="1" applyBorder="1" applyAlignment="1">
      <alignment horizontal="center" vertical="center"/>
    </xf>
    <xf numFmtId="166" fontId="99" fillId="0" borderId="13" xfId="177" applyNumberFormat="1" applyFont="1" applyFill="1" applyBorder="1" applyAlignment="1" applyProtection="1">
      <alignment vertical="center"/>
      <protection locked="0"/>
    </xf>
    <xf numFmtId="0" fontId="67" fillId="0" borderId="13" xfId="176" applyFont="1" applyBorder="1" applyAlignment="1">
      <alignment wrapText="1"/>
    </xf>
    <xf numFmtId="166" fontId="67" fillId="0" borderId="13" xfId="177" applyNumberFormat="1" applyFont="1" applyBorder="1" applyAlignment="1">
      <alignment vertical="center"/>
    </xf>
    <xf numFmtId="0" fontId="67" fillId="0" borderId="13" xfId="176" applyFont="1" applyBorder="1" applyAlignment="1">
      <alignment vertical="center" wrapText="1"/>
    </xf>
    <xf numFmtId="166" fontId="67" fillId="0" borderId="13" xfId="177" applyNumberFormat="1" applyFont="1" applyBorder="1" applyAlignment="1">
      <alignment horizontal="center" vertical="center"/>
    </xf>
    <xf numFmtId="0" fontId="67" fillId="0" borderId="13" xfId="176" applyFont="1" applyBorder="1" applyAlignment="1">
      <alignment vertical="center" wrapText="1" shrinkToFit="1"/>
    </xf>
    <xf numFmtId="0" fontId="100" fillId="0" borderId="13" xfId="1" applyFont="1" applyFill="1" applyBorder="1" applyAlignment="1" applyProtection="1">
      <alignment horizontal="center" vertical="center"/>
    </xf>
    <xf numFmtId="0" fontId="100" fillId="0" borderId="13" xfId="1" applyFont="1" applyFill="1" applyBorder="1" applyAlignment="1" applyProtection="1">
      <alignment vertical="center" wrapText="1"/>
      <protection locked="0"/>
    </xf>
    <xf numFmtId="166" fontId="100" fillId="0" borderId="13" xfId="177" applyNumberFormat="1" applyFont="1" applyFill="1" applyBorder="1" applyAlignment="1" applyProtection="1">
      <alignment vertical="center"/>
      <protection locked="0"/>
    </xf>
    <xf numFmtId="0" fontId="59" fillId="0" borderId="13" xfId="176" applyFont="1" applyFill="1" applyBorder="1" applyAlignment="1">
      <alignment wrapText="1"/>
    </xf>
    <xf numFmtId="166" fontId="59" fillId="0" borderId="13" xfId="177" applyNumberFormat="1" applyFont="1" applyBorder="1" applyAlignment="1">
      <alignment horizontal="center"/>
    </xf>
    <xf numFmtId="0" fontId="59" fillId="0" borderId="13" xfId="176" applyFont="1" applyBorder="1" applyAlignment="1">
      <alignment wrapText="1"/>
    </xf>
    <xf numFmtId="166" fontId="59" fillId="0" borderId="13" xfId="177" applyNumberFormat="1" applyFont="1" applyFill="1" applyBorder="1" applyAlignment="1">
      <alignment horizontal="center"/>
    </xf>
    <xf numFmtId="166" fontId="117" fillId="0" borderId="13" xfId="177" applyNumberFormat="1" applyFont="1" applyFill="1" applyBorder="1" applyAlignment="1"/>
    <xf numFmtId="166" fontId="100" fillId="0" borderId="13" xfId="177" applyNumberFormat="1" applyFont="1" applyFill="1" applyBorder="1" applyAlignment="1" applyProtection="1">
      <alignment vertical="center"/>
    </xf>
    <xf numFmtId="164" fontId="72" fillId="0" borderId="13" xfId="0" applyNumberFormat="1" applyFont="1" applyFill="1" applyBorder="1" applyAlignment="1">
      <alignment vertical="center" wrapText="1"/>
    </xf>
    <xf numFmtId="3" fontId="15" fillId="0" borderId="0" xfId="1" applyNumberFormat="1" applyFont="1" applyFill="1" applyProtection="1"/>
    <xf numFmtId="1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64" fontId="20" fillId="0" borderId="0" xfId="160" applyNumberFormat="1" applyFont="1" applyFill="1" applyBorder="1" applyAlignment="1">
      <alignment horizontal="left" vertical="center" wrapText="1"/>
    </xf>
    <xf numFmtId="0" fontId="16" fillId="0" borderId="0" xfId="160" applyNumberFormat="1" applyFont="1" applyFill="1" applyBorder="1" applyAlignment="1">
      <alignment horizontal="left" vertical="center"/>
    </xf>
    <xf numFmtId="3" fontId="68" fillId="0" borderId="0" xfId="35" applyNumberFormat="1" applyFont="1" applyFill="1" applyBorder="1" applyAlignment="1">
      <alignment horizontal="right"/>
    </xf>
    <xf numFmtId="3" fontId="61" fillId="0" borderId="13" xfId="35" applyNumberFormat="1" applyFont="1" applyBorder="1" applyAlignment="1">
      <alignment vertical="center"/>
    </xf>
    <xf numFmtId="49" fontId="62" fillId="0" borderId="0" xfId="48" applyNumberFormat="1" applyFont="1"/>
    <xf numFmtId="49" fontId="104" fillId="0" borderId="0" xfId="48" applyNumberFormat="1" applyFont="1"/>
    <xf numFmtId="49" fontId="70" fillId="0" borderId="0" xfId="48" applyNumberFormat="1" applyFont="1"/>
    <xf numFmtId="0" fontId="17" fillId="0" borderId="0" xfId="1" applyFont="1" applyFill="1" applyProtection="1"/>
    <xf numFmtId="0" fontId="13" fillId="0" borderId="0" xfId="1" applyFont="1" applyFill="1" applyProtection="1"/>
    <xf numFmtId="164" fontId="18" fillId="0" borderId="13" xfId="67" applyNumberFormat="1" applyFont="1" applyBorder="1" applyAlignment="1">
      <alignment horizontal="left" vertical="center" wrapText="1"/>
    </xf>
    <xf numFmtId="164" fontId="18" fillId="0" borderId="13" xfId="67" applyNumberFormat="1" applyFont="1" applyBorder="1" applyAlignment="1">
      <alignment vertical="center"/>
    </xf>
    <xf numFmtId="165" fontId="18" fillId="0" borderId="13" xfId="67" applyNumberFormat="1" applyFont="1" applyBorder="1" applyAlignment="1">
      <alignment vertical="center"/>
    </xf>
    <xf numFmtId="3" fontId="18" fillId="0" borderId="13" xfId="67" applyNumberFormat="1" applyFont="1" applyBorder="1" applyAlignment="1">
      <alignment vertical="center"/>
    </xf>
    <xf numFmtId="0" fontId="121" fillId="0" borderId="0" xfId="0" applyFont="1"/>
    <xf numFmtId="164" fontId="18" fillId="0" borderId="13" xfId="67" applyNumberFormat="1" applyFont="1" applyFill="1" applyBorder="1" applyAlignment="1">
      <alignment horizontal="left" vertical="center"/>
    </xf>
    <xf numFmtId="4" fontId="18" fillId="0" borderId="13" xfId="67" applyNumberFormat="1" applyFont="1" applyBorder="1" applyAlignment="1">
      <alignment vertical="center"/>
    </xf>
    <xf numFmtId="165" fontId="96" fillId="0" borderId="13" xfId="67" applyNumberFormat="1" applyFont="1" applyBorder="1" applyAlignment="1">
      <alignment vertical="center"/>
    </xf>
    <xf numFmtId="0" fontId="63" fillId="0" borderId="0" xfId="0" applyFont="1"/>
    <xf numFmtId="3" fontId="20" fillId="0" borderId="13" xfId="51" applyNumberFormat="1" applyFont="1" applyBorder="1" applyAlignment="1">
      <alignment horizontal="center" vertical="center"/>
    </xf>
    <xf numFmtId="3" fontId="20" fillId="0" borderId="14" xfId="51" applyNumberFormat="1" applyFont="1" applyBorder="1" applyAlignment="1">
      <alignment horizontal="center" vertical="center"/>
    </xf>
    <xf numFmtId="0" fontId="20" fillId="0" borderId="0" xfId="51" applyFont="1" applyFill="1"/>
    <xf numFmtId="164" fontId="20" fillId="0" borderId="13" xfId="67" applyNumberFormat="1" applyFont="1" applyFill="1" applyBorder="1" applyAlignment="1">
      <alignment vertical="center"/>
    </xf>
    <xf numFmtId="3" fontId="16" fillId="0" borderId="13" xfId="51" applyNumberFormat="1" applyFont="1" applyBorder="1" applyAlignment="1">
      <alignment horizontal="center" vertical="center"/>
    </xf>
    <xf numFmtId="3" fontId="58" fillId="0" borderId="13" xfId="51" applyNumberFormat="1" applyFont="1" applyFill="1" applyBorder="1" applyAlignment="1">
      <alignment horizontal="center" vertical="center"/>
    </xf>
    <xf numFmtId="3" fontId="20" fillId="0" borderId="13" xfId="51" applyNumberFormat="1" applyFont="1" applyFill="1" applyBorder="1" applyAlignment="1">
      <alignment horizontal="center" vertical="center"/>
    </xf>
    <xf numFmtId="3" fontId="16" fillId="0" borderId="0" xfId="51" applyNumberFormat="1" applyFont="1" applyAlignment="1">
      <alignment horizontal="center" vertical="center"/>
    </xf>
    <xf numFmtId="3" fontId="16" fillId="0" borderId="13" xfId="51" applyNumberFormat="1" applyFont="1" applyFill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wrapText="1"/>
    </xf>
    <xf numFmtId="3" fontId="18" fillId="0" borderId="0" xfId="0" applyNumberFormat="1" applyFont="1" applyBorder="1"/>
    <xf numFmtId="3" fontId="18" fillId="0" borderId="0" xfId="0" applyNumberFormat="1" applyFont="1" applyBorder="1" applyAlignment="1">
      <alignment horizontal="center"/>
    </xf>
    <xf numFmtId="164" fontId="119" fillId="0" borderId="13" xfId="0" applyNumberFormat="1" applyFont="1" applyFill="1" applyBorder="1" applyAlignment="1" applyProtection="1">
      <alignment vertical="center" wrapText="1"/>
      <protection locked="0"/>
    </xf>
    <xf numFmtId="164" fontId="120" fillId="0" borderId="13" xfId="0" applyNumberFormat="1" applyFont="1" applyFill="1" applyBorder="1" applyAlignment="1" applyProtection="1">
      <alignment vertical="center" wrapText="1"/>
      <protection locked="0"/>
    </xf>
    <xf numFmtId="0" fontId="23" fillId="0" borderId="13" xfId="1" applyFont="1" applyFill="1" applyBorder="1" applyAlignment="1" applyProtection="1">
      <alignment horizontal="left" vertical="center" wrapText="1" indent="2"/>
    </xf>
    <xf numFmtId="164" fontId="23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29" xfId="178" applyFont="1" applyBorder="1" applyAlignment="1">
      <alignment horizontal="center" vertical="center" wrapText="1"/>
    </xf>
    <xf numFmtId="0" fontId="111" fillId="0" borderId="33" xfId="0" applyFont="1" applyBorder="1" applyAlignment="1">
      <alignment horizontal="center" vertical="center" wrapText="1"/>
    </xf>
    <xf numFmtId="0" fontId="111" fillId="0" borderId="34" xfId="0" applyFont="1" applyBorder="1" applyAlignment="1">
      <alignment horizontal="center" vertical="center" wrapText="1"/>
    </xf>
    <xf numFmtId="0" fontId="111" fillId="0" borderId="37" xfId="0" applyFont="1" applyBorder="1" applyAlignment="1">
      <alignment horizontal="center" vertical="center" wrapText="1"/>
    </xf>
    <xf numFmtId="0" fontId="111" fillId="0" borderId="12" xfId="0" applyFont="1" applyBorder="1" applyAlignment="1">
      <alignment horizontal="center" vertical="center" wrapText="1"/>
    </xf>
    <xf numFmtId="0" fontId="111" fillId="0" borderId="36" xfId="0" applyFont="1" applyBorder="1" applyAlignment="1">
      <alignment horizontal="center" vertical="center" wrapText="1"/>
    </xf>
    <xf numFmtId="0" fontId="8" fillId="0" borderId="0" xfId="1" applyFont="1" applyFill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13" fillId="0" borderId="13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0" fontId="20" fillId="0" borderId="13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 wrapText="1"/>
    </xf>
    <xf numFmtId="0" fontId="66" fillId="0" borderId="12" xfId="51" applyFont="1" applyBorder="1" applyAlignment="1">
      <alignment horizontal="right" vertical="center"/>
    </xf>
    <xf numFmtId="0" fontId="20" fillId="0" borderId="10" xfId="51" applyFont="1" applyBorder="1" applyAlignment="1">
      <alignment horizontal="center" vertical="center"/>
    </xf>
    <xf numFmtId="0" fontId="20" fillId="0" borderId="32" xfId="51" applyFont="1" applyBorder="1" applyAlignment="1">
      <alignment horizontal="center" vertical="center"/>
    </xf>
    <xf numFmtId="0" fontId="20" fillId="0" borderId="13" xfId="144" applyFont="1" applyFill="1" applyBorder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right" wrapText="1"/>
    </xf>
    <xf numFmtId="0" fontId="20" fillId="0" borderId="13" xfId="144" applyFont="1" applyFill="1" applyBorder="1" applyAlignment="1">
      <alignment horizontal="center" vertical="center"/>
    </xf>
    <xf numFmtId="0" fontId="116" fillId="0" borderId="0" xfId="48" applyFont="1" applyAlignment="1">
      <alignment horizontal="center" vertical="center" wrapText="1"/>
    </xf>
    <xf numFmtId="0" fontId="59" fillId="0" borderId="13" xfId="48" applyFont="1" applyBorder="1" applyAlignment="1">
      <alignment horizontal="left" vertical="center" wrapText="1"/>
    </xf>
    <xf numFmtId="0" fontId="61" fillId="0" borderId="13" xfId="48" applyFont="1" applyBorder="1" applyAlignment="1">
      <alignment horizontal="center" vertical="center" wrapText="1"/>
    </xf>
    <xf numFmtId="0" fontId="69" fillId="0" borderId="13" xfId="48" applyFont="1" applyBorder="1" applyAlignment="1">
      <alignment horizontal="left" vertical="center" wrapText="1"/>
    </xf>
    <xf numFmtId="0" fontId="63" fillId="0" borderId="13" xfId="48" applyFont="1" applyBorder="1" applyAlignment="1">
      <alignment horizontal="center" vertical="center"/>
    </xf>
    <xf numFmtId="0" fontId="67" fillId="0" borderId="0" xfId="48" applyFont="1" applyBorder="1"/>
    <xf numFmtId="0" fontId="61" fillId="0" borderId="13" xfId="48" applyFont="1" applyBorder="1" applyAlignment="1">
      <alignment horizontal="left" vertical="center"/>
    </xf>
    <xf numFmtId="0" fontId="61" fillId="0" borderId="13" xfId="48" applyFont="1" applyBorder="1" applyAlignment="1">
      <alignment vertical="center"/>
    </xf>
    <xf numFmtId="0" fontId="59" fillId="0" borderId="13" xfId="48" applyFont="1" applyBorder="1" applyAlignment="1">
      <alignment horizontal="left" vertical="center"/>
    </xf>
    <xf numFmtId="0" fontId="63" fillId="0" borderId="0" xfId="178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13" xfId="67" applyNumberFormat="1" applyFont="1" applyBorder="1" applyAlignment="1">
      <alignment horizontal="center" vertical="center"/>
    </xf>
    <xf numFmtId="164" fontId="61" fillId="0" borderId="13" xfId="67" applyNumberFormat="1" applyFont="1" applyBorder="1" applyAlignment="1">
      <alignment vertical="center"/>
    </xf>
    <xf numFmtId="164" fontId="20" fillId="0" borderId="13" xfId="67" applyNumberFormat="1" applyFont="1" applyFill="1" applyBorder="1" applyAlignment="1">
      <alignment horizontal="center" vertical="center"/>
    </xf>
    <xf numFmtId="164" fontId="20" fillId="0" borderId="13" xfId="67" applyNumberFormat="1" applyFont="1" applyBorder="1" applyAlignment="1">
      <alignment horizontal="center" vertical="center"/>
    </xf>
    <xf numFmtId="164" fontId="20" fillId="0" borderId="13" xfId="67" applyNumberFormat="1" applyFont="1" applyBorder="1" applyAlignment="1">
      <alignment horizontal="center" vertical="center" wrapText="1"/>
    </xf>
    <xf numFmtId="164" fontId="20" fillId="0" borderId="13" xfId="67" applyNumberFormat="1" applyFont="1" applyBorder="1" applyAlignment="1">
      <alignment vertical="center" wrapText="1"/>
    </xf>
    <xf numFmtId="164" fontId="20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8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64" fontId="10" fillId="0" borderId="12" xfId="1" applyNumberFormat="1" applyFont="1" applyFill="1" applyBorder="1" applyAlignment="1" applyProtection="1">
      <alignment horizontal="left" vertical="center"/>
    </xf>
    <xf numFmtId="164" fontId="9" fillId="0" borderId="33" xfId="1" applyNumberFormat="1" applyFont="1" applyFill="1" applyBorder="1" applyAlignment="1" applyProtection="1">
      <alignment horizontal="center" vertical="center"/>
    </xf>
    <xf numFmtId="164" fontId="9" fillId="0" borderId="12" xfId="1" applyNumberFormat="1" applyFont="1" applyFill="1" applyBorder="1" applyAlignment="1" applyProtection="1">
      <alignment horizontal="center" vertical="center"/>
    </xf>
    <xf numFmtId="3" fontId="65" fillId="0" borderId="0" xfId="0" applyNumberFormat="1" applyFont="1" applyBorder="1" applyAlignment="1">
      <alignment horizontal="center" vertical="center" wrapText="1"/>
    </xf>
    <xf numFmtId="3" fontId="65" fillId="0" borderId="0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right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0" fontId="71" fillId="0" borderId="10" xfId="0" applyFont="1" applyFill="1" applyBorder="1" applyAlignment="1" applyProtection="1">
      <alignment horizontal="center" vertical="center" wrapText="1"/>
    </xf>
    <xf numFmtId="0" fontId="71" fillId="0" borderId="32" xfId="0" applyFont="1" applyFill="1" applyBorder="1" applyAlignment="1" applyProtection="1">
      <alignment horizontal="center" vertical="center" wrapText="1"/>
    </xf>
    <xf numFmtId="0" fontId="71" fillId="0" borderId="11" xfId="0" applyFont="1" applyFill="1" applyBorder="1" applyAlignment="1" applyProtection="1">
      <alignment horizontal="center" vertical="center" wrapText="1"/>
    </xf>
    <xf numFmtId="164" fontId="100" fillId="0" borderId="12" xfId="1" applyNumberFormat="1" applyFont="1" applyFill="1" applyBorder="1" applyAlignment="1" applyProtection="1">
      <alignment horizontal="center" vertical="center"/>
    </xf>
    <xf numFmtId="0" fontId="23" fillId="0" borderId="12" xfId="0" applyFont="1" applyBorder="1" applyAlignment="1">
      <alignment horizontal="right"/>
    </xf>
    <xf numFmtId="0" fontId="71" fillId="0" borderId="13" xfId="0" applyFont="1" applyFill="1" applyBorder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3" fillId="0" borderId="13" xfId="171" applyFont="1" applyFill="1" applyBorder="1" applyAlignment="1" applyProtection="1">
      <alignment horizontal="left" vertical="center" indent="1"/>
    </xf>
    <xf numFmtId="0" fontId="16" fillId="0" borderId="13" xfId="2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16" fillId="0" borderId="13" xfId="2" applyFont="1" applyBorder="1" applyAlignment="1">
      <alignment vertical="center"/>
    </xf>
    <xf numFmtId="0" fontId="62" fillId="0" borderId="13" xfId="0" applyFont="1" applyBorder="1" applyAlignment="1">
      <alignment vertical="center"/>
    </xf>
    <xf numFmtId="0" fontId="16" fillId="0" borderId="13" xfId="2" applyFont="1" applyBorder="1" applyAlignment="1"/>
    <xf numFmtId="0" fontId="62" fillId="0" borderId="13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10" fillId="0" borderId="0" xfId="174" applyFont="1" applyFill="1" applyBorder="1" applyAlignment="1">
      <alignment horizontal="center" vertical="center" wrapText="1"/>
    </xf>
    <xf numFmtId="0" fontId="107" fillId="0" borderId="0" xfId="173" applyFont="1" applyAlignment="1">
      <alignment horizontal="center" vertical="center" wrapText="1"/>
    </xf>
    <xf numFmtId="0" fontId="107" fillId="0" borderId="0" xfId="173" applyFont="1" applyAlignment="1">
      <alignment horizontal="center" vertical="center"/>
    </xf>
    <xf numFmtId="0" fontId="107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1" fillId="0" borderId="13" xfId="172" applyFont="1" applyBorder="1" applyAlignment="1">
      <alignment horizontal="center" vertical="center" wrapText="1"/>
    </xf>
    <xf numFmtId="0" fontId="107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</cellXfs>
  <cellStyles count="212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yalne\Documents\2017\K&#214;LTS&#201;GVET&#201;S%20TERVEZ&#201;S\2017.%20&#233;vi%20&#246;nkorm&#225;nyzati%20k&#246;lts&#233;gvet&#233;s%20minta\rendelet%20mell&#233;klet%20mint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&#233;nz&#252;gy\2017.&#233;vi%20k&#246;lts&#233;gvet&#233;s\K&#214;LTS&#201;GVET&#201;S%20TERVEZ&#201;S\&#214;NKORM&#193;NYZAT\Test&#252;leti%20anyag%20II\Test&#252;leti%20t&#225;b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sz.mell."/>
      <sheetName val="2.1.sz.mell  "/>
      <sheetName val="2.2.sz.mell  "/>
      <sheetName val="3.sz.mell"/>
      <sheetName val="4. sz.mell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  <sheetName val="Munka1"/>
    </sheetNames>
    <sheetDataSet>
      <sheetData sheetId="0"/>
      <sheetData sheetId="1"/>
      <sheetData sheetId="2"/>
      <sheetData sheetId="3"/>
      <sheetData sheetId="4"/>
      <sheetData sheetId="5">
        <row r="13">
          <cell r="G13">
            <v>58440500</v>
          </cell>
        </row>
        <row r="19">
          <cell r="G19">
            <v>123810571</v>
          </cell>
        </row>
      </sheetData>
      <sheetData sheetId="6">
        <row r="20">
          <cell r="E20">
            <v>431297184</v>
          </cell>
        </row>
      </sheetData>
      <sheetData sheetId="7"/>
      <sheetData sheetId="8"/>
      <sheetData sheetId="9">
        <row r="13">
          <cell r="F13">
            <v>55826180</v>
          </cell>
        </row>
        <row r="22">
          <cell r="D22">
            <v>8696669</v>
          </cell>
          <cell r="E22">
            <v>8449674</v>
          </cell>
        </row>
        <row r="24">
          <cell r="C24">
            <v>2840025</v>
          </cell>
        </row>
        <row r="25">
          <cell r="C25">
            <v>712800</v>
          </cell>
        </row>
        <row r="26">
          <cell r="C26">
            <v>31149012</v>
          </cell>
        </row>
      </sheetData>
      <sheetData sheetId="10"/>
      <sheetData sheetId="11"/>
      <sheetData sheetId="12"/>
      <sheetData sheetId="13">
        <row r="37">
          <cell r="G37">
            <v>273351171</v>
          </cell>
        </row>
      </sheetData>
      <sheetData sheetId="14"/>
      <sheetData sheetId="15"/>
      <sheetData sheetId="16">
        <row r="37">
          <cell r="F37">
            <v>27195291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D8">
            <v>23997938</v>
          </cell>
        </row>
      </sheetData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5" sqref="E5"/>
    </sheetView>
  </sheetViews>
  <sheetFormatPr defaultColWidth="10.69921875" defaultRowHeight="13" x14ac:dyDescent="0.3"/>
  <cols>
    <col min="1" max="2" width="8.796875" style="214" customWidth="1"/>
    <col min="3" max="3" width="73.5" style="202" customWidth="1"/>
    <col min="4" max="256" width="10.69921875" style="202"/>
    <col min="257" max="258" width="8.796875" style="202" customWidth="1"/>
    <col min="259" max="259" width="73.5" style="202" customWidth="1"/>
    <col min="260" max="512" width="10.69921875" style="202"/>
    <col min="513" max="514" width="8.796875" style="202" customWidth="1"/>
    <col min="515" max="515" width="73.5" style="202" customWidth="1"/>
    <col min="516" max="768" width="10.69921875" style="202"/>
    <col min="769" max="770" width="8.796875" style="202" customWidth="1"/>
    <col min="771" max="771" width="73.5" style="202" customWidth="1"/>
    <col min="772" max="1024" width="10.69921875" style="202"/>
    <col min="1025" max="1026" width="8.796875" style="202" customWidth="1"/>
    <col min="1027" max="1027" width="73.5" style="202" customWidth="1"/>
    <col min="1028" max="1280" width="10.69921875" style="202"/>
    <col min="1281" max="1282" width="8.796875" style="202" customWidth="1"/>
    <col min="1283" max="1283" width="73.5" style="202" customWidth="1"/>
    <col min="1284" max="1536" width="10.69921875" style="202"/>
    <col min="1537" max="1538" width="8.796875" style="202" customWidth="1"/>
    <col min="1539" max="1539" width="73.5" style="202" customWidth="1"/>
    <col min="1540" max="1792" width="10.69921875" style="202"/>
    <col min="1793" max="1794" width="8.796875" style="202" customWidth="1"/>
    <col min="1795" max="1795" width="73.5" style="202" customWidth="1"/>
    <col min="1796" max="2048" width="10.69921875" style="202"/>
    <col min="2049" max="2050" width="8.796875" style="202" customWidth="1"/>
    <col min="2051" max="2051" width="73.5" style="202" customWidth="1"/>
    <col min="2052" max="2304" width="10.69921875" style="202"/>
    <col min="2305" max="2306" width="8.796875" style="202" customWidth="1"/>
    <col min="2307" max="2307" width="73.5" style="202" customWidth="1"/>
    <col min="2308" max="2560" width="10.69921875" style="202"/>
    <col min="2561" max="2562" width="8.796875" style="202" customWidth="1"/>
    <col min="2563" max="2563" width="73.5" style="202" customWidth="1"/>
    <col min="2564" max="2816" width="10.69921875" style="202"/>
    <col min="2817" max="2818" width="8.796875" style="202" customWidth="1"/>
    <col min="2819" max="2819" width="73.5" style="202" customWidth="1"/>
    <col min="2820" max="3072" width="10.69921875" style="202"/>
    <col min="3073" max="3074" width="8.796875" style="202" customWidth="1"/>
    <col min="3075" max="3075" width="73.5" style="202" customWidth="1"/>
    <col min="3076" max="3328" width="10.69921875" style="202"/>
    <col min="3329" max="3330" width="8.796875" style="202" customWidth="1"/>
    <col min="3331" max="3331" width="73.5" style="202" customWidth="1"/>
    <col min="3332" max="3584" width="10.69921875" style="202"/>
    <col min="3585" max="3586" width="8.796875" style="202" customWidth="1"/>
    <col min="3587" max="3587" width="73.5" style="202" customWidth="1"/>
    <col min="3588" max="3840" width="10.69921875" style="202"/>
    <col min="3841" max="3842" width="8.796875" style="202" customWidth="1"/>
    <col min="3843" max="3843" width="73.5" style="202" customWidth="1"/>
    <col min="3844" max="4096" width="10.69921875" style="202"/>
    <col min="4097" max="4098" width="8.796875" style="202" customWidth="1"/>
    <col min="4099" max="4099" width="73.5" style="202" customWidth="1"/>
    <col min="4100" max="4352" width="10.69921875" style="202"/>
    <col min="4353" max="4354" width="8.796875" style="202" customWidth="1"/>
    <col min="4355" max="4355" width="73.5" style="202" customWidth="1"/>
    <col min="4356" max="4608" width="10.69921875" style="202"/>
    <col min="4609" max="4610" width="8.796875" style="202" customWidth="1"/>
    <col min="4611" max="4611" width="73.5" style="202" customWidth="1"/>
    <col min="4612" max="4864" width="10.69921875" style="202"/>
    <col min="4865" max="4866" width="8.796875" style="202" customWidth="1"/>
    <col min="4867" max="4867" width="73.5" style="202" customWidth="1"/>
    <col min="4868" max="5120" width="10.69921875" style="202"/>
    <col min="5121" max="5122" width="8.796875" style="202" customWidth="1"/>
    <col min="5123" max="5123" width="73.5" style="202" customWidth="1"/>
    <col min="5124" max="5376" width="10.69921875" style="202"/>
    <col min="5377" max="5378" width="8.796875" style="202" customWidth="1"/>
    <col min="5379" max="5379" width="73.5" style="202" customWidth="1"/>
    <col min="5380" max="5632" width="10.69921875" style="202"/>
    <col min="5633" max="5634" width="8.796875" style="202" customWidth="1"/>
    <col min="5635" max="5635" width="73.5" style="202" customWidth="1"/>
    <col min="5636" max="5888" width="10.69921875" style="202"/>
    <col min="5889" max="5890" width="8.796875" style="202" customWidth="1"/>
    <col min="5891" max="5891" width="73.5" style="202" customWidth="1"/>
    <col min="5892" max="6144" width="10.69921875" style="202"/>
    <col min="6145" max="6146" width="8.796875" style="202" customWidth="1"/>
    <col min="6147" max="6147" width="73.5" style="202" customWidth="1"/>
    <col min="6148" max="6400" width="10.69921875" style="202"/>
    <col min="6401" max="6402" width="8.796875" style="202" customWidth="1"/>
    <col min="6403" max="6403" width="73.5" style="202" customWidth="1"/>
    <col min="6404" max="6656" width="10.69921875" style="202"/>
    <col min="6657" max="6658" width="8.796875" style="202" customWidth="1"/>
    <col min="6659" max="6659" width="73.5" style="202" customWidth="1"/>
    <col min="6660" max="6912" width="10.69921875" style="202"/>
    <col min="6913" max="6914" width="8.796875" style="202" customWidth="1"/>
    <col min="6915" max="6915" width="73.5" style="202" customWidth="1"/>
    <col min="6916" max="7168" width="10.69921875" style="202"/>
    <col min="7169" max="7170" width="8.796875" style="202" customWidth="1"/>
    <col min="7171" max="7171" width="73.5" style="202" customWidth="1"/>
    <col min="7172" max="7424" width="10.69921875" style="202"/>
    <col min="7425" max="7426" width="8.796875" style="202" customWidth="1"/>
    <col min="7427" max="7427" width="73.5" style="202" customWidth="1"/>
    <col min="7428" max="7680" width="10.69921875" style="202"/>
    <col min="7681" max="7682" width="8.796875" style="202" customWidth="1"/>
    <col min="7683" max="7683" width="73.5" style="202" customWidth="1"/>
    <col min="7684" max="7936" width="10.69921875" style="202"/>
    <col min="7937" max="7938" width="8.796875" style="202" customWidth="1"/>
    <col min="7939" max="7939" width="73.5" style="202" customWidth="1"/>
    <col min="7940" max="8192" width="10.69921875" style="202"/>
    <col min="8193" max="8194" width="8.796875" style="202" customWidth="1"/>
    <col min="8195" max="8195" width="73.5" style="202" customWidth="1"/>
    <col min="8196" max="8448" width="10.69921875" style="202"/>
    <col min="8449" max="8450" width="8.796875" style="202" customWidth="1"/>
    <col min="8451" max="8451" width="73.5" style="202" customWidth="1"/>
    <col min="8452" max="8704" width="10.69921875" style="202"/>
    <col min="8705" max="8706" width="8.796875" style="202" customWidth="1"/>
    <col min="8707" max="8707" width="73.5" style="202" customWidth="1"/>
    <col min="8708" max="8960" width="10.69921875" style="202"/>
    <col min="8961" max="8962" width="8.796875" style="202" customWidth="1"/>
    <col min="8963" max="8963" width="73.5" style="202" customWidth="1"/>
    <col min="8964" max="9216" width="10.69921875" style="202"/>
    <col min="9217" max="9218" width="8.796875" style="202" customWidth="1"/>
    <col min="9219" max="9219" width="73.5" style="202" customWidth="1"/>
    <col min="9220" max="9472" width="10.69921875" style="202"/>
    <col min="9473" max="9474" width="8.796875" style="202" customWidth="1"/>
    <col min="9475" max="9475" width="73.5" style="202" customWidth="1"/>
    <col min="9476" max="9728" width="10.69921875" style="202"/>
    <col min="9729" max="9730" width="8.796875" style="202" customWidth="1"/>
    <col min="9731" max="9731" width="73.5" style="202" customWidth="1"/>
    <col min="9732" max="9984" width="10.69921875" style="202"/>
    <col min="9985" max="9986" width="8.796875" style="202" customWidth="1"/>
    <col min="9987" max="9987" width="73.5" style="202" customWidth="1"/>
    <col min="9988" max="10240" width="10.69921875" style="202"/>
    <col min="10241" max="10242" width="8.796875" style="202" customWidth="1"/>
    <col min="10243" max="10243" width="73.5" style="202" customWidth="1"/>
    <col min="10244" max="10496" width="10.69921875" style="202"/>
    <col min="10497" max="10498" width="8.796875" style="202" customWidth="1"/>
    <col min="10499" max="10499" width="73.5" style="202" customWidth="1"/>
    <col min="10500" max="10752" width="10.69921875" style="202"/>
    <col min="10753" max="10754" width="8.796875" style="202" customWidth="1"/>
    <col min="10755" max="10755" width="73.5" style="202" customWidth="1"/>
    <col min="10756" max="11008" width="10.69921875" style="202"/>
    <col min="11009" max="11010" width="8.796875" style="202" customWidth="1"/>
    <col min="11011" max="11011" width="73.5" style="202" customWidth="1"/>
    <col min="11012" max="11264" width="10.69921875" style="202"/>
    <col min="11265" max="11266" width="8.796875" style="202" customWidth="1"/>
    <col min="11267" max="11267" width="73.5" style="202" customWidth="1"/>
    <col min="11268" max="11520" width="10.69921875" style="202"/>
    <col min="11521" max="11522" width="8.796875" style="202" customWidth="1"/>
    <col min="11523" max="11523" width="73.5" style="202" customWidth="1"/>
    <col min="11524" max="11776" width="10.69921875" style="202"/>
    <col min="11777" max="11778" width="8.796875" style="202" customWidth="1"/>
    <col min="11779" max="11779" width="73.5" style="202" customWidth="1"/>
    <col min="11780" max="12032" width="10.69921875" style="202"/>
    <col min="12033" max="12034" width="8.796875" style="202" customWidth="1"/>
    <col min="12035" max="12035" width="73.5" style="202" customWidth="1"/>
    <col min="12036" max="12288" width="10.69921875" style="202"/>
    <col min="12289" max="12290" width="8.796875" style="202" customWidth="1"/>
    <col min="12291" max="12291" width="73.5" style="202" customWidth="1"/>
    <col min="12292" max="12544" width="10.69921875" style="202"/>
    <col min="12545" max="12546" width="8.796875" style="202" customWidth="1"/>
    <col min="12547" max="12547" width="73.5" style="202" customWidth="1"/>
    <col min="12548" max="12800" width="10.69921875" style="202"/>
    <col min="12801" max="12802" width="8.796875" style="202" customWidth="1"/>
    <col min="12803" max="12803" width="73.5" style="202" customWidth="1"/>
    <col min="12804" max="13056" width="10.69921875" style="202"/>
    <col min="13057" max="13058" width="8.796875" style="202" customWidth="1"/>
    <col min="13059" max="13059" width="73.5" style="202" customWidth="1"/>
    <col min="13060" max="13312" width="10.69921875" style="202"/>
    <col min="13313" max="13314" width="8.796875" style="202" customWidth="1"/>
    <col min="13315" max="13315" width="73.5" style="202" customWidth="1"/>
    <col min="13316" max="13568" width="10.69921875" style="202"/>
    <col min="13569" max="13570" width="8.796875" style="202" customWidth="1"/>
    <col min="13571" max="13571" width="73.5" style="202" customWidth="1"/>
    <col min="13572" max="13824" width="10.69921875" style="202"/>
    <col min="13825" max="13826" width="8.796875" style="202" customWidth="1"/>
    <col min="13827" max="13827" width="73.5" style="202" customWidth="1"/>
    <col min="13828" max="14080" width="10.69921875" style="202"/>
    <col min="14081" max="14082" width="8.796875" style="202" customWidth="1"/>
    <col min="14083" max="14083" width="73.5" style="202" customWidth="1"/>
    <col min="14084" max="14336" width="10.69921875" style="202"/>
    <col min="14337" max="14338" width="8.796875" style="202" customWidth="1"/>
    <col min="14339" max="14339" width="73.5" style="202" customWidth="1"/>
    <col min="14340" max="14592" width="10.69921875" style="202"/>
    <col min="14593" max="14594" width="8.796875" style="202" customWidth="1"/>
    <col min="14595" max="14595" width="73.5" style="202" customWidth="1"/>
    <col min="14596" max="14848" width="10.69921875" style="202"/>
    <col min="14849" max="14850" width="8.796875" style="202" customWidth="1"/>
    <col min="14851" max="14851" width="73.5" style="202" customWidth="1"/>
    <col min="14852" max="15104" width="10.69921875" style="202"/>
    <col min="15105" max="15106" width="8.796875" style="202" customWidth="1"/>
    <col min="15107" max="15107" width="73.5" style="202" customWidth="1"/>
    <col min="15108" max="15360" width="10.69921875" style="202"/>
    <col min="15361" max="15362" width="8.796875" style="202" customWidth="1"/>
    <col min="15363" max="15363" width="73.5" style="202" customWidth="1"/>
    <col min="15364" max="15616" width="10.69921875" style="202"/>
    <col min="15617" max="15618" width="8.796875" style="202" customWidth="1"/>
    <col min="15619" max="15619" width="73.5" style="202" customWidth="1"/>
    <col min="15620" max="15872" width="10.69921875" style="202"/>
    <col min="15873" max="15874" width="8.796875" style="202" customWidth="1"/>
    <col min="15875" max="15875" width="73.5" style="202" customWidth="1"/>
    <col min="15876" max="16128" width="10.69921875" style="202"/>
    <col min="16129" max="16130" width="8.796875" style="202" customWidth="1"/>
    <col min="16131" max="16131" width="73.5" style="202" customWidth="1"/>
    <col min="16132" max="16384" width="10.69921875" style="202"/>
  </cols>
  <sheetData>
    <row r="1" spans="1:3" x14ac:dyDescent="0.3">
      <c r="A1" s="706" t="s">
        <v>643</v>
      </c>
      <c r="B1" s="707"/>
      <c r="C1" s="708"/>
    </row>
    <row r="2" spans="1:3" ht="41.25" customHeight="1" x14ac:dyDescent="0.3">
      <c r="A2" s="709"/>
      <c r="B2" s="710"/>
      <c r="C2" s="711"/>
    </row>
    <row r="4" spans="1:3" s="215" customFormat="1" ht="30" x14ac:dyDescent="0.3">
      <c r="A4" s="353" t="s">
        <v>638</v>
      </c>
      <c r="B4" s="353" t="s">
        <v>639</v>
      </c>
      <c r="C4" s="353" t="s">
        <v>640</v>
      </c>
    </row>
    <row r="5" spans="1:3" s="203" customFormat="1" ht="24" customHeight="1" x14ac:dyDescent="0.3">
      <c r="A5" s="354" t="s">
        <v>641</v>
      </c>
      <c r="B5" s="355"/>
      <c r="C5" s="356" t="s">
        <v>384</v>
      </c>
    </row>
    <row r="6" spans="1:3" s="203" customFormat="1" ht="24" customHeight="1" x14ac:dyDescent="0.3">
      <c r="A6" s="354" t="s">
        <v>642</v>
      </c>
      <c r="B6" s="355"/>
      <c r="C6" s="356" t="s">
        <v>644</v>
      </c>
    </row>
    <row r="7" spans="1:3" s="203" customFormat="1" ht="24" customHeight="1" x14ac:dyDescent="0.3">
      <c r="A7" s="354"/>
      <c r="B7" s="355" t="s">
        <v>10</v>
      </c>
      <c r="C7" s="357" t="s">
        <v>403</v>
      </c>
    </row>
    <row r="8" spans="1:3" s="203" customFormat="1" ht="24" customHeight="1" x14ac:dyDescent="0.3">
      <c r="A8" s="354" t="s">
        <v>391</v>
      </c>
      <c r="B8" s="355"/>
      <c r="C8" s="356" t="s">
        <v>645</v>
      </c>
    </row>
    <row r="9" spans="1:3" s="203" customFormat="1" ht="24" customHeight="1" x14ac:dyDescent="0.3">
      <c r="A9" s="355"/>
      <c r="B9" s="355" t="s">
        <v>10</v>
      </c>
      <c r="C9" s="357" t="s">
        <v>430</v>
      </c>
    </row>
    <row r="10" spans="1:3" s="203" customFormat="1" ht="19.5" customHeight="1" x14ac:dyDescent="0.3">
      <c r="A10" s="216"/>
      <c r="B10" s="216"/>
      <c r="C10" s="217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view="pageLayout" topLeftCell="B1" zoomScaleNormal="100" workbookViewId="0">
      <selection activeCell="E5" sqref="E5"/>
    </sheetView>
  </sheetViews>
  <sheetFormatPr defaultRowHeight="13" x14ac:dyDescent="0.3"/>
  <cols>
    <col min="1" max="1" width="34.796875" style="50" customWidth="1"/>
    <col min="2" max="2" width="16" style="50" customWidth="1"/>
    <col min="3" max="6" width="16.5" style="50" customWidth="1"/>
    <col min="7" max="7" width="13.796875" style="50" customWidth="1"/>
    <col min="8" max="257" width="9.296875" style="50"/>
    <col min="258" max="258" width="34.796875" style="50" customWidth="1"/>
    <col min="259" max="262" width="16.5" style="50" customWidth="1"/>
    <col min="263" max="263" width="13.796875" style="50" customWidth="1"/>
    <col min="264" max="513" width="9.296875" style="50"/>
    <col min="514" max="514" width="34.796875" style="50" customWidth="1"/>
    <col min="515" max="518" width="16.5" style="50" customWidth="1"/>
    <col min="519" max="519" width="13.796875" style="50" customWidth="1"/>
    <col min="520" max="769" width="9.296875" style="50"/>
    <col min="770" max="770" width="34.796875" style="50" customWidth="1"/>
    <col min="771" max="774" width="16.5" style="50" customWidth="1"/>
    <col min="775" max="775" width="13.796875" style="50" customWidth="1"/>
    <col min="776" max="1025" width="9.296875" style="50"/>
    <col min="1026" max="1026" width="34.796875" style="50" customWidth="1"/>
    <col min="1027" max="1030" width="16.5" style="50" customWidth="1"/>
    <col min="1031" max="1031" width="13.796875" style="50" customWidth="1"/>
    <col min="1032" max="1281" width="9.296875" style="50"/>
    <col min="1282" max="1282" width="34.796875" style="50" customWidth="1"/>
    <col min="1283" max="1286" width="16.5" style="50" customWidth="1"/>
    <col min="1287" max="1287" width="13.796875" style="50" customWidth="1"/>
    <col min="1288" max="1537" width="9.296875" style="50"/>
    <col min="1538" max="1538" width="34.796875" style="50" customWidth="1"/>
    <col min="1539" max="1542" width="16.5" style="50" customWidth="1"/>
    <col min="1543" max="1543" width="13.796875" style="50" customWidth="1"/>
    <col min="1544" max="1793" width="9.296875" style="50"/>
    <col min="1794" max="1794" width="34.796875" style="50" customWidth="1"/>
    <col min="1795" max="1798" width="16.5" style="50" customWidth="1"/>
    <col min="1799" max="1799" width="13.796875" style="50" customWidth="1"/>
    <col min="1800" max="2049" width="9.296875" style="50"/>
    <col min="2050" max="2050" width="34.796875" style="50" customWidth="1"/>
    <col min="2051" max="2054" width="16.5" style="50" customWidth="1"/>
    <col min="2055" max="2055" width="13.796875" style="50" customWidth="1"/>
    <col min="2056" max="2305" width="9.296875" style="50"/>
    <col min="2306" max="2306" width="34.796875" style="50" customWidth="1"/>
    <col min="2307" max="2310" width="16.5" style="50" customWidth="1"/>
    <col min="2311" max="2311" width="13.796875" style="50" customWidth="1"/>
    <col min="2312" max="2561" width="9.296875" style="50"/>
    <col min="2562" max="2562" width="34.796875" style="50" customWidth="1"/>
    <col min="2563" max="2566" width="16.5" style="50" customWidth="1"/>
    <col min="2567" max="2567" width="13.796875" style="50" customWidth="1"/>
    <col min="2568" max="2817" width="9.296875" style="50"/>
    <col min="2818" max="2818" width="34.796875" style="50" customWidth="1"/>
    <col min="2819" max="2822" width="16.5" style="50" customWidth="1"/>
    <col min="2823" max="2823" width="13.796875" style="50" customWidth="1"/>
    <col min="2824" max="3073" width="9.296875" style="50"/>
    <col min="3074" max="3074" width="34.796875" style="50" customWidth="1"/>
    <col min="3075" max="3078" width="16.5" style="50" customWidth="1"/>
    <col min="3079" max="3079" width="13.796875" style="50" customWidth="1"/>
    <col min="3080" max="3329" width="9.296875" style="50"/>
    <col min="3330" max="3330" width="34.796875" style="50" customWidth="1"/>
    <col min="3331" max="3334" width="16.5" style="50" customWidth="1"/>
    <col min="3335" max="3335" width="13.796875" style="50" customWidth="1"/>
    <col min="3336" max="3585" width="9.296875" style="50"/>
    <col min="3586" max="3586" width="34.796875" style="50" customWidth="1"/>
    <col min="3587" max="3590" width="16.5" style="50" customWidth="1"/>
    <col min="3591" max="3591" width="13.796875" style="50" customWidth="1"/>
    <col min="3592" max="3841" width="9.296875" style="50"/>
    <col min="3842" max="3842" width="34.796875" style="50" customWidth="1"/>
    <col min="3843" max="3846" width="16.5" style="50" customWidth="1"/>
    <col min="3847" max="3847" width="13.796875" style="50" customWidth="1"/>
    <col min="3848" max="4097" width="9.296875" style="50"/>
    <col min="4098" max="4098" width="34.796875" style="50" customWidth="1"/>
    <col min="4099" max="4102" width="16.5" style="50" customWidth="1"/>
    <col min="4103" max="4103" width="13.796875" style="50" customWidth="1"/>
    <col min="4104" max="4353" width="9.296875" style="50"/>
    <col min="4354" max="4354" width="34.796875" style="50" customWidth="1"/>
    <col min="4355" max="4358" width="16.5" style="50" customWidth="1"/>
    <col min="4359" max="4359" width="13.796875" style="50" customWidth="1"/>
    <col min="4360" max="4609" width="9.296875" style="50"/>
    <col min="4610" max="4610" width="34.796875" style="50" customWidth="1"/>
    <col min="4611" max="4614" width="16.5" style="50" customWidth="1"/>
    <col min="4615" max="4615" width="13.796875" style="50" customWidth="1"/>
    <col min="4616" max="4865" width="9.296875" style="50"/>
    <col min="4866" max="4866" width="34.796875" style="50" customWidth="1"/>
    <col min="4867" max="4870" width="16.5" style="50" customWidth="1"/>
    <col min="4871" max="4871" width="13.796875" style="50" customWidth="1"/>
    <col min="4872" max="5121" width="9.296875" style="50"/>
    <col min="5122" max="5122" width="34.796875" style="50" customWidth="1"/>
    <col min="5123" max="5126" width="16.5" style="50" customWidth="1"/>
    <col min="5127" max="5127" width="13.796875" style="50" customWidth="1"/>
    <col min="5128" max="5377" width="9.296875" style="50"/>
    <col min="5378" max="5378" width="34.796875" style="50" customWidth="1"/>
    <col min="5379" max="5382" width="16.5" style="50" customWidth="1"/>
    <col min="5383" max="5383" width="13.796875" style="50" customWidth="1"/>
    <col min="5384" max="5633" width="9.296875" style="50"/>
    <col min="5634" max="5634" width="34.796875" style="50" customWidth="1"/>
    <col min="5635" max="5638" width="16.5" style="50" customWidth="1"/>
    <col min="5639" max="5639" width="13.796875" style="50" customWidth="1"/>
    <col min="5640" max="5889" width="9.296875" style="50"/>
    <col min="5890" max="5890" width="34.796875" style="50" customWidth="1"/>
    <col min="5891" max="5894" width="16.5" style="50" customWidth="1"/>
    <col min="5895" max="5895" width="13.796875" style="50" customWidth="1"/>
    <col min="5896" max="6145" width="9.296875" style="50"/>
    <col min="6146" max="6146" width="34.796875" style="50" customWidth="1"/>
    <col min="6147" max="6150" width="16.5" style="50" customWidth="1"/>
    <col min="6151" max="6151" width="13.796875" style="50" customWidth="1"/>
    <col min="6152" max="6401" width="9.296875" style="50"/>
    <col min="6402" max="6402" width="34.796875" style="50" customWidth="1"/>
    <col min="6403" max="6406" width="16.5" style="50" customWidth="1"/>
    <col min="6407" max="6407" width="13.796875" style="50" customWidth="1"/>
    <col min="6408" max="6657" width="9.296875" style="50"/>
    <col min="6658" max="6658" width="34.796875" style="50" customWidth="1"/>
    <col min="6659" max="6662" width="16.5" style="50" customWidth="1"/>
    <col min="6663" max="6663" width="13.796875" style="50" customWidth="1"/>
    <col min="6664" max="6913" width="9.296875" style="50"/>
    <col min="6914" max="6914" width="34.796875" style="50" customWidth="1"/>
    <col min="6915" max="6918" width="16.5" style="50" customWidth="1"/>
    <col min="6919" max="6919" width="13.796875" style="50" customWidth="1"/>
    <col min="6920" max="7169" width="9.296875" style="50"/>
    <col min="7170" max="7170" width="34.796875" style="50" customWidth="1"/>
    <col min="7171" max="7174" width="16.5" style="50" customWidth="1"/>
    <col min="7175" max="7175" width="13.796875" style="50" customWidth="1"/>
    <col min="7176" max="7425" width="9.296875" style="50"/>
    <col min="7426" max="7426" width="34.796875" style="50" customWidth="1"/>
    <col min="7427" max="7430" width="16.5" style="50" customWidth="1"/>
    <col min="7431" max="7431" width="13.796875" style="50" customWidth="1"/>
    <col min="7432" max="7681" width="9.296875" style="50"/>
    <col min="7682" max="7682" width="34.796875" style="50" customWidth="1"/>
    <col min="7683" max="7686" width="16.5" style="50" customWidth="1"/>
    <col min="7687" max="7687" width="13.796875" style="50" customWidth="1"/>
    <col min="7688" max="7937" width="9.296875" style="50"/>
    <col min="7938" max="7938" width="34.796875" style="50" customWidth="1"/>
    <col min="7939" max="7942" width="16.5" style="50" customWidth="1"/>
    <col min="7943" max="7943" width="13.796875" style="50" customWidth="1"/>
    <col min="7944" max="8193" width="9.296875" style="50"/>
    <col min="8194" max="8194" width="34.796875" style="50" customWidth="1"/>
    <col min="8195" max="8198" width="16.5" style="50" customWidth="1"/>
    <col min="8199" max="8199" width="13.796875" style="50" customWidth="1"/>
    <col min="8200" max="8449" width="9.296875" style="50"/>
    <col min="8450" max="8450" width="34.796875" style="50" customWidth="1"/>
    <col min="8451" max="8454" width="16.5" style="50" customWidth="1"/>
    <col min="8455" max="8455" width="13.796875" style="50" customWidth="1"/>
    <col min="8456" max="8705" width="9.296875" style="50"/>
    <col min="8706" max="8706" width="34.796875" style="50" customWidth="1"/>
    <col min="8707" max="8710" width="16.5" style="50" customWidth="1"/>
    <col min="8711" max="8711" width="13.796875" style="50" customWidth="1"/>
    <col min="8712" max="8961" width="9.296875" style="50"/>
    <col min="8962" max="8962" width="34.796875" style="50" customWidth="1"/>
    <col min="8963" max="8966" width="16.5" style="50" customWidth="1"/>
    <col min="8967" max="8967" width="13.796875" style="50" customWidth="1"/>
    <col min="8968" max="9217" width="9.296875" style="50"/>
    <col min="9218" max="9218" width="34.796875" style="50" customWidth="1"/>
    <col min="9219" max="9222" width="16.5" style="50" customWidth="1"/>
    <col min="9223" max="9223" width="13.796875" style="50" customWidth="1"/>
    <col min="9224" max="9473" width="9.296875" style="50"/>
    <col min="9474" max="9474" width="34.796875" style="50" customWidth="1"/>
    <col min="9475" max="9478" width="16.5" style="50" customWidth="1"/>
    <col min="9479" max="9479" width="13.796875" style="50" customWidth="1"/>
    <col min="9480" max="9729" width="9.296875" style="50"/>
    <col min="9730" max="9730" width="34.796875" style="50" customWidth="1"/>
    <col min="9731" max="9734" width="16.5" style="50" customWidth="1"/>
    <col min="9735" max="9735" width="13.796875" style="50" customWidth="1"/>
    <col min="9736" max="9985" width="9.296875" style="50"/>
    <col min="9986" max="9986" width="34.796875" style="50" customWidth="1"/>
    <col min="9987" max="9990" width="16.5" style="50" customWidth="1"/>
    <col min="9991" max="9991" width="13.796875" style="50" customWidth="1"/>
    <col min="9992" max="10241" width="9.296875" style="50"/>
    <col min="10242" max="10242" width="34.796875" style="50" customWidth="1"/>
    <col min="10243" max="10246" width="16.5" style="50" customWidth="1"/>
    <col min="10247" max="10247" width="13.796875" style="50" customWidth="1"/>
    <col min="10248" max="10497" width="9.296875" style="50"/>
    <col min="10498" max="10498" width="34.796875" style="50" customWidth="1"/>
    <col min="10499" max="10502" width="16.5" style="50" customWidth="1"/>
    <col min="10503" max="10503" width="13.796875" style="50" customWidth="1"/>
    <col min="10504" max="10753" width="9.296875" style="50"/>
    <col min="10754" max="10754" width="34.796875" style="50" customWidth="1"/>
    <col min="10755" max="10758" width="16.5" style="50" customWidth="1"/>
    <col min="10759" max="10759" width="13.796875" style="50" customWidth="1"/>
    <col min="10760" max="11009" width="9.296875" style="50"/>
    <col min="11010" max="11010" width="34.796875" style="50" customWidth="1"/>
    <col min="11011" max="11014" width="16.5" style="50" customWidth="1"/>
    <col min="11015" max="11015" width="13.796875" style="50" customWidth="1"/>
    <col min="11016" max="11265" width="9.296875" style="50"/>
    <col min="11266" max="11266" width="34.796875" style="50" customWidth="1"/>
    <col min="11267" max="11270" width="16.5" style="50" customWidth="1"/>
    <col min="11271" max="11271" width="13.796875" style="50" customWidth="1"/>
    <col min="11272" max="11521" width="9.296875" style="50"/>
    <col min="11522" max="11522" width="34.796875" style="50" customWidth="1"/>
    <col min="11523" max="11526" width="16.5" style="50" customWidth="1"/>
    <col min="11527" max="11527" width="13.796875" style="50" customWidth="1"/>
    <col min="11528" max="11777" width="9.296875" style="50"/>
    <col min="11778" max="11778" width="34.796875" style="50" customWidth="1"/>
    <col min="11779" max="11782" width="16.5" style="50" customWidth="1"/>
    <col min="11783" max="11783" width="13.796875" style="50" customWidth="1"/>
    <col min="11784" max="12033" width="9.296875" style="50"/>
    <col min="12034" max="12034" width="34.796875" style="50" customWidth="1"/>
    <col min="12035" max="12038" width="16.5" style="50" customWidth="1"/>
    <col min="12039" max="12039" width="13.796875" style="50" customWidth="1"/>
    <col min="12040" max="12289" width="9.296875" style="50"/>
    <col min="12290" max="12290" width="34.796875" style="50" customWidth="1"/>
    <col min="12291" max="12294" width="16.5" style="50" customWidth="1"/>
    <col min="12295" max="12295" width="13.796875" style="50" customWidth="1"/>
    <col min="12296" max="12545" width="9.296875" style="50"/>
    <col min="12546" max="12546" width="34.796875" style="50" customWidth="1"/>
    <col min="12547" max="12550" width="16.5" style="50" customWidth="1"/>
    <col min="12551" max="12551" width="13.796875" style="50" customWidth="1"/>
    <col min="12552" max="12801" width="9.296875" style="50"/>
    <col min="12802" max="12802" width="34.796875" style="50" customWidth="1"/>
    <col min="12803" max="12806" width="16.5" style="50" customWidth="1"/>
    <col min="12807" max="12807" width="13.796875" style="50" customWidth="1"/>
    <col min="12808" max="13057" width="9.296875" style="50"/>
    <col min="13058" max="13058" width="34.796875" style="50" customWidth="1"/>
    <col min="13059" max="13062" width="16.5" style="50" customWidth="1"/>
    <col min="13063" max="13063" width="13.796875" style="50" customWidth="1"/>
    <col min="13064" max="13313" width="9.296875" style="50"/>
    <col min="13314" max="13314" width="34.796875" style="50" customWidth="1"/>
    <col min="13315" max="13318" width="16.5" style="50" customWidth="1"/>
    <col min="13319" max="13319" width="13.796875" style="50" customWidth="1"/>
    <col min="13320" max="13569" width="9.296875" style="50"/>
    <col min="13570" max="13570" width="34.796875" style="50" customWidth="1"/>
    <col min="13571" max="13574" width="16.5" style="50" customWidth="1"/>
    <col min="13575" max="13575" width="13.796875" style="50" customWidth="1"/>
    <col min="13576" max="13825" width="9.296875" style="50"/>
    <col min="13826" max="13826" width="34.796875" style="50" customWidth="1"/>
    <col min="13827" max="13830" width="16.5" style="50" customWidth="1"/>
    <col min="13831" max="13831" width="13.796875" style="50" customWidth="1"/>
    <col min="13832" max="14081" width="9.296875" style="50"/>
    <col min="14082" max="14082" width="34.796875" style="50" customWidth="1"/>
    <col min="14083" max="14086" width="16.5" style="50" customWidth="1"/>
    <col min="14087" max="14087" width="13.796875" style="50" customWidth="1"/>
    <col min="14088" max="14337" width="9.296875" style="50"/>
    <col min="14338" max="14338" width="34.796875" style="50" customWidth="1"/>
    <col min="14339" max="14342" width="16.5" style="50" customWidth="1"/>
    <col min="14343" max="14343" width="13.796875" style="50" customWidth="1"/>
    <col min="14344" max="14593" width="9.296875" style="50"/>
    <col min="14594" max="14594" width="34.796875" style="50" customWidth="1"/>
    <col min="14595" max="14598" width="16.5" style="50" customWidth="1"/>
    <col min="14599" max="14599" width="13.796875" style="50" customWidth="1"/>
    <col min="14600" max="14849" width="9.296875" style="50"/>
    <col min="14850" max="14850" width="34.796875" style="50" customWidth="1"/>
    <col min="14851" max="14854" width="16.5" style="50" customWidth="1"/>
    <col min="14855" max="14855" width="13.796875" style="50" customWidth="1"/>
    <col min="14856" max="15105" width="9.296875" style="50"/>
    <col min="15106" max="15106" width="34.796875" style="50" customWidth="1"/>
    <col min="15107" max="15110" width="16.5" style="50" customWidth="1"/>
    <col min="15111" max="15111" width="13.796875" style="50" customWidth="1"/>
    <col min="15112" max="15361" width="9.296875" style="50"/>
    <col min="15362" max="15362" width="34.796875" style="50" customWidth="1"/>
    <col min="15363" max="15366" width="16.5" style="50" customWidth="1"/>
    <col min="15367" max="15367" width="13.796875" style="50" customWidth="1"/>
    <col min="15368" max="15617" width="9.296875" style="50"/>
    <col min="15618" max="15618" width="34.796875" style="50" customWidth="1"/>
    <col min="15619" max="15622" width="16.5" style="50" customWidth="1"/>
    <col min="15623" max="15623" width="13.796875" style="50" customWidth="1"/>
    <col min="15624" max="15873" width="9.296875" style="50"/>
    <col min="15874" max="15874" width="34.796875" style="50" customWidth="1"/>
    <col min="15875" max="15878" width="16.5" style="50" customWidth="1"/>
    <col min="15879" max="15879" width="13.796875" style="50" customWidth="1"/>
    <col min="15880" max="16129" width="9.296875" style="50"/>
    <col min="16130" max="16130" width="34.796875" style="50" customWidth="1"/>
    <col min="16131" max="16134" width="16.5" style="50" customWidth="1"/>
    <col min="16135" max="16135" width="13.796875" style="50" customWidth="1"/>
    <col min="16136" max="16384" width="9.296875" style="50"/>
  </cols>
  <sheetData>
    <row r="1" spans="1:11" ht="39.75" customHeight="1" x14ac:dyDescent="0.3">
      <c r="A1" s="751" t="s">
        <v>451</v>
      </c>
      <c r="B1" s="751"/>
      <c r="C1" s="751"/>
      <c r="D1" s="751"/>
      <c r="E1" s="751"/>
      <c r="F1" s="751"/>
      <c r="G1" s="49"/>
    </row>
    <row r="2" spans="1:11" ht="16.5" customHeight="1" x14ac:dyDescent="0.3">
      <c r="A2" s="51"/>
      <c r="B2" s="752"/>
      <c r="C2" s="752"/>
      <c r="D2" s="52"/>
      <c r="E2" s="52"/>
      <c r="F2" s="52"/>
      <c r="G2" s="52"/>
    </row>
    <row r="3" spans="1:11" ht="15.75" customHeight="1" x14ac:dyDescent="0.35">
      <c r="A3" s="53" t="s">
        <v>431</v>
      </c>
      <c r="B3" s="747" t="s">
        <v>607</v>
      </c>
      <c r="C3" s="747"/>
      <c r="D3" s="747"/>
      <c r="E3" s="747"/>
      <c r="F3" s="747"/>
      <c r="G3" s="55"/>
      <c r="H3" s="56"/>
      <c r="I3" s="56"/>
      <c r="J3" s="56"/>
      <c r="K3" s="56"/>
    </row>
    <row r="4" spans="1:11" ht="15" customHeight="1" x14ac:dyDescent="0.3">
      <c r="A4" s="53" t="s">
        <v>432</v>
      </c>
      <c r="B4" s="747" t="s">
        <v>608</v>
      </c>
      <c r="C4" s="747"/>
      <c r="D4" s="747"/>
      <c r="E4" s="747"/>
      <c r="F4" s="747"/>
      <c r="G4" s="57"/>
      <c r="H4" s="56"/>
      <c r="I4" s="56"/>
      <c r="J4" s="56"/>
      <c r="K4" s="56"/>
    </row>
    <row r="5" spans="1:11" ht="15.5" x14ac:dyDescent="0.3">
      <c r="A5" s="53" t="s">
        <v>908</v>
      </c>
      <c r="B5" s="753">
        <v>322750000</v>
      </c>
      <c r="C5" s="753"/>
      <c r="D5" s="189"/>
      <c r="E5" s="187"/>
      <c r="F5" s="54"/>
      <c r="G5" s="58"/>
      <c r="H5" s="56"/>
      <c r="I5" s="56"/>
      <c r="J5" s="56"/>
      <c r="K5" s="56"/>
    </row>
    <row r="6" spans="1:11" ht="15.75" customHeight="1" x14ac:dyDescent="0.3">
      <c r="A6" s="53" t="s">
        <v>612</v>
      </c>
      <c r="B6" s="753" t="s">
        <v>613</v>
      </c>
      <c r="C6" s="753"/>
      <c r="D6" s="753"/>
      <c r="E6" s="72">
        <f>B5-E7</f>
        <v>266923820</v>
      </c>
      <c r="F6" s="54" t="s">
        <v>395</v>
      </c>
      <c r="G6" s="58"/>
      <c r="H6" s="56"/>
      <c r="I6" s="56"/>
      <c r="J6" s="56"/>
      <c r="K6" s="56"/>
    </row>
    <row r="7" spans="1:11" ht="15.5" x14ac:dyDescent="0.3">
      <c r="A7" s="53"/>
      <c r="B7" s="753" t="s">
        <v>384</v>
      </c>
      <c r="C7" s="753"/>
      <c r="D7" s="753"/>
      <c r="E7" s="72">
        <v>55826180</v>
      </c>
      <c r="F7" s="54" t="s">
        <v>395</v>
      </c>
      <c r="G7" s="58"/>
      <c r="H7" s="56"/>
      <c r="I7" s="56"/>
      <c r="J7" s="56"/>
      <c r="K7" s="56"/>
    </row>
    <row r="8" spans="1:11" ht="15.5" x14ac:dyDescent="0.3">
      <c r="A8" s="53" t="s">
        <v>433</v>
      </c>
      <c r="B8" s="748">
        <v>1</v>
      </c>
      <c r="C8" s="748"/>
      <c r="D8" s="59"/>
      <c r="E8" s="186"/>
      <c r="F8" s="54"/>
      <c r="G8" s="60"/>
      <c r="H8" s="56"/>
      <c r="I8" s="56"/>
      <c r="J8" s="56"/>
      <c r="K8" s="56"/>
    </row>
    <row r="9" spans="1:11" ht="15.5" x14ac:dyDescent="0.3">
      <c r="A9" s="53" t="s">
        <v>434</v>
      </c>
      <c r="B9" s="749">
        <v>42736</v>
      </c>
      <c r="C9" s="750"/>
      <c r="D9" s="61"/>
      <c r="E9" s="188"/>
      <c r="F9" s="54"/>
      <c r="G9" s="58"/>
      <c r="H9" s="56"/>
      <c r="I9" s="56"/>
      <c r="J9" s="56"/>
      <c r="K9" s="56"/>
    </row>
    <row r="10" spans="1:11" ht="15.5" x14ac:dyDescent="0.3">
      <c r="A10" s="53" t="s">
        <v>435</v>
      </c>
      <c r="B10" s="749">
        <v>43830</v>
      </c>
      <c r="C10" s="750"/>
      <c r="D10" s="61"/>
      <c r="E10" s="188"/>
      <c r="F10" s="54"/>
      <c r="G10" s="58"/>
      <c r="H10" s="56"/>
      <c r="I10" s="56"/>
      <c r="J10" s="56"/>
      <c r="K10" s="56"/>
    </row>
    <row r="11" spans="1:11" x14ac:dyDescent="0.3">
      <c r="A11" s="62"/>
      <c r="B11" s="63"/>
      <c r="C11" s="63"/>
      <c r="D11" s="63"/>
      <c r="E11" s="63"/>
      <c r="F11" s="64" t="s">
        <v>865</v>
      </c>
      <c r="G11" s="58"/>
      <c r="H11" s="56"/>
      <c r="I11" s="56"/>
      <c r="J11" s="56"/>
      <c r="K11" s="56"/>
    </row>
    <row r="12" spans="1:11" ht="39" x14ac:dyDescent="0.3">
      <c r="A12" s="467" t="s">
        <v>267</v>
      </c>
      <c r="B12" s="468" t="s">
        <v>436</v>
      </c>
      <c r="C12" s="467" t="s">
        <v>437</v>
      </c>
      <c r="D12" s="467" t="s">
        <v>438</v>
      </c>
      <c r="E12" s="467" t="s">
        <v>609</v>
      </c>
      <c r="F12" s="467" t="s">
        <v>408</v>
      </c>
      <c r="G12" s="58"/>
      <c r="H12" s="56"/>
      <c r="I12" s="56"/>
      <c r="J12" s="56"/>
      <c r="K12" s="56"/>
    </row>
    <row r="13" spans="1:11" x14ac:dyDescent="0.3">
      <c r="A13" s="468" t="s">
        <v>439</v>
      </c>
      <c r="B13" s="469">
        <f>SUM(B15:B20)</f>
        <v>2857500</v>
      </c>
      <c r="C13" s="469">
        <f>SUM(C15:C20)</f>
        <v>52968680</v>
      </c>
      <c r="D13" s="469"/>
      <c r="E13" s="469"/>
      <c r="F13" s="469">
        <f>SUM(B13:C13)</f>
        <v>55826180</v>
      </c>
      <c r="G13" s="58"/>
      <c r="H13" s="56"/>
      <c r="I13" s="56"/>
      <c r="J13" s="56"/>
      <c r="K13" s="56"/>
    </row>
    <row r="14" spans="1:11" x14ac:dyDescent="0.3">
      <c r="A14" s="470" t="s">
        <v>440</v>
      </c>
      <c r="B14" s="470"/>
      <c r="C14" s="470"/>
      <c r="D14" s="470"/>
      <c r="E14" s="470"/>
      <c r="F14" s="470"/>
      <c r="G14" s="58"/>
      <c r="H14" s="56"/>
      <c r="I14" s="56"/>
      <c r="J14" s="56"/>
      <c r="K14" s="56"/>
    </row>
    <row r="15" spans="1:11" x14ac:dyDescent="0.3">
      <c r="A15" s="471" t="s">
        <v>429</v>
      </c>
      <c r="B15" s="472"/>
      <c r="C15" s="472"/>
      <c r="D15" s="472"/>
      <c r="E15" s="472"/>
      <c r="F15" s="472">
        <f>SUM(B15:E15)</f>
        <v>0</v>
      </c>
      <c r="G15" s="65"/>
      <c r="H15" s="56"/>
      <c r="I15" s="56"/>
      <c r="J15" s="56"/>
      <c r="K15" s="56"/>
    </row>
    <row r="16" spans="1:11" ht="15" customHeight="1" x14ac:dyDescent="0.3">
      <c r="A16" s="471" t="s">
        <v>441</v>
      </c>
      <c r="B16" s="472"/>
      <c r="C16" s="472">
        <v>55826180</v>
      </c>
      <c r="D16" s="472"/>
      <c r="E16" s="472"/>
      <c r="F16" s="472">
        <f t="shared" ref="F16:F20" si="0">SUM(B16:E16)</f>
        <v>55826180</v>
      </c>
      <c r="G16" s="57"/>
      <c r="H16" s="56"/>
      <c r="I16" s="56"/>
      <c r="J16" s="56"/>
      <c r="K16" s="56"/>
    </row>
    <row r="17" spans="1:11" ht="26" x14ac:dyDescent="0.3">
      <c r="A17" s="471" t="s">
        <v>610</v>
      </c>
      <c r="B17" s="472">
        <v>2857500</v>
      </c>
      <c r="C17" s="472">
        <v>-2857500</v>
      </c>
      <c r="D17" s="472"/>
      <c r="E17" s="472"/>
      <c r="F17" s="472">
        <f t="shared" si="0"/>
        <v>0</v>
      </c>
      <c r="G17" s="58"/>
      <c r="H17" s="56"/>
      <c r="I17" s="56"/>
      <c r="J17" s="56"/>
      <c r="K17" s="56"/>
    </row>
    <row r="18" spans="1:11" ht="26" x14ac:dyDescent="0.3">
      <c r="A18" s="471" t="s">
        <v>611</v>
      </c>
      <c r="B18" s="472"/>
      <c r="C18" s="472"/>
      <c r="D18" s="472"/>
      <c r="E18" s="472"/>
      <c r="F18" s="472">
        <f t="shared" si="0"/>
        <v>0</v>
      </c>
      <c r="G18" s="58"/>
      <c r="H18" s="56"/>
      <c r="I18" s="56"/>
      <c r="J18" s="56"/>
      <c r="K18" s="56"/>
    </row>
    <row r="19" spans="1:11" x14ac:dyDescent="0.3">
      <c r="A19" s="471" t="s">
        <v>442</v>
      </c>
      <c r="B19" s="472"/>
      <c r="C19" s="472"/>
      <c r="D19" s="472"/>
      <c r="E19" s="472"/>
      <c r="F19" s="472">
        <f t="shared" si="0"/>
        <v>0</v>
      </c>
      <c r="G19" s="58"/>
      <c r="H19" s="56"/>
      <c r="I19" s="56"/>
      <c r="J19" s="56"/>
      <c r="K19" s="56"/>
    </row>
    <row r="20" spans="1:11" x14ac:dyDescent="0.3">
      <c r="A20" s="471" t="s">
        <v>443</v>
      </c>
      <c r="B20" s="472"/>
      <c r="C20" s="472"/>
      <c r="D20" s="472"/>
      <c r="E20" s="472"/>
      <c r="F20" s="472">
        <f t="shared" si="0"/>
        <v>0</v>
      </c>
      <c r="G20" s="58"/>
      <c r="H20" s="56"/>
      <c r="I20" s="56"/>
      <c r="J20" s="56"/>
      <c r="K20" s="56"/>
    </row>
    <row r="21" spans="1:11" x14ac:dyDescent="0.3">
      <c r="A21" s="471"/>
      <c r="B21" s="472"/>
      <c r="C21" s="472"/>
      <c r="D21" s="472"/>
      <c r="E21" s="472"/>
      <c r="F21" s="472"/>
      <c r="G21" s="58"/>
      <c r="H21" s="56"/>
      <c r="I21" s="56"/>
      <c r="J21" s="56"/>
      <c r="K21" s="56"/>
    </row>
    <row r="22" spans="1:11" x14ac:dyDescent="0.3">
      <c r="A22" s="468" t="s">
        <v>444</v>
      </c>
      <c r="B22" s="473">
        <f>SUM(B24:B29)</f>
        <v>2857500</v>
      </c>
      <c r="C22" s="473">
        <f>SUM(C24:C29)</f>
        <v>35822337</v>
      </c>
      <c r="D22" s="473">
        <f t="shared" ref="D22:E22" si="1">SUM(D24:D29)</f>
        <v>8696669</v>
      </c>
      <c r="E22" s="473">
        <f t="shared" si="1"/>
        <v>8449674</v>
      </c>
      <c r="F22" s="473">
        <f>SUM(F24:F29)</f>
        <v>55826180</v>
      </c>
      <c r="G22" s="58"/>
      <c r="H22" s="56"/>
      <c r="I22" s="56"/>
      <c r="J22" s="56"/>
      <c r="K22" s="56"/>
    </row>
    <row r="23" spans="1:11" x14ac:dyDescent="0.3">
      <c r="A23" s="470" t="s">
        <v>440</v>
      </c>
      <c r="B23" s="470"/>
      <c r="C23" s="470"/>
      <c r="D23" s="470"/>
      <c r="E23" s="470"/>
      <c r="F23" s="470"/>
      <c r="G23" s="58"/>
      <c r="H23" s="56"/>
      <c r="I23" s="56"/>
      <c r="J23" s="56"/>
      <c r="K23" s="56"/>
    </row>
    <row r="24" spans="1:11" x14ac:dyDescent="0.3">
      <c r="A24" s="471" t="s">
        <v>445</v>
      </c>
      <c r="B24" s="474"/>
      <c r="C24" s="474">
        <v>2840025</v>
      </c>
      <c r="D24" s="474">
        <v>2840025</v>
      </c>
      <c r="E24" s="474">
        <v>2840025</v>
      </c>
      <c r="F24" s="472">
        <f>SUM(B24:E24)</f>
        <v>8520075</v>
      </c>
      <c r="G24" s="58"/>
      <c r="H24" s="56"/>
      <c r="I24" s="56"/>
      <c r="J24" s="56"/>
      <c r="K24" s="56"/>
    </row>
    <row r="25" spans="1:11" ht="26" x14ac:dyDescent="0.3">
      <c r="A25" s="471" t="s">
        <v>206</v>
      </c>
      <c r="B25" s="474"/>
      <c r="C25" s="474">
        <v>712800</v>
      </c>
      <c r="D25" s="474">
        <v>712800</v>
      </c>
      <c r="E25" s="474">
        <v>712800</v>
      </c>
      <c r="F25" s="472">
        <f t="shared" ref="F25:F29" si="2">SUM(B25:E25)</f>
        <v>2138400</v>
      </c>
      <c r="G25" s="66"/>
      <c r="H25" s="56"/>
      <c r="I25" s="56"/>
      <c r="J25" s="56"/>
      <c r="K25" s="56"/>
    </row>
    <row r="26" spans="1:11" x14ac:dyDescent="0.3">
      <c r="A26" s="471" t="s">
        <v>446</v>
      </c>
      <c r="B26" s="474">
        <v>2857500</v>
      </c>
      <c r="C26" s="474">
        <f>28291512+2857500</f>
        <v>31149012</v>
      </c>
      <c r="D26" s="474">
        <v>5143844</v>
      </c>
      <c r="E26" s="474">
        <v>4896849</v>
      </c>
      <c r="F26" s="472">
        <f t="shared" si="2"/>
        <v>44047205</v>
      </c>
      <c r="G26" s="67"/>
      <c r="H26" s="56"/>
      <c r="I26" s="56"/>
      <c r="J26" s="56"/>
      <c r="K26" s="56"/>
    </row>
    <row r="27" spans="1:11" ht="13.5" x14ac:dyDescent="0.35">
      <c r="A27" s="471" t="s">
        <v>447</v>
      </c>
      <c r="B27" s="474"/>
      <c r="C27" s="474">
        <v>1120500</v>
      </c>
      <c r="D27" s="474"/>
      <c r="E27" s="474"/>
      <c r="F27" s="472">
        <f t="shared" si="2"/>
        <v>1120500</v>
      </c>
      <c r="G27" s="55"/>
      <c r="H27" s="56"/>
      <c r="I27" s="56"/>
      <c r="J27" s="56"/>
      <c r="K27" s="56"/>
    </row>
    <row r="28" spans="1:11" x14ac:dyDescent="0.3">
      <c r="A28" s="471" t="s">
        <v>448</v>
      </c>
      <c r="B28" s="474"/>
      <c r="C28" s="474"/>
      <c r="D28" s="474"/>
      <c r="E28" s="474"/>
      <c r="F28" s="472">
        <f t="shared" si="2"/>
        <v>0</v>
      </c>
      <c r="G28" s="57"/>
      <c r="H28" s="56"/>
      <c r="I28" s="56"/>
      <c r="J28" s="56"/>
      <c r="K28" s="56"/>
    </row>
    <row r="29" spans="1:11" x14ac:dyDescent="0.3">
      <c r="A29" s="471" t="s">
        <v>235</v>
      </c>
      <c r="B29" s="474"/>
      <c r="C29" s="474"/>
      <c r="D29" s="474"/>
      <c r="E29" s="474"/>
      <c r="F29" s="472">
        <f t="shared" si="2"/>
        <v>0</v>
      </c>
      <c r="G29" s="58"/>
      <c r="H29" s="56"/>
      <c r="I29" s="56"/>
      <c r="J29" s="56"/>
      <c r="K29" s="56"/>
    </row>
    <row r="30" spans="1:11" ht="13.5" x14ac:dyDescent="0.3">
      <c r="A30" s="475" t="s">
        <v>449</v>
      </c>
      <c r="B30" s="476">
        <f>SUM(B15:B17)</f>
        <v>2857500</v>
      </c>
      <c r="C30" s="476">
        <f t="shared" ref="C30:F30" si="3">SUM(C15:C17)</f>
        <v>52968680</v>
      </c>
      <c r="D30" s="476">
        <f t="shared" si="3"/>
        <v>0</v>
      </c>
      <c r="E30" s="476">
        <f t="shared" si="3"/>
        <v>0</v>
      </c>
      <c r="F30" s="476">
        <f t="shared" si="3"/>
        <v>55826180</v>
      </c>
      <c r="G30" s="60"/>
      <c r="H30" s="56"/>
      <c r="I30" s="56"/>
      <c r="J30" s="56"/>
      <c r="K30" s="56"/>
    </row>
    <row r="31" spans="1:11" ht="27" x14ac:dyDescent="0.3">
      <c r="A31" s="475" t="s">
        <v>450</v>
      </c>
      <c r="B31" s="476">
        <f>SUM(B18)</f>
        <v>0</v>
      </c>
      <c r="C31" s="476">
        <f>SUM(C18)</f>
        <v>0</v>
      </c>
      <c r="D31" s="476"/>
      <c r="E31" s="476"/>
      <c r="F31" s="477">
        <f>SUM(B31:C31)</f>
        <v>0</v>
      </c>
      <c r="G31" s="58"/>
      <c r="H31" s="56"/>
      <c r="I31" s="56"/>
      <c r="J31" s="56"/>
      <c r="K31" s="56"/>
    </row>
    <row r="32" spans="1:11" ht="14" x14ac:dyDescent="0.3">
      <c r="A32" s="68"/>
      <c r="B32" s="69"/>
      <c r="C32" s="69"/>
      <c r="D32" s="69"/>
      <c r="E32" s="69"/>
      <c r="F32" s="70"/>
      <c r="G32" s="58"/>
      <c r="H32" s="56"/>
      <c r="I32" s="56"/>
      <c r="J32" s="56"/>
      <c r="K32" s="56"/>
    </row>
    <row r="33" spans="1:11" x14ac:dyDescent="0.3">
      <c r="A33" s="53"/>
      <c r="B33" s="753"/>
      <c r="C33" s="753"/>
      <c r="D33" s="753"/>
      <c r="E33" s="753"/>
      <c r="F33" s="753"/>
      <c r="G33" s="58"/>
      <c r="H33" s="56"/>
      <c r="I33" s="56"/>
      <c r="J33" s="56"/>
      <c r="K33" s="56"/>
    </row>
    <row r="34" spans="1:11" ht="12.75" customHeight="1" x14ac:dyDescent="0.3">
      <c r="A34" s="53" t="s">
        <v>431</v>
      </c>
      <c r="B34" s="747" t="s">
        <v>893</v>
      </c>
      <c r="C34" s="747"/>
      <c r="D34" s="747"/>
      <c r="E34" s="747"/>
      <c r="F34" s="747"/>
      <c r="G34" s="58"/>
      <c r="H34" s="56"/>
      <c r="I34" s="56"/>
      <c r="J34" s="56"/>
      <c r="K34" s="56"/>
    </row>
    <row r="35" spans="1:11" ht="12.75" customHeight="1" x14ac:dyDescent="0.3">
      <c r="A35" s="53" t="s">
        <v>432</v>
      </c>
      <c r="B35" s="747" t="s">
        <v>894</v>
      </c>
      <c r="C35" s="747"/>
      <c r="D35" s="747"/>
      <c r="E35" s="747"/>
      <c r="F35" s="747"/>
      <c r="G35" s="58"/>
      <c r="H35" s="56"/>
      <c r="I35" s="56"/>
      <c r="J35" s="56"/>
      <c r="K35" s="56"/>
    </row>
    <row r="36" spans="1:11" ht="12.75" customHeight="1" x14ac:dyDescent="0.3">
      <c r="A36" s="53" t="s">
        <v>904</v>
      </c>
      <c r="B36" s="747" t="s">
        <v>905</v>
      </c>
      <c r="C36" s="747"/>
      <c r="D36" s="747"/>
      <c r="E36" s="747"/>
      <c r="F36" s="671"/>
      <c r="G36" s="58"/>
      <c r="H36" s="56"/>
      <c r="I36" s="56"/>
      <c r="J36" s="56"/>
      <c r="K36" s="56"/>
    </row>
    <row r="37" spans="1:11" ht="15.5" x14ac:dyDescent="0.3">
      <c r="A37" s="53" t="s">
        <v>908</v>
      </c>
      <c r="B37" s="753">
        <v>60000000</v>
      </c>
      <c r="C37" s="753"/>
      <c r="D37" s="189"/>
      <c r="E37" s="670"/>
      <c r="F37" s="54"/>
      <c r="G37" s="58"/>
      <c r="H37" s="56"/>
      <c r="I37" s="56"/>
      <c r="J37" s="56"/>
      <c r="K37" s="56"/>
    </row>
    <row r="38" spans="1:11" ht="15.5" x14ac:dyDescent="0.3">
      <c r="A38" s="53" t="s">
        <v>897</v>
      </c>
      <c r="B38" s="753" t="s">
        <v>384</v>
      </c>
      <c r="C38" s="753"/>
      <c r="D38" s="189"/>
      <c r="E38" s="670"/>
      <c r="F38" s="54"/>
      <c r="G38" s="58"/>
      <c r="H38" s="56"/>
      <c r="I38" s="56"/>
      <c r="J38" s="56"/>
      <c r="K38" s="56"/>
    </row>
    <row r="39" spans="1:11" ht="15.5" x14ac:dyDescent="0.3">
      <c r="A39" s="53" t="s">
        <v>433</v>
      </c>
      <c r="B39" s="748">
        <v>1</v>
      </c>
      <c r="C39" s="748"/>
      <c r="D39" s="669"/>
      <c r="E39" s="669"/>
      <c r="F39" s="54"/>
      <c r="G39" s="58"/>
      <c r="H39" s="56"/>
      <c r="I39" s="56"/>
      <c r="J39" s="56"/>
      <c r="K39" s="56"/>
    </row>
    <row r="40" spans="1:11" ht="15.5" x14ac:dyDescent="0.3">
      <c r="A40" s="53" t="s">
        <v>434</v>
      </c>
      <c r="B40" s="749" t="s">
        <v>895</v>
      </c>
      <c r="C40" s="750"/>
      <c r="D40" s="672"/>
      <c r="E40" s="672"/>
      <c r="F40" s="54"/>
      <c r="G40" s="58"/>
      <c r="H40" s="56"/>
      <c r="I40" s="56"/>
      <c r="J40" s="56"/>
      <c r="K40" s="56"/>
    </row>
    <row r="41" spans="1:11" ht="15.5" x14ac:dyDescent="0.3">
      <c r="A41" s="53" t="s">
        <v>435</v>
      </c>
      <c r="B41" s="749" t="s">
        <v>896</v>
      </c>
      <c r="C41" s="750"/>
      <c r="D41" s="672"/>
      <c r="E41" s="672"/>
      <c r="F41" s="54"/>
      <c r="G41" s="58"/>
      <c r="H41" s="56"/>
      <c r="I41" s="56"/>
      <c r="J41" s="56"/>
      <c r="K41" s="56"/>
    </row>
    <row r="42" spans="1:11" x14ac:dyDescent="0.3">
      <c r="A42" s="62"/>
      <c r="B42" s="63"/>
      <c r="C42" s="63"/>
      <c r="D42" s="63"/>
      <c r="E42" s="64" t="s">
        <v>865</v>
      </c>
      <c r="G42" s="58"/>
      <c r="H42" s="56"/>
      <c r="I42" s="56"/>
      <c r="J42" s="56"/>
      <c r="K42" s="56"/>
    </row>
    <row r="43" spans="1:11" ht="39" x14ac:dyDescent="0.3">
      <c r="A43" s="467" t="s">
        <v>267</v>
      </c>
      <c r="B43" s="468" t="s">
        <v>436</v>
      </c>
      <c r="C43" s="467" t="s">
        <v>437</v>
      </c>
      <c r="D43" s="467" t="s">
        <v>438</v>
      </c>
      <c r="E43" s="467" t="s">
        <v>408</v>
      </c>
      <c r="F43" s="58"/>
      <c r="G43" s="56"/>
      <c r="H43" s="56"/>
      <c r="I43" s="56"/>
      <c r="J43" s="56"/>
    </row>
    <row r="44" spans="1:11" x14ac:dyDescent="0.3">
      <c r="A44" s="468" t="s">
        <v>439</v>
      </c>
      <c r="B44" s="469" t="s">
        <v>865</v>
      </c>
      <c r="C44" s="469">
        <v>60000000</v>
      </c>
      <c r="D44" s="469"/>
      <c r="E44" s="469">
        <f>SUM(B44:C44)</f>
        <v>60000000</v>
      </c>
      <c r="F44" s="58"/>
      <c r="G44" s="56"/>
      <c r="H44" s="56"/>
      <c r="I44" s="56"/>
      <c r="J44" s="56"/>
    </row>
    <row r="45" spans="1:11" x14ac:dyDescent="0.3">
      <c r="A45" s="470" t="s">
        <v>440</v>
      </c>
      <c r="B45" s="470"/>
      <c r="C45" s="470"/>
      <c r="D45" s="470"/>
      <c r="E45" s="470"/>
      <c r="F45" s="58"/>
      <c r="G45" s="56"/>
      <c r="H45" s="56"/>
      <c r="I45" s="56"/>
      <c r="J45" s="56"/>
    </row>
    <row r="46" spans="1:11" x14ac:dyDescent="0.3">
      <c r="A46" s="471" t="s">
        <v>441</v>
      </c>
      <c r="B46" s="472"/>
      <c r="C46" s="472">
        <v>60000000</v>
      </c>
      <c r="D46" s="472"/>
      <c r="E46" s="472">
        <f>SUM(B46:D46)</f>
        <v>60000000</v>
      </c>
      <c r="F46" s="66"/>
      <c r="G46" s="56"/>
      <c r="H46" s="56"/>
      <c r="I46" s="56"/>
      <c r="J46" s="56"/>
    </row>
    <row r="47" spans="1:11" x14ac:dyDescent="0.3">
      <c r="A47" s="471"/>
      <c r="B47" s="472"/>
      <c r="C47" s="472"/>
      <c r="D47" s="472"/>
      <c r="E47" s="472"/>
      <c r="F47" s="71"/>
      <c r="G47" s="56"/>
      <c r="H47" s="56"/>
      <c r="I47" s="56"/>
      <c r="J47" s="56"/>
    </row>
    <row r="48" spans="1:11" x14ac:dyDescent="0.3">
      <c r="A48" s="468" t="s">
        <v>444</v>
      </c>
      <c r="B48" s="473">
        <v>2603500</v>
      </c>
      <c r="C48" s="473">
        <v>1326968</v>
      </c>
      <c r="D48" s="473">
        <v>56069532</v>
      </c>
      <c r="E48" s="473">
        <v>60000000</v>
      </c>
      <c r="F48" s="73"/>
      <c r="G48" s="56"/>
      <c r="H48" s="56"/>
      <c r="I48" s="56"/>
      <c r="J48" s="56"/>
    </row>
    <row r="49" spans="1:10" x14ac:dyDescent="0.3">
      <c r="A49" s="470" t="s">
        <v>440</v>
      </c>
      <c r="B49" s="470"/>
      <c r="C49" s="470"/>
      <c r="D49" s="470"/>
      <c r="E49" s="470"/>
      <c r="F49" s="56"/>
      <c r="G49" s="56"/>
      <c r="H49" s="56"/>
      <c r="I49" s="56"/>
      <c r="J49" s="56"/>
    </row>
    <row r="50" spans="1:10" x14ac:dyDescent="0.3">
      <c r="A50" s="471" t="s">
        <v>445</v>
      </c>
      <c r="B50" s="474"/>
      <c r="C50" s="474"/>
      <c r="D50" s="474"/>
      <c r="E50" s="472"/>
    </row>
    <row r="51" spans="1:10" ht="26" x14ac:dyDescent="0.3">
      <c r="A51" s="471" t="s">
        <v>206</v>
      </c>
      <c r="B51" s="474"/>
      <c r="C51" s="474"/>
      <c r="D51" s="474"/>
      <c r="E51" s="472"/>
    </row>
    <row r="52" spans="1:10" x14ac:dyDescent="0.3">
      <c r="A52" s="471" t="s">
        <v>446</v>
      </c>
      <c r="B52" s="474">
        <v>2603500</v>
      </c>
      <c r="C52" s="474">
        <v>13269685</v>
      </c>
      <c r="D52" s="474">
        <v>1504768</v>
      </c>
      <c r="E52" s="472">
        <v>5435236</v>
      </c>
    </row>
    <row r="53" spans="1:10" x14ac:dyDescent="0.3">
      <c r="A53" s="471" t="s">
        <v>447</v>
      </c>
      <c r="B53" s="474"/>
      <c r="C53" s="474" t="s">
        <v>865</v>
      </c>
      <c r="D53" s="474">
        <v>44900000</v>
      </c>
      <c r="E53" s="472">
        <f>SUM(B53:D53)</f>
        <v>44900000</v>
      </c>
    </row>
    <row r="54" spans="1:10" x14ac:dyDescent="0.3">
      <c r="A54" s="471" t="s">
        <v>448</v>
      </c>
      <c r="B54" s="474"/>
      <c r="C54" s="474"/>
      <c r="D54" s="474"/>
      <c r="E54" s="472">
        <f>SUM(B54:D54)</f>
        <v>0</v>
      </c>
    </row>
    <row r="55" spans="1:10" x14ac:dyDescent="0.3">
      <c r="A55" s="471" t="s">
        <v>235</v>
      </c>
      <c r="B55" s="474"/>
      <c r="C55" s="474"/>
      <c r="D55" s="474"/>
      <c r="E55" s="472">
        <f>SUM(B55:D55)</f>
        <v>0</v>
      </c>
    </row>
    <row r="56" spans="1:10" ht="13.5" x14ac:dyDescent="0.3">
      <c r="A56" s="475" t="s">
        <v>449</v>
      </c>
      <c r="B56" s="476">
        <v>2603500</v>
      </c>
      <c r="C56" s="476">
        <v>1326968</v>
      </c>
      <c r="D56" s="476">
        <v>56069532</v>
      </c>
      <c r="E56" s="476">
        <f>SUM(E46:E46)</f>
        <v>60000000</v>
      </c>
    </row>
    <row r="57" spans="1:10" ht="27" x14ac:dyDescent="0.3">
      <c r="A57" s="475" t="s">
        <v>450</v>
      </c>
      <c r="B57" s="476" t="s">
        <v>898</v>
      </c>
      <c r="C57" s="476" t="s">
        <v>865</v>
      </c>
      <c r="D57" s="476"/>
      <c r="E57" s="477" t="s">
        <v>865</v>
      </c>
    </row>
    <row r="58" spans="1:10" ht="14" x14ac:dyDescent="0.3">
      <c r="A58" s="68"/>
      <c r="B58" s="69"/>
      <c r="C58" s="69"/>
      <c r="D58" s="69"/>
      <c r="E58" s="69"/>
      <c r="F58" s="70"/>
    </row>
    <row r="60" spans="1:10" ht="12.75" customHeight="1" x14ac:dyDescent="0.3">
      <c r="A60" s="53" t="s">
        <v>431</v>
      </c>
      <c r="B60" s="747" t="s">
        <v>899</v>
      </c>
      <c r="C60" s="747"/>
      <c r="D60" s="747"/>
      <c r="E60" s="747"/>
      <c r="F60" s="747"/>
    </row>
    <row r="61" spans="1:10" ht="12.75" customHeight="1" x14ac:dyDescent="0.3">
      <c r="A61" s="53" t="s">
        <v>432</v>
      </c>
      <c r="B61" s="747" t="s">
        <v>900</v>
      </c>
      <c r="C61" s="747"/>
      <c r="D61" s="747"/>
      <c r="E61" s="747"/>
      <c r="F61" s="747"/>
    </row>
    <row r="62" spans="1:10" ht="12.75" customHeight="1" x14ac:dyDescent="0.3">
      <c r="A62" s="53" t="s">
        <v>904</v>
      </c>
      <c r="B62" s="747" t="s">
        <v>906</v>
      </c>
      <c r="C62" s="747"/>
      <c r="D62" s="747"/>
      <c r="E62" s="747"/>
      <c r="F62" s="671"/>
    </row>
    <row r="63" spans="1:10" ht="15.5" x14ac:dyDescent="0.3">
      <c r="A63" s="53" t="s">
        <v>908</v>
      </c>
      <c r="B63" s="753">
        <v>90000</v>
      </c>
      <c r="C63" s="753"/>
      <c r="D63" s="189"/>
      <c r="E63" s="670"/>
      <c r="F63" s="54"/>
    </row>
    <row r="64" spans="1:10" ht="15.75" customHeight="1" x14ac:dyDescent="0.3">
      <c r="A64" s="53" t="s">
        <v>897</v>
      </c>
      <c r="B64" s="753" t="s">
        <v>384</v>
      </c>
      <c r="C64" s="753"/>
      <c r="D64" s="189"/>
      <c r="E64" s="670"/>
      <c r="F64" s="54"/>
    </row>
    <row r="65" spans="1:6" ht="15.75" customHeight="1" x14ac:dyDescent="0.3">
      <c r="A65" s="53" t="s">
        <v>433</v>
      </c>
      <c r="B65" s="748">
        <v>1</v>
      </c>
      <c r="C65" s="748"/>
      <c r="D65" s="669"/>
      <c r="E65" s="669"/>
      <c r="F65" s="54"/>
    </row>
    <row r="66" spans="1:6" ht="15.5" x14ac:dyDescent="0.3">
      <c r="A66" s="53" t="s">
        <v>434</v>
      </c>
      <c r="B66" s="749">
        <v>42917</v>
      </c>
      <c r="C66" s="750"/>
      <c r="D66" s="672"/>
      <c r="E66" s="672"/>
      <c r="F66" s="54"/>
    </row>
    <row r="67" spans="1:6" ht="15.5" x14ac:dyDescent="0.3">
      <c r="A67" s="53" t="s">
        <v>435</v>
      </c>
      <c r="B67" s="749">
        <v>43465</v>
      </c>
      <c r="C67" s="750"/>
      <c r="D67" s="672"/>
      <c r="E67" s="672"/>
      <c r="F67" s="54"/>
    </row>
    <row r="68" spans="1:6" x14ac:dyDescent="0.3">
      <c r="A68" s="62"/>
      <c r="B68" s="63"/>
      <c r="C68" s="63"/>
      <c r="D68" s="63"/>
      <c r="E68" s="64" t="s">
        <v>865</v>
      </c>
    </row>
    <row r="69" spans="1:6" ht="39" x14ac:dyDescent="0.3">
      <c r="A69" s="467" t="s">
        <v>267</v>
      </c>
      <c r="B69" s="468" t="s">
        <v>436</v>
      </c>
      <c r="C69" s="467" t="s">
        <v>437</v>
      </c>
      <c r="D69" s="467" t="s">
        <v>438</v>
      </c>
      <c r="E69" s="467" t="s">
        <v>408</v>
      </c>
      <c r="F69" s="58"/>
    </row>
    <row r="70" spans="1:6" x14ac:dyDescent="0.3">
      <c r="A70" s="468" t="s">
        <v>439</v>
      </c>
      <c r="B70" s="469" t="s">
        <v>865</v>
      </c>
      <c r="C70" s="469">
        <v>90000000</v>
      </c>
      <c r="D70" s="469"/>
      <c r="E70" s="469">
        <f>SUM(B70:C70)</f>
        <v>90000000</v>
      </c>
      <c r="F70" s="58"/>
    </row>
    <row r="71" spans="1:6" x14ac:dyDescent="0.3">
      <c r="A71" s="470" t="s">
        <v>440</v>
      </c>
      <c r="B71" s="470"/>
      <c r="C71" s="470"/>
      <c r="D71" s="470"/>
      <c r="E71" s="470"/>
      <c r="F71" s="58"/>
    </row>
    <row r="72" spans="1:6" x14ac:dyDescent="0.3">
      <c r="A72" s="471" t="s">
        <v>441</v>
      </c>
      <c r="B72" s="472"/>
      <c r="C72" s="472">
        <v>90000000</v>
      </c>
      <c r="D72" s="472"/>
      <c r="E72" s="472">
        <f>SUM(B72:D72)</f>
        <v>90000000</v>
      </c>
      <c r="F72" s="66"/>
    </row>
    <row r="73" spans="1:6" x14ac:dyDescent="0.3">
      <c r="A73" s="471"/>
      <c r="B73" s="472"/>
      <c r="C73" s="472"/>
      <c r="D73" s="472"/>
      <c r="E73" s="472"/>
      <c r="F73" s="71"/>
    </row>
    <row r="74" spans="1:6" x14ac:dyDescent="0.3">
      <c r="A74" s="468" t="s">
        <v>444</v>
      </c>
      <c r="B74" s="473">
        <v>4424000</v>
      </c>
      <c r="C74" s="473">
        <v>2529997</v>
      </c>
      <c r="D74" s="473">
        <v>83046003</v>
      </c>
      <c r="E74" s="473">
        <v>90000000</v>
      </c>
      <c r="F74" s="73"/>
    </row>
    <row r="75" spans="1:6" x14ac:dyDescent="0.3">
      <c r="A75" s="470" t="s">
        <v>440</v>
      </c>
      <c r="B75" s="470"/>
      <c r="C75" s="470"/>
      <c r="D75" s="470"/>
      <c r="E75" s="470"/>
      <c r="F75" s="56"/>
    </row>
    <row r="76" spans="1:6" x14ac:dyDescent="0.3">
      <c r="A76" s="471" t="s">
        <v>445</v>
      </c>
      <c r="B76" s="474"/>
      <c r="C76" s="474"/>
      <c r="D76" s="474"/>
      <c r="E76" s="472"/>
    </row>
    <row r="77" spans="1:6" ht="26" x14ac:dyDescent="0.3">
      <c r="A77" s="471" t="s">
        <v>206</v>
      </c>
      <c r="B77" s="474"/>
      <c r="C77" s="474"/>
      <c r="D77" s="474"/>
      <c r="E77" s="472"/>
    </row>
    <row r="78" spans="1:6" x14ac:dyDescent="0.3">
      <c r="A78" s="471" t="s">
        <v>446</v>
      </c>
      <c r="B78" s="474">
        <v>4424000</v>
      </c>
      <c r="C78" s="474">
        <v>2529997</v>
      </c>
      <c r="D78" s="474">
        <v>1630000</v>
      </c>
      <c r="E78" s="472">
        <v>8583997</v>
      </c>
    </row>
    <row r="79" spans="1:6" x14ac:dyDescent="0.3">
      <c r="A79" s="471" t="s">
        <v>447</v>
      </c>
      <c r="B79" s="474"/>
      <c r="C79" s="474" t="s">
        <v>865</v>
      </c>
      <c r="D79" s="474">
        <v>78929513</v>
      </c>
      <c r="E79" s="472">
        <v>78929513</v>
      </c>
    </row>
    <row r="80" spans="1:6" x14ac:dyDescent="0.3">
      <c r="A80" s="471" t="s">
        <v>901</v>
      </c>
      <c r="B80" s="474"/>
      <c r="C80" s="474"/>
      <c r="D80" s="474">
        <v>2486490</v>
      </c>
      <c r="E80" s="472">
        <v>2486490</v>
      </c>
    </row>
    <row r="81" spans="1:6" x14ac:dyDescent="0.3">
      <c r="A81" s="471" t="s">
        <v>448</v>
      </c>
      <c r="B81" s="474"/>
      <c r="C81" s="474"/>
      <c r="D81" s="474"/>
      <c r="E81" s="472">
        <f>SUM(B81:D81)</f>
        <v>0</v>
      </c>
    </row>
    <row r="82" spans="1:6" x14ac:dyDescent="0.3">
      <c r="A82" s="471" t="s">
        <v>235</v>
      </c>
      <c r="B82" s="474"/>
      <c r="C82" s="474"/>
      <c r="D82" s="474"/>
      <c r="E82" s="472">
        <f>SUM(B82:D82)</f>
        <v>0</v>
      </c>
    </row>
    <row r="83" spans="1:6" ht="13.5" x14ac:dyDescent="0.3">
      <c r="A83" s="475" t="s">
        <v>449</v>
      </c>
      <c r="B83" s="476">
        <v>4424000</v>
      </c>
      <c r="C83" s="476">
        <v>2529997</v>
      </c>
      <c r="D83" s="476">
        <v>83046003</v>
      </c>
      <c r="E83" s="476">
        <f>SUM(E72:E72)</f>
        <v>90000000</v>
      </c>
    </row>
    <row r="84" spans="1:6" ht="27" x14ac:dyDescent="0.3">
      <c r="A84" s="475" t="s">
        <v>450</v>
      </c>
      <c r="B84" s="476" t="s">
        <v>898</v>
      </c>
      <c r="C84" s="476" t="s">
        <v>865</v>
      </c>
      <c r="D84" s="476"/>
      <c r="E84" s="477" t="s">
        <v>865</v>
      </c>
    </row>
    <row r="85" spans="1:6" ht="14" x14ac:dyDescent="0.3">
      <c r="A85" s="68"/>
      <c r="B85" s="69"/>
      <c r="C85" s="69"/>
      <c r="D85" s="69"/>
      <c r="E85" s="69"/>
      <c r="F85" s="70"/>
    </row>
    <row r="87" spans="1:6" x14ac:dyDescent="0.3">
      <c r="A87" s="53" t="s">
        <v>431</v>
      </c>
      <c r="B87" s="747" t="s">
        <v>902</v>
      </c>
      <c r="C87" s="747"/>
      <c r="D87" s="747"/>
      <c r="E87" s="747"/>
      <c r="F87" s="747"/>
    </row>
    <row r="88" spans="1:6" x14ac:dyDescent="0.3">
      <c r="A88" s="53" t="s">
        <v>432</v>
      </c>
      <c r="B88" s="747" t="s">
        <v>903</v>
      </c>
      <c r="C88" s="747"/>
      <c r="D88" s="747"/>
      <c r="E88" s="747"/>
      <c r="F88" s="747"/>
    </row>
    <row r="89" spans="1:6" x14ac:dyDescent="0.3">
      <c r="A89" s="53" t="s">
        <v>904</v>
      </c>
      <c r="B89" s="747" t="s">
        <v>907</v>
      </c>
      <c r="C89" s="747"/>
      <c r="D89" s="747"/>
      <c r="E89" s="747"/>
      <c r="F89" s="671"/>
    </row>
    <row r="90" spans="1:6" ht="15.5" x14ac:dyDescent="0.3">
      <c r="A90" s="53" t="s">
        <v>908</v>
      </c>
      <c r="B90" s="753">
        <v>60348839</v>
      </c>
      <c r="C90" s="753"/>
      <c r="D90" s="189"/>
      <c r="E90" s="670"/>
      <c r="F90" s="54"/>
    </row>
    <row r="91" spans="1:6" ht="15.5" x14ac:dyDescent="0.3">
      <c r="A91" s="53" t="s">
        <v>897</v>
      </c>
      <c r="B91" s="753" t="s">
        <v>384</v>
      </c>
      <c r="C91" s="753"/>
      <c r="D91" s="189"/>
      <c r="E91" s="670"/>
      <c r="F91" s="54"/>
    </row>
    <row r="92" spans="1:6" ht="15.5" x14ac:dyDescent="0.3">
      <c r="A92" s="53" t="s">
        <v>433</v>
      </c>
      <c r="B92" s="748">
        <v>1</v>
      </c>
      <c r="C92" s="748"/>
      <c r="D92" s="669"/>
      <c r="E92" s="669"/>
      <c r="F92" s="54"/>
    </row>
    <row r="93" spans="1:6" ht="15.5" x14ac:dyDescent="0.3">
      <c r="A93" s="53" t="s">
        <v>434</v>
      </c>
      <c r="B93" s="749" t="s">
        <v>895</v>
      </c>
      <c r="C93" s="750"/>
      <c r="D93" s="672"/>
      <c r="E93" s="672"/>
      <c r="F93" s="54"/>
    </row>
    <row r="94" spans="1:6" ht="12.75" customHeight="1" x14ac:dyDescent="0.3">
      <c r="A94" s="53" t="s">
        <v>435</v>
      </c>
      <c r="B94" s="749" t="s">
        <v>896</v>
      </c>
      <c r="C94" s="750"/>
      <c r="D94" s="672"/>
      <c r="E94" s="672"/>
      <c r="F94" s="54"/>
    </row>
    <row r="95" spans="1:6" ht="12.75" customHeight="1" x14ac:dyDescent="0.3">
      <c r="A95" s="62"/>
      <c r="B95" s="63"/>
      <c r="C95" s="63"/>
      <c r="D95" s="63"/>
      <c r="E95" s="64" t="s">
        <v>865</v>
      </c>
    </row>
    <row r="96" spans="1:6" ht="39" x14ac:dyDescent="0.3">
      <c r="A96" s="467" t="s">
        <v>267</v>
      </c>
      <c r="B96" s="468" t="s">
        <v>436</v>
      </c>
      <c r="C96" s="467" t="s">
        <v>437</v>
      </c>
      <c r="D96" s="467" t="s">
        <v>438</v>
      </c>
      <c r="E96" s="467" t="s">
        <v>408</v>
      </c>
      <c r="F96" s="58"/>
    </row>
    <row r="97" spans="1:6" ht="15.75" customHeight="1" x14ac:dyDescent="0.3">
      <c r="A97" s="468" t="s">
        <v>439</v>
      </c>
      <c r="B97" s="469" t="s">
        <v>865</v>
      </c>
      <c r="C97" s="469">
        <v>60348839</v>
      </c>
      <c r="D97" s="469"/>
      <c r="E97" s="469">
        <f>SUM(B97:C97)</f>
        <v>60348839</v>
      </c>
      <c r="F97" s="58"/>
    </row>
    <row r="98" spans="1:6" ht="15.75" customHeight="1" x14ac:dyDescent="0.3">
      <c r="A98" s="470" t="s">
        <v>440</v>
      </c>
      <c r="B98" s="470"/>
      <c r="C98" s="470"/>
      <c r="D98" s="470"/>
      <c r="E98" s="470"/>
      <c r="F98" s="58"/>
    </row>
    <row r="99" spans="1:6" x14ac:dyDescent="0.3">
      <c r="A99" s="471" t="s">
        <v>441</v>
      </c>
      <c r="B99" s="472"/>
      <c r="C99" s="472">
        <v>60348839</v>
      </c>
      <c r="D99" s="472"/>
      <c r="E99" s="472">
        <f>SUM(B99:D99)</f>
        <v>60348839</v>
      </c>
      <c r="F99" s="66"/>
    </row>
    <row r="100" spans="1:6" x14ac:dyDescent="0.3">
      <c r="A100" s="471"/>
      <c r="B100" s="472"/>
      <c r="C100" s="472"/>
      <c r="D100" s="472"/>
      <c r="E100" s="472"/>
      <c r="F100" s="71"/>
    </row>
    <row r="101" spans="1:6" x14ac:dyDescent="0.3">
      <c r="A101" s="468" t="s">
        <v>444</v>
      </c>
      <c r="B101" s="473">
        <v>2976999</v>
      </c>
      <c r="C101" s="473">
        <v>2365140</v>
      </c>
      <c r="D101" s="473">
        <v>55006700</v>
      </c>
      <c r="E101" s="473">
        <v>60348839</v>
      </c>
      <c r="F101" s="73"/>
    </row>
    <row r="102" spans="1:6" x14ac:dyDescent="0.3">
      <c r="A102" s="470" t="s">
        <v>440</v>
      </c>
      <c r="B102" s="470"/>
      <c r="C102" s="470"/>
      <c r="D102" s="470"/>
      <c r="E102" s="470"/>
      <c r="F102" s="56"/>
    </row>
    <row r="103" spans="1:6" x14ac:dyDescent="0.3">
      <c r="A103" s="471" t="s">
        <v>445</v>
      </c>
      <c r="B103" s="474"/>
      <c r="C103" s="474"/>
      <c r="D103" s="474"/>
      <c r="E103" s="472"/>
    </row>
    <row r="104" spans="1:6" ht="26" x14ac:dyDescent="0.3">
      <c r="A104" s="471" t="s">
        <v>206</v>
      </c>
      <c r="B104" s="474"/>
      <c r="C104" s="474"/>
      <c r="D104" s="474"/>
      <c r="E104" s="472"/>
    </row>
    <row r="105" spans="1:6" x14ac:dyDescent="0.3">
      <c r="A105" s="471" t="s">
        <v>446</v>
      </c>
      <c r="B105" s="474">
        <v>2976999</v>
      </c>
      <c r="C105" s="474">
        <v>1412640</v>
      </c>
      <c r="D105" s="474">
        <v>1412610</v>
      </c>
      <c r="E105" s="472">
        <v>5802249</v>
      </c>
    </row>
    <row r="106" spans="1:6" x14ac:dyDescent="0.3">
      <c r="A106" s="471" t="s">
        <v>447</v>
      </c>
      <c r="B106" s="474"/>
      <c r="C106" s="474">
        <v>952500</v>
      </c>
      <c r="D106" s="474">
        <v>53346350</v>
      </c>
      <c r="E106" s="472">
        <f>SUM(B106:D106)</f>
        <v>54298850</v>
      </c>
    </row>
    <row r="107" spans="1:6" x14ac:dyDescent="0.3">
      <c r="A107" s="471" t="s">
        <v>909</v>
      </c>
      <c r="B107" s="474"/>
      <c r="C107" s="474"/>
      <c r="D107" s="474">
        <v>247740</v>
      </c>
      <c r="E107" s="472">
        <v>247740</v>
      </c>
    </row>
    <row r="108" spans="1:6" x14ac:dyDescent="0.3">
      <c r="A108" s="471" t="s">
        <v>448</v>
      </c>
      <c r="B108" s="474"/>
      <c r="C108" s="474"/>
      <c r="D108" s="474"/>
      <c r="E108" s="472">
        <f>SUM(B108:D108)</f>
        <v>0</v>
      </c>
    </row>
    <row r="109" spans="1:6" x14ac:dyDescent="0.3">
      <c r="A109" s="471" t="s">
        <v>235</v>
      </c>
      <c r="B109" s="474"/>
      <c r="C109" s="474"/>
      <c r="D109" s="474"/>
      <c r="E109" s="472">
        <f>SUM(B109:D109)</f>
        <v>0</v>
      </c>
    </row>
    <row r="110" spans="1:6" ht="13.5" x14ac:dyDescent="0.3">
      <c r="A110" s="475" t="s">
        <v>449</v>
      </c>
      <c r="B110" s="476">
        <v>2976999</v>
      </c>
      <c r="C110" s="476">
        <v>2365140</v>
      </c>
      <c r="D110" s="476">
        <v>55006700</v>
      </c>
      <c r="E110" s="476">
        <v>60348839</v>
      </c>
    </row>
    <row r="111" spans="1:6" ht="27" x14ac:dyDescent="0.3">
      <c r="A111" s="475" t="s">
        <v>450</v>
      </c>
      <c r="B111" s="476" t="s">
        <v>898</v>
      </c>
      <c r="C111" s="476" t="s">
        <v>865</v>
      </c>
      <c r="D111" s="476"/>
      <c r="E111" s="477" t="s">
        <v>865</v>
      </c>
    </row>
    <row r="112" spans="1:6" ht="14" x14ac:dyDescent="0.3">
      <c r="A112" s="68"/>
      <c r="B112" s="69"/>
      <c r="C112" s="69"/>
      <c r="D112" s="69"/>
      <c r="E112" s="69"/>
      <c r="F112" s="70"/>
    </row>
    <row r="113" spans="1:7" x14ac:dyDescent="0.3">
      <c r="A113" s="53" t="s">
        <v>431</v>
      </c>
      <c r="B113" s="747" t="s">
        <v>910</v>
      </c>
      <c r="C113" s="747"/>
      <c r="D113" s="747"/>
      <c r="E113" s="747"/>
      <c r="F113" s="747"/>
    </row>
    <row r="114" spans="1:7" x14ac:dyDescent="0.3">
      <c r="A114" s="53" t="s">
        <v>432</v>
      </c>
      <c r="B114" s="747" t="s">
        <v>911</v>
      </c>
      <c r="C114" s="747"/>
      <c r="D114" s="747"/>
      <c r="E114" s="747"/>
      <c r="F114" s="747"/>
    </row>
    <row r="115" spans="1:7" x14ac:dyDescent="0.3">
      <c r="A115" s="53" t="s">
        <v>904</v>
      </c>
      <c r="B115" s="747" t="s">
        <v>912</v>
      </c>
      <c r="C115" s="747"/>
      <c r="D115" s="747"/>
      <c r="E115" s="747"/>
      <c r="F115" s="671"/>
    </row>
    <row r="116" spans="1:7" ht="15.5" x14ac:dyDescent="0.3">
      <c r="A116" s="53" t="s">
        <v>908</v>
      </c>
      <c r="B116" s="753">
        <v>448162650</v>
      </c>
      <c r="C116" s="753"/>
      <c r="D116" s="189"/>
      <c r="E116" s="670"/>
      <c r="F116" s="54"/>
    </row>
    <row r="117" spans="1:7" ht="15.5" x14ac:dyDescent="0.3">
      <c r="A117" s="53" t="s">
        <v>897</v>
      </c>
      <c r="B117" s="753" t="s">
        <v>384</v>
      </c>
      <c r="C117" s="753"/>
      <c r="D117" s="189"/>
      <c r="E117" s="670"/>
      <c r="F117" s="54"/>
    </row>
    <row r="118" spans="1:7" ht="15.5" x14ac:dyDescent="0.3">
      <c r="A118" s="53" t="s">
        <v>612</v>
      </c>
      <c r="B118" s="753" t="s">
        <v>913</v>
      </c>
      <c r="C118" s="753"/>
      <c r="D118" s="753"/>
      <c r="E118" s="753"/>
      <c r="F118" s="54"/>
    </row>
    <row r="119" spans="1:7" ht="15.5" x14ac:dyDescent="0.3">
      <c r="A119" s="53" t="s">
        <v>433</v>
      </c>
      <c r="B119" s="748">
        <v>1</v>
      </c>
      <c r="C119" s="748"/>
      <c r="D119" s="669"/>
      <c r="E119" s="669"/>
      <c r="F119" s="54"/>
    </row>
    <row r="120" spans="1:7" ht="15.5" x14ac:dyDescent="0.3">
      <c r="A120" s="53" t="s">
        <v>434</v>
      </c>
      <c r="B120" s="749" t="s">
        <v>895</v>
      </c>
      <c r="C120" s="750"/>
      <c r="D120" s="672"/>
      <c r="E120" s="672"/>
      <c r="F120" s="54"/>
    </row>
    <row r="121" spans="1:7" ht="15.5" x14ac:dyDescent="0.3">
      <c r="A121" s="53" t="s">
        <v>435</v>
      </c>
      <c r="B121" s="749">
        <v>43646</v>
      </c>
      <c r="C121" s="750"/>
      <c r="D121" s="672"/>
      <c r="E121" s="672"/>
      <c r="F121" s="54"/>
    </row>
    <row r="122" spans="1:7" x14ac:dyDescent="0.3">
      <c r="A122" s="62"/>
      <c r="B122" s="63"/>
      <c r="C122" s="63"/>
      <c r="D122" s="63"/>
      <c r="E122" s="63"/>
      <c r="F122" s="64" t="s">
        <v>865</v>
      </c>
    </row>
    <row r="123" spans="1:7" ht="39" x14ac:dyDescent="0.3">
      <c r="A123" s="467" t="s">
        <v>267</v>
      </c>
      <c r="B123" s="468" t="s">
        <v>436</v>
      </c>
      <c r="C123" s="467" t="s">
        <v>437</v>
      </c>
      <c r="D123" s="467" t="s">
        <v>438</v>
      </c>
      <c r="E123" s="467" t="s">
        <v>609</v>
      </c>
      <c r="F123" s="467" t="s">
        <v>408</v>
      </c>
      <c r="G123" s="58"/>
    </row>
    <row r="124" spans="1:7" x14ac:dyDescent="0.3">
      <c r="A124" s="468" t="s">
        <v>439</v>
      </c>
      <c r="B124" s="469" t="s">
        <v>865</v>
      </c>
      <c r="C124" s="469">
        <v>448010250</v>
      </c>
      <c r="D124" s="469"/>
      <c r="E124" s="469"/>
      <c r="F124" s="469">
        <f>SUM(B124:C124)</f>
        <v>448010250</v>
      </c>
      <c r="G124" s="58"/>
    </row>
    <row r="125" spans="1:7" x14ac:dyDescent="0.3">
      <c r="A125" s="470" t="s">
        <v>440</v>
      </c>
      <c r="B125" s="470"/>
      <c r="C125" s="470"/>
      <c r="D125" s="470"/>
      <c r="E125" s="470"/>
      <c r="F125" s="470"/>
      <c r="G125" s="58"/>
    </row>
    <row r="126" spans="1:7" x14ac:dyDescent="0.3">
      <c r="A126" s="471" t="s">
        <v>441</v>
      </c>
      <c r="B126" s="472"/>
      <c r="C126" s="472">
        <v>448010250</v>
      </c>
      <c r="D126" s="472"/>
      <c r="E126" s="472"/>
      <c r="F126" s="472">
        <f>SUM(B126:D126)</f>
        <v>448010250</v>
      </c>
      <c r="G126" s="66"/>
    </row>
    <row r="127" spans="1:7" ht="12.75" customHeight="1" x14ac:dyDescent="0.3">
      <c r="A127" s="471"/>
      <c r="B127" s="472"/>
      <c r="C127" s="472"/>
      <c r="D127" s="472"/>
      <c r="E127" s="472"/>
      <c r="F127" s="472"/>
      <c r="G127" s="71"/>
    </row>
    <row r="128" spans="1:7" ht="12.75" customHeight="1" x14ac:dyDescent="0.3">
      <c r="A128" s="468" t="s">
        <v>444</v>
      </c>
      <c r="B128" s="473" t="s">
        <v>865</v>
      </c>
      <c r="C128" s="473">
        <v>31406333</v>
      </c>
      <c r="D128" s="473">
        <v>203827658</v>
      </c>
      <c r="E128" s="473">
        <v>212776259</v>
      </c>
      <c r="F128" s="473">
        <f>SUM(C128:E128)</f>
        <v>448010250</v>
      </c>
      <c r="G128" s="73"/>
    </row>
    <row r="129" spans="1:7" x14ac:dyDescent="0.3">
      <c r="A129" s="470" t="s">
        <v>440</v>
      </c>
      <c r="B129" s="470"/>
      <c r="C129" s="470"/>
      <c r="D129" s="470"/>
      <c r="E129" s="470"/>
      <c r="F129" s="473">
        <f t="shared" ref="F129:F138" si="4">SUM(C129:E129)</f>
        <v>0</v>
      </c>
      <c r="G129" s="56"/>
    </row>
    <row r="130" spans="1:7" ht="15.75" customHeight="1" x14ac:dyDescent="0.3">
      <c r="A130" s="471" t="s">
        <v>445</v>
      </c>
      <c r="B130" s="474"/>
      <c r="C130" s="474"/>
      <c r="D130" s="474"/>
      <c r="E130" s="474"/>
      <c r="F130" s="473">
        <f t="shared" si="4"/>
        <v>0</v>
      </c>
    </row>
    <row r="131" spans="1:7" ht="15.75" customHeight="1" x14ac:dyDescent="0.3">
      <c r="A131" s="471" t="s">
        <v>206</v>
      </c>
      <c r="B131" s="474"/>
      <c r="C131" s="474"/>
      <c r="D131" s="474"/>
      <c r="E131" s="474"/>
      <c r="F131" s="473">
        <f t="shared" si="4"/>
        <v>0</v>
      </c>
    </row>
    <row r="132" spans="1:7" x14ac:dyDescent="0.3">
      <c r="A132" s="471" t="s">
        <v>446</v>
      </c>
      <c r="B132" s="474" t="s">
        <v>865</v>
      </c>
      <c r="C132" s="474">
        <v>31406333</v>
      </c>
      <c r="D132" s="474">
        <v>6091833</v>
      </c>
      <c r="E132" s="474">
        <v>15040434</v>
      </c>
      <c r="F132" s="473">
        <f t="shared" si="4"/>
        <v>52538600</v>
      </c>
    </row>
    <row r="133" spans="1:7" x14ac:dyDescent="0.3">
      <c r="A133" s="471" t="s">
        <v>447</v>
      </c>
      <c r="B133" s="474"/>
      <c r="C133" s="474" t="s">
        <v>865</v>
      </c>
      <c r="D133" s="474">
        <v>197735825</v>
      </c>
      <c r="E133" s="474">
        <v>197735825</v>
      </c>
      <c r="F133" s="473">
        <f t="shared" si="4"/>
        <v>395471650</v>
      </c>
    </row>
    <row r="134" spans="1:7" x14ac:dyDescent="0.3">
      <c r="A134" s="471" t="s">
        <v>909</v>
      </c>
      <c r="B134" s="474"/>
      <c r="C134" s="474"/>
      <c r="D134" s="474">
        <v>247740</v>
      </c>
      <c r="E134" s="474"/>
      <c r="F134" s="473">
        <f t="shared" si="4"/>
        <v>247740</v>
      </c>
    </row>
    <row r="135" spans="1:7" x14ac:dyDescent="0.3">
      <c r="A135" s="471" t="s">
        <v>448</v>
      </c>
      <c r="B135" s="474"/>
      <c r="C135" s="474"/>
      <c r="D135" s="474"/>
      <c r="E135" s="474"/>
      <c r="F135" s="473">
        <f t="shared" si="4"/>
        <v>0</v>
      </c>
    </row>
    <row r="136" spans="1:7" x14ac:dyDescent="0.3">
      <c r="A136" s="471" t="s">
        <v>235</v>
      </c>
      <c r="B136" s="474"/>
      <c r="C136" s="474"/>
      <c r="D136" s="474"/>
      <c r="E136" s="474"/>
      <c r="F136" s="473">
        <f t="shared" si="4"/>
        <v>0</v>
      </c>
    </row>
    <row r="137" spans="1:7" ht="13.5" x14ac:dyDescent="0.3">
      <c r="A137" s="475" t="s">
        <v>449</v>
      </c>
      <c r="B137" s="476" t="s">
        <v>865</v>
      </c>
      <c r="C137" s="476">
        <v>31406333</v>
      </c>
      <c r="D137" s="476">
        <v>203827658</v>
      </c>
      <c r="E137" s="476">
        <v>212776259</v>
      </c>
      <c r="F137" s="473">
        <f t="shared" si="4"/>
        <v>448010250</v>
      </c>
    </row>
    <row r="138" spans="1:7" ht="27" x14ac:dyDescent="0.3">
      <c r="A138" s="475" t="s">
        <v>450</v>
      </c>
      <c r="B138" s="476" t="s">
        <v>898</v>
      </c>
      <c r="C138" s="476" t="s">
        <v>865</v>
      </c>
      <c r="D138" s="476"/>
      <c r="E138" s="476"/>
      <c r="F138" s="473">
        <f t="shared" si="4"/>
        <v>0</v>
      </c>
    </row>
    <row r="139" spans="1:7" ht="14" x14ac:dyDescent="0.3">
      <c r="A139" s="68"/>
      <c r="B139" s="69"/>
      <c r="C139" s="69"/>
      <c r="D139" s="69"/>
      <c r="E139" s="69"/>
      <c r="F139" s="70"/>
    </row>
    <row r="141" spans="1:7" x14ac:dyDescent="0.3">
      <c r="A141" s="53" t="s">
        <v>431</v>
      </c>
      <c r="B141" s="747" t="s">
        <v>914</v>
      </c>
      <c r="C141" s="747"/>
      <c r="D141" s="747"/>
      <c r="E141" s="747"/>
      <c r="F141" s="747"/>
    </row>
    <row r="142" spans="1:7" x14ac:dyDescent="0.3">
      <c r="A142" s="53" t="s">
        <v>432</v>
      </c>
      <c r="B142" s="747" t="s">
        <v>915</v>
      </c>
      <c r="C142" s="747"/>
      <c r="D142" s="747"/>
      <c r="E142" s="747"/>
      <c r="F142" s="747"/>
    </row>
    <row r="143" spans="1:7" x14ac:dyDescent="0.3">
      <c r="A143" s="53" t="s">
        <v>904</v>
      </c>
      <c r="B143" s="747" t="s">
        <v>916</v>
      </c>
      <c r="C143" s="747"/>
      <c r="D143" s="747"/>
      <c r="E143" s="747"/>
      <c r="F143" s="671"/>
    </row>
    <row r="144" spans="1:7" ht="15.5" x14ac:dyDescent="0.3">
      <c r="A144" s="53" t="s">
        <v>908</v>
      </c>
      <c r="B144" s="753">
        <v>499444098</v>
      </c>
      <c r="C144" s="753"/>
      <c r="D144" s="189"/>
      <c r="E144" s="670"/>
      <c r="F144" s="54"/>
    </row>
    <row r="145" spans="1:8" ht="15.5" x14ac:dyDescent="0.3">
      <c r="A145" s="53" t="s">
        <v>897</v>
      </c>
      <c r="B145" s="753" t="s">
        <v>384</v>
      </c>
      <c r="C145" s="753"/>
      <c r="D145" s="189"/>
      <c r="E145" s="670"/>
      <c r="F145" s="54"/>
    </row>
    <row r="146" spans="1:8" ht="15.5" x14ac:dyDescent="0.3">
      <c r="A146" s="53" t="s">
        <v>433</v>
      </c>
      <c r="B146" s="748">
        <v>1</v>
      </c>
      <c r="C146" s="748"/>
      <c r="D146" s="669"/>
      <c r="E146" s="669"/>
      <c r="F146" s="54"/>
    </row>
    <row r="147" spans="1:8" ht="15.5" x14ac:dyDescent="0.3">
      <c r="A147" s="53" t="s">
        <v>434</v>
      </c>
      <c r="B147" s="749" t="s">
        <v>895</v>
      </c>
      <c r="C147" s="750"/>
      <c r="D147" s="672"/>
      <c r="E147" s="672"/>
      <c r="F147" s="54"/>
    </row>
    <row r="148" spans="1:8" ht="15.5" x14ac:dyDescent="0.3">
      <c r="A148" s="53" t="s">
        <v>435</v>
      </c>
      <c r="B148" s="749">
        <v>43951</v>
      </c>
      <c r="C148" s="750"/>
      <c r="D148" s="672"/>
      <c r="E148" s="672"/>
      <c r="F148" s="54"/>
    </row>
    <row r="149" spans="1:8" x14ac:dyDescent="0.3">
      <c r="A149" s="62"/>
      <c r="B149" s="63"/>
      <c r="C149" s="63"/>
      <c r="D149" s="63"/>
      <c r="E149" s="64" t="s">
        <v>865</v>
      </c>
    </row>
    <row r="150" spans="1:8" ht="39" x14ac:dyDescent="0.3">
      <c r="A150" s="467" t="s">
        <v>267</v>
      </c>
      <c r="B150" s="468" t="s">
        <v>436</v>
      </c>
      <c r="C150" s="467" t="s">
        <v>437</v>
      </c>
      <c r="D150" s="467" t="s">
        <v>438</v>
      </c>
      <c r="E150" s="467" t="s">
        <v>609</v>
      </c>
      <c r="F150" s="467" t="s">
        <v>917</v>
      </c>
      <c r="G150" s="467" t="s">
        <v>408</v>
      </c>
      <c r="H150" s="58"/>
    </row>
    <row r="151" spans="1:8" x14ac:dyDescent="0.3">
      <c r="A151" s="468" t="s">
        <v>439</v>
      </c>
      <c r="B151" s="469" t="s">
        <v>865</v>
      </c>
      <c r="C151" s="469">
        <v>499444098</v>
      </c>
      <c r="D151" s="469"/>
      <c r="E151" s="469"/>
      <c r="F151" s="469"/>
      <c r="G151" s="469">
        <f>SUM(B151:C151)</f>
        <v>499444098</v>
      </c>
      <c r="H151" s="58"/>
    </row>
    <row r="152" spans="1:8" x14ac:dyDescent="0.3">
      <c r="A152" s="470" t="s">
        <v>440</v>
      </c>
      <c r="B152" s="470"/>
      <c r="C152" s="470"/>
      <c r="D152" s="470"/>
      <c r="E152" s="470"/>
      <c r="F152" s="470"/>
      <c r="G152" s="470"/>
      <c r="H152" s="58"/>
    </row>
    <row r="153" spans="1:8" x14ac:dyDescent="0.3">
      <c r="A153" s="471" t="s">
        <v>441</v>
      </c>
      <c r="B153" s="472"/>
      <c r="C153" s="472">
        <v>499444098</v>
      </c>
      <c r="D153" s="472"/>
      <c r="E153" s="472"/>
      <c r="F153" s="472"/>
      <c r="G153" s="472">
        <f>SUM(B153:D153)</f>
        <v>499444098</v>
      </c>
      <c r="H153" s="66"/>
    </row>
    <row r="154" spans="1:8" x14ac:dyDescent="0.3">
      <c r="A154" s="471"/>
      <c r="B154" s="472"/>
      <c r="C154" s="472"/>
      <c r="D154" s="472"/>
      <c r="E154" s="472"/>
      <c r="F154" s="472"/>
      <c r="G154" s="472"/>
      <c r="H154" s="71"/>
    </row>
    <row r="155" spans="1:8" x14ac:dyDescent="0.3">
      <c r="A155" s="468" t="s">
        <v>444</v>
      </c>
      <c r="B155" s="473">
        <v>5150500</v>
      </c>
      <c r="C155" s="473">
        <v>13414500</v>
      </c>
      <c r="D155" s="473">
        <v>124383525</v>
      </c>
      <c r="E155" s="473">
        <v>278727063</v>
      </c>
      <c r="F155" s="473">
        <v>77768510</v>
      </c>
      <c r="G155" s="473">
        <f>SUM(B155:F155)</f>
        <v>499444098</v>
      </c>
      <c r="H155" s="73"/>
    </row>
    <row r="156" spans="1:8" x14ac:dyDescent="0.3">
      <c r="A156" s="470" t="s">
        <v>440</v>
      </c>
      <c r="B156" s="470"/>
      <c r="C156" s="470"/>
      <c r="D156" s="470"/>
      <c r="E156" s="470"/>
      <c r="F156" s="470"/>
      <c r="G156" s="473">
        <f t="shared" ref="G156:G164" si="5">SUM(B156:F156)</f>
        <v>0</v>
      </c>
      <c r="H156" s="56"/>
    </row>
    <row r="157" spans="1:8" x14ac:dyDescent="0.3">
      <c r="A157" s="471" t="s">
        <v>445</v>
      </c>
      <c r="B157" s="474"/>
      <c r="C157" s="474"/>
      <c r="D157" s="474"/>
      <c r="E157" s="474"/>
      <c r="F157" s="474"/>
      <c r="G157" s="473">
        <f t="shared" si="5"/>
        <v>0</v>
      </c>
    </row>
    <row r="158" spans="1:8" ht="12.75" customHeight="1" x14ac:dyDescent="0.3">
      <c r="A158" s="471" t="s">
        <v>206</v>
      </c>
      <c r="B158" s="474"/>
      <c r="C158" s="474"/>
      <c r="D158" s="474"/>
      <c r="E158" s="474"/>
      <c r="F158" s="474"/>
      <c r="G158" s="473">
        <f t="shared" si="5"/>
        <v>0</v>
      </c>
    </row>
    <row r="159" spans="1:8" ht="12.75" customHeight="1" x14ac:dyDescent="0.3">
      <c r="A159" s="471" t="s">
        <v>446</v>
      </c>
      <c r="B159" s="474">
        <v>5150500</v>
      </c>
      <c r="C159" s="474">
        <v>13414500</v>
      </c>
      <c r="D159" s="474">
        <v>17381500</v>
      </c>
      <c r="E159" s="474">
        <v>11222000</v>
      </c>
      <c r="F159" s="474">
        <v>5535000</v>
      </c>
      <c r="G159" s="473">
        <f t="shared" si="5"/>
        <v>52703500</v>
      </c>
    </row>
    <row r="160" spans="1:8" x14ac:dyDescent="0.3">
      <c r="A160" s="471" t="s">
        <v>447</v>
      </c>
      <c r="B160" s="474"/>
      <c r="C160" s="474" t="s">
        <v>865</v>
      </c>
      <c r="D160" s="474">
        <v>107002025</v>
      </c>
      <c r="E160" s="474">
        <v>267505063</v>
      </c>
      <c r="F160" s="474">
        <v>72233510</v>
      </c>
      <c r="G160" s="473">
        <f t="shared" si="5"/>
        <v>446740598</v>
      </c>
    </row>
    <row r="161" spans="1:7" ht="15.75" customHeight="1" x14ac:dyDescent="0.3">
      <c r="A161" s="471" t="s">
        <v>909</v>
      </c>
      <c r="B161" s="474"/>
      <c r="C161" s="474"/>
      <c r="D161" s="474" t="s">
        <v>865</v>
      </c>
      <c r="E161" s="474"/>
      <c r="F161" s="474">
        <v>18732500</v>
      </c>
      <c r="G161" s="473">
        <f t="shared" si="5"/>
        <v>18732500</v>
      </c>
    </row>
    <row r="162" spans="1:7" ht="15.75" customHeight="1" x14ac:dyDescent="0.3">
      <c r="A162" s="471" t="s">
        <v>448</v>
      </c>
      <c r="B162" s="474"/>
      <c r="C162" s="474"/>
      <c r="D162" s="474"/>
      <c r="E162" s="474"/>
      <c r="F162" s="474"/>
      <c r="G162" s="473">
        <f t="shared" si="5"/>
        <v>0</v>
      </c>
    </row>
    <row r="163" spans="1:7" x14ac:dyDescent="0.3">
      <c r="A163" s="471" t="s">
        <v>235</v>
      </c>
      <c r="B163" s="474"/>
      <c r="C163" s="474"/>
      <c r="D163" s="474"/>
      <c r="E163" s="474"/>
      <c r="F163" s="474"/>
      <c r="G163" s="473">
        <f t="shared" si="5"/>
        <v>0</v>
      </c>
    </row>
    <row r="164" spans="1:7" ht="13.5" x14ac:dyDescent="0.3">
      <c r="A164" s="475" t="s">
        <v>449</v>
      </c>
      <c r="B164" s="476">
        <v>5150500</v>
      </c>
      <c r="C164" s="476">
        <v>13414500</v>
      </c>
      <c r="D164" s="476">
        <v>124383525</v>
      </c>
      <c r="E164" s="476">
        <v>278727063</v>
      </c>
      <c r="F164" s="476">
        <v>77768510</v>
      </c>
      <c r="G164" s="473">
        <f t="shared" si="5"/>
        <v>499444098</v>
      </c>
    </row>
    <row r="165" spans="1:7" ht="27" x14ac:dyDescent="0.3">
      <c r="A165" s="475" t="s">
        <v>450</v>
      </c>
      <c r="B165" s="476" t="s">
        <v>898</v>
      </c>
      <c r="C165" s="476" t="s">
        <v>865</v>
      </c>
      <c r="D165" s="476"/>
      <c r="E165" s="476"/>
      <c r="F165" s="476"/>
      <c r="G165" s="477" t="s">
        <v>865</v>
      </c>
    </row>
    <row r="166" spans="1:7" ht="14" x14ac:dyDescent="0.3">
      <c r="A166" s="68"/>
      <c r="B166" s="69"/>
      <c r="C166" s="69"/>
      <c r="D166" s="69"/>
      <c r="E166" s="69"/>
      <c r="F166" s="70"/>
    </row>
    <row r="168" spans="1:7" ht="25.5" customHeight="1" x14ac:dyDescent="0.3">
      <c r="A168" s="53" t="s">
        <v>431</v>
      </c>
      <c r="B168" s="747" t="s">
        <v>918</v>
      </c>
      <c r="C168" s="747"/>
      <c r="D168" s="747"/>
      <c r="E168" s="747"/>
      <c r="F168" s="747"/>
      <c r="G168" s="747"/>
    </row>
    <row r="169" spans="1:7" x14ac:dyDescent="0.3">
      <c r="A169" s="53" t="s">
        <v>432</v>
      </c>
      <c r="B169" s="747" t="s">
        <v>919</v>
      </c>
      <c r="C169" s="747"/>
      <c r="D169" s="747"/>
      <c r="E169" s="747"/>
      <c r="F169" s="747"/>
    </row>
    <row r="170" spans="1:7" x14ac:dyDescent="0.3">
      <c r="A170" s="53" t="s">
        <v>904</v>
      </c>
      <c r="B170" s="747" t="s">
        <v>920</v>
      </c>
      <c r="C170" s="747"/>
      <c r="D170" s="747"/>
      <c r="E170" s="747"/>
      <c r="F170" s="671"/>
    </row>
    <row r="171" spans="1:7" ht="15.5" x14ac:dyDescent="0.3">
      <c r="A171" s="53" t="s">
        <v>908</v>
      </c>
      <c r="B171" s="753">
        <v>277000000</v>
      </c>
      <c r="C171" s="753"/>
      <c r="D171" s="189"/>
      <c r="E171" s="670"/>
      <c r="F171" s="54"/>
    </row>
    <row r="172" spans="1:7" ht="15.5" x14ac:dyDescent="0.3">
      <c r="A172" s="53" t="s">
        <v>897</v>
      </c>
      <c r="B172" s="753" t="s">
        <v>384</v>
      </c>
      <c r="C172" s="753"/>
      <c r="D172" s="189"/>
      <c r="E172" s="670"/>
      <c r="F172" s="54"/>
    </row>
    <row r="173" spans="1:7" ht="15.5" x14ac:dyDescent="0.3">
      <c r="A173" s="53" t="s">
        <v>433</v>
      </c>
      <c r="B173" s="748">
        <v>1</v>
      </c>
      <c r="C173" s="748"/>
      <c r="D173" s="669"/>
      <c r="E173" s="669"/>
      <c r="F173" s="54"/>
    </row>
    <row r="174" spans="1:7" ht="15.5" x14ac:dyDescent="0.3">
      <c r="A174" s="53" t="s">
        <v>434</v>
      </c>
      <c r="B174" s="749" t="s">
        <v>895</v>
      </c>
      <c r="C174" s="750"/>
      <c r="D174" s="672"/>
      <c r="E174" s="672"/>
      <c r="F174" s="54"/>
    </row>
    <row r="175" spans="1:7" ht="15.5" x14ac:dyDescent="0.3">
      <c r="A175" s="53" t="s">
        <v>435</v>
      </c>
      <c r="B175" s="749">
        <v>43921</v>
      </c>
      <c r="C175" s="750"/>
      <c r="D175" s="672"/>
      <c r="E175" s="672"/>
      <c r="F175" s="54"/>
    </row>
    <row r="176" spans="1:7" x14ac:dyDescent="0.3">
      <c r="A176" s="62"/>
      <c r="B176" s="63"/>
      <c r="C176" s="63"/>
      <c r="D176" s="63"/>
      <c r="E176" s="64" t="s">
        <v>865</v>
      </c>
    </row>
    <row r="177" spans="1:8" ht="39" x14ac:dyDescent="0.3">
      <c r="A177" s="467" t="s">
        <v>267</v>
      </c>
      <c r="B177" s="468" t="s">
        <v>436</v>
      </c>
      <c r="C177" s="467" t="s">
        <v>437</v>
      </c>
      <c r="D177" s="467" t="s">
        <v>438</v>
      </c>
      <c r="E177" s="467"/>
      <c r="F177" s="467"/>
      <c r="G177" s="467" t="s">
        <v>408</v>
      </c>
      <c r="H177" s="58"/>
    </row>
    <row r="178" spans="1:8" x14ac:dyDescent="0.3">
      <c r="A178" s="468" t="s">
        <v>439</v>
      </c>
      <c r="B178" s="469" t="s">
        <v>865</v>
      </c>
      <c r="C178" s="469">
        <v>277000000</v>
      </c>
      <c r="D178" s="469"/>
      <c r="E178" s="469"/>
      <c r="F178" s="469"/>
      <c r="G178" s="469">
        <f>SUM(B178:C178)</f>
        <v>277000000</v>
      </c>
      <c r="H178" s="58"/>
    </row>
    <row r="179" spans="1:8" x14ac:dyDescent="0.3">
      <c r="A179" s="470" t="s">
        <v>440</v>
      </c>
      <c r="B179" s="470"/>
      <c r="C179" s="470"/>
      <c r="D179" s="470"/>
      <c r="E179" s="470"/>
      <c r="F179" s="470"/>
      <c r="G179" s="470"/>
      <c r="H179" s="58"/>
    </row>
    <row r="180" spans="1:8" x14ac:dyDescent="0.3">
      <c r="A180" s="471" t="s">
        <v>441</v>
      </c>
      <c r="B180" s="472"/>
      <c r="C180" s="472">
        <v>277000000</v>
      </c>
      <c r="D180" s="472"/>
      <c r="E180" s="472"/>
      <c r="F180" s="472"/>
      <c r="G180" s="472">
        <f>SUM(B180:D180)</f>
        <v>277000000</v>
      </c>
      <c r="H180" s="66"/>
    </row>
    <row r="181" spans="1:8" x14ac:dyDescent="0.3">
      <c r="A181" s="471"/>
      <c r="B181" s="472"/>
      <c r="C181" s="472"/>
      <c r="D181" s="472"/>
      <c r="E181" s="472"/>
      <c r="F181" s="472"/>
      <c r="G181" s="472"/>
      <c r="H181" s="71"/>
    </row>
    <row r="182" spans="1:8" x14ac:dyDescent="0.3">
      <c r="A182" s="468" t="s">
        <v>444</v>
      </c>
      <c r="B182" s="473">
        <v>0</v>
      </c>
      <c r="C182" s="473">
        <v>5405991</v>
      </c>
      <c r="D182" s="473">
        <v>77069949</v>
      </c>
      <c r="E182" s="473">
        <v>129222732</v>
      </c>
      <c r="F182" s="473">
        <v>65301328</v>
      </c>
      <c r="G182" s="473">
        <f>SUM(B182:F182)</f>
        <v>277000000</v>
      </c>
      <c r="H182" s="73"/>
    </row>
    <row r="183" spans="1:8" x14ac:dyDescent="0.3">
      <c r="A183" s="470" t="s">
        <v>440</v>
      </c>
      <c r="B183" s="470"/>
      <c r="C183" s="470"/>
      <c r="D183" s="470"/>
      <c r="E183" s="470"/>
      <c r="F183" s="470"/>
      <c r="G183" s="473">
        <f t="shared" ref="G183:G191" si="6">SUM(B183:F183)</f>
        <v>0</v>
      </c>
      <c r="H183" s="56"/>
    </row>
    <row r="184" spans="1:8" x14ac:dyDescent="0.3">
      <c r="A184" s="471" t="s">
        <v>445</v>
      </c>
      <c r="B184" s="474"/>
      <c r="C184" s="474"/>
      <c r="D184" s="474"/>
      <c r="E184" s="474"/>
      <c r="F184" s="474"/>
      <c r="G184" s="473">
        <f t="shared" si="6"/>
        <v>0</v>
      </c>
    </row>
    <row r="185" spans="1:8" ht="26" x14ac:dyDescent="0.3">
      <c r="A185" s="471" t="s">
        <v>206</v>
      </c>
      <c r="B185" s="474"/>
      <c r="C185" s="474"/>
      <c r="D185" s="474"/>
      <c r="E185" s="474"/>
      <c r="F185" s="474"/>
      <c r="G185" s="473">
        <f t="shared" si="6"/>
        <v>0</v>
      </c>
    </row>
    <row r="186" spans="1:8" x14ac:dyDescent="0.3">
      <c r="A186" s="471" t="s">
        <v>446</v>
      </c>
      <c r="B186" s="474" t="s">
        <v>865</v>
      </c>
      <c r="C186" s="474">
        <v>5405991</v>
      </c>
      <c r="D186" s="474">
        <v>13537182</v>
      </c>
      <c r="E186" s="474">
        <v>5157198</v>
      </c>
      <c r="F186" s="474">
        <v>3268561</v>
      </c>
      <c r="G186" s="473">
        <f t="shared" si="6"/>
        <v>27368932</v>
      </c>
    </row>
    <row r="187" spans="1:8" x14ac:dyDescent="0.3">
      <c r="A187" s="471" t="s">
        <v>447</v>
      </c>
      <c r="B187" s="474"/>
      <c r="C187" s="474" t="s">
        <v>865</v>
      </c>
      <c r="D187" s="474">
        <v>63532767</v>
      </c>
      <c r="E187" s="474">
        <v>124065534</v>
      </c>
      <c r="F187" s="474">
        <v>62032767</v>
      </c>
      <c r="G187" s="473">
        <f t="shared" si="6"/>
        <v>249631068</v>
      </c>
    </row>
    <row r="188" spans="1:8" x14ac:dyDescent="0.3">
      <c r="A188" s="471" t="s">
        <v>909</v>
      </c>
      <c r="B188" s="474"/>
      <c r="C188" s="474"/>
      <c r="D188" s="474" t="s">
        <v>865</v>
      </c>
      <c r="E188" s="474"/>
      <c r="F188" s="474"/>
      <c r="G188" s="473">
        <f t="shared" si="6"/>
        <v>0</v>
      </c>
    </row>
    <row r="189" spans="1:8" ht="12.75" customHeight="1" x14ac:dyDescent="0.3">
      <c r="A189" s="471" t="s">
        <v>448</v>
      </c>
      <c r="B189" s="474"/>
      <c r="C189" s="474"/>
      <c r="D189" s="474"/>
      <c r="E189" s="474"/>
      <c r="F189" s="474"/>
      <c r="G189" s="473">
        <f t="shared" si="6"/>
        <v>0</v>
      </c>
    </row>
    <row r="190" spans="1:8" ht="12.75" customHeight="1" x14ac:dyDescent="0.3">
      <c r="A190" s="471" t="s">
        <v>235</v>
      </c>
      <c r="B190" s="474"/>
      <c r="C190" s="474"/>
      <c r="D190" s="474"/>
      <c r="E190" s="474"/>
      <c r="F190" s="474"/>
      <c r="G190" s="473">
        <f t="shared" si="6"/>
        <v>0</v>
      </c>
    </row>
    <row r="191" spans="1:8" ht="13.5" x14ac:dyDescent="0.3">
      <c r="A191" s="475" t="s">
        <v>449</v>
      </c>
      <c r="B191" s="476" t="s">
        <v>865</v>
      </c>
      <c r="C191" s="476">
        <v>5405991</v>
      </c>
      <c r="D191" s="476">
        <v>77069949</v>
      </c>
      <c r="E191" s="476">
        <v>129222732</v>
      </c>
      <c r="F191" s="476">
        <v>65301328</v>
      </c>
      <c r="G191" s="473">
        <f t="shared" si="6"/>
        <v>277000000</v>
      </c>
    </row>
    <row r="192" spans="1:8" ht="27.75" customHeight="1" x14ac:dyDescent="0.3">
      <c r="A192" s="475" t="s">
        <v>450</v>
      </c>
      <c r="B192" s="476" t="s">
        <v>898</v>
      </c>
      <c r="C192" s="476" t="s">
        <v>865</v>
      </c>
      <c r="D192" s="476"/>
      <c r="E192" s="476"/>
      <c r="F192" s="476"/>
      <c r="G192" s="477" t="s">
        <v>865</v>
      </c>
    </row>
    <row r="193" spans="1:6" ht="15.75" customHeight="1" x14ac:dyDescent="0.3">
      <c r="A193" s="68"/>
      <c r="B193" s="69"/>
      <c r="C193" s="69"/>
      <c r="D193" s="69"/>
      <c r="E193" s="69"/>
      <c r="F193" s="70"/>
    </row>
  </sheetData>
  <mergeCells count="60">
    <mergeCell ref="B173:C173"/>
    <mergeCell ref="B174:C174"/>
    <mergeCell ref="B175:C175"/>
    <mergeCell ref="B118:E118"/>
    <mergeCell ref="B168:G168"/>
    <mergeCell ref="B169:F169"/>
    <mergeCell ref="B170:E170"/>
    <mergeCell ref="B171:C171"/>
    <mergeCell ref="B172:C172"/>
    <mergeCell ref="B143:E143"/>
    <mergeCell ref="B144:C144"/>
    <mergeCell ref="B145:C145"/>
    <mergeCell ref="B146:C146"/>
    <mergeCell ref="B147:C147"/>
    <mergeCell ref="B148:C148"/>
    <mergeCell ref="B60:F60"/>
    <mergeCell ref="B61:F61"/>
    <mergeCell ref="B64:C64"/>
    <mergeCell ref="B65:C65"/>
    <mergeCell ref="B87:F87"/>
    <mergeCell ref="B88:F88"/>
    <mergeCell ref="B90:C90"/>
    <mergeCell ref="B91:C91"/>
    <mergeCell ref="B92:C92"/>
    <mergeCell ref="B93:C93"/>
    <mergeCell ref="B94:C94"/>
    <mergeCell ref="B62:E62"/>
    <mergeCell ref="B89:E89"/>
    <mergeCell ref="B141:F141"/>
    <mergeCell ref="B142:F142"/>
    <mergeCell ref="B113:F113"/>
    <mergeCell ref="B114:F114"/>
    <mergeCell ref="B115:E115"/>
    <mergeCell ref="B116:C116"/>
    <mergeCell ref="B117:C117"/>
    <mergeCell ref="B119:C119"/>
    <mergeCell ref="B120:C120"/>
    <mergeCell ref="B121:C121"/>
    <mergeCell ref="B63:C63"/>
    <mergeCell ref="B66:C66"/>
    <mergeCell ref="B67:C67"/>
    <mergeCell ref="B6:D6"/>
    <mergeCell ref="B7:D7"/>
    <mergeCell ref="B38:C38"/>
    <mergeCell ref="B9:C9"/>
    <mergeCell ref="B10:C10"/>
    <mergeCell ref="B33:F33"/>
    <mergeCell ref="B37:C37"/>
    <mergeCell ref="B34:F34"/>
    <mergeCell ref="B35:F35"/>
    <mergeCell ref="A1:F1"/>
    <mergeCell ref="B2:C2"/>
    <mergeCell ref="B5:C5"/>
    <mergeCell ref="B3:F3"/>
    <mergeCell ref="B4:F4"/>
    <mergeCell ref="B36:E36"/>
    <mergeCell ref="B39:C39"/>
    <mergeCell ref="B40:C40"/>
    <mergeCell ref="B41:C41"/>
    <mergeCell ref="B8:C8"/>
  </mergeCells>
  <conditionalFormatting sqref="F48 G5:G14 B14:F14 G17:G23 B24:G24 F25:F29 G29:G42 F43:F45 B45:E45 B50:E50 B125:F125 B130:E130 B152:G152 B157:F157 B179:G179 B184:F184">
    <cfRule type="cellIs" dxfId="8" priority="18" stopIfTrue="1" operator="equal">
      <formula>0</formula>
    </cfRule>
  </conditionalFormatting>
  <conditionalFormatting sqref="E51:E55">
    <cfRule type="cellIs" dxfId="7" priority="16" stopIfTrue="1" operator="equal">
      <formula>0</formula>
    </cfRule>
  </conditionalFormatting>
  <conditionalFormatting sqref="F74 F69:F71 B71:E71 B76:E76">
    <cfRule type="cellIs" dxfId="6" priority="10" stopIfTrue="1" operator="equal">
      <formula>0</formula>
    </cfRule>
  </conditionalFormatting>
  <conditionalFormatting sqref="E77:E82">
    <cfRule type="cellIs" dxfId="5" priority="9" stopIfTrue="1" operator="equal">
      <formula>0</formula>
    </cfRule>
  </conditionalFormatting>
  <conditionalFormatting sqref="F101 F96:F98 B98:E98 B103:E103">
    <cfRule type="cellIs" dxfId="4" priority="8" stopIfTrue="1" operator="equal">
      <formula>0</formula>
    </cfRule>
  </conditionalFormatting>
  <conditionalFormatting sqref="E104:E109">
    <cfRule type="cellIs" dxfId="3" priority="7" stopIfTrue="1" operator="equal">
      <formula>0</formula>
    </cfRule>
  </conditionalFormatting>
  <conditionalFormatting sqref="G128 G123:G125">
    <cfRule type="cellIs" dxfId="2" priority="6" stopIfTrue="1" operator="equal">
      <formula>0</formula>
    </cfRule>
  </conditionalFormatting>
  <conditionalFormatting sqref="H155 H150:H152">
    <cfRule type="cellIs" dxfId="1" priority="4" stopIfTrue="1" operator="equal">
      <formula>0</formula>
    </cfRule>
  </conditionalFormatting>
  <conditionalFormatting sqref="H182 H177:H179">
    <cfRule type="cellIs" dxfId="0" priority="2" stopIfTrue="1" operator="equal">
      <formula>0</formula>
    </cfRule>
  </conditionalFormatting>
  <printOptions horizontalCentered="1"/>
  <pageMargins left="0.25" right="0.25" top="0.75" bottom="0.75" header="0.3" footer="0.3"/>
  <pageSetup paperSize="9" scale="86" orientation="landscape" r:id="rId1"/>
  <headerFooter alignWithMargins="0">
    <oddHeader>&amp;R&amp;"Times New Roman CE,Félkövér dőlt"&amp;11 8. melléklet a 16/2017. (IX.04.)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view="pageLayout" topLeftCell="C4" zoomScaleNormal="100" zoomScaleSheetLayoutView="100" workbookViewId="0">
      <selection activeCell="E5" sqref="E5"/>
    </sheetView>
  </sheetViews>
  <sheetFormatPr defaultColWidth="9.296875" defaultRowHeight="15.5" x14ac:dyDescent="0.35"/>
  <cols>
    <col min="1" max="1" width="6.296875" style="11" customWidth="1"/>
    <col min="2" max="2" width="70.796875" style="11" customWidth="1"/>
    <col min="3" max="3" width="12.296875" style="11" customWidth="1"/>
    <col min="4" max="4" width="16.796875" style="11" customWidth="1"/>
    <col min="5" max="5" width="15" style="11" customWidth="1"/>
    <col min="6" max="6" width="17.69921875" style="12" customWidth="1"/>
    <col min="7" max="7" width="14.5" style="334" bestFit="1" customWidth="1"/>
    <col min="8" max="8" width="14.296875" style="336" bestFit="1" customWidth="1"/>
    <col min="9" max="14" width="9.296875" style="1"/>
    <col min="15" max="15" width="20.296875" style="1" customWidth="1"/>
    <col min="16" max="16384" width="9.296875" style="1"/>
  </cols>
  <sheetData>
    <row r="1" spans="1:8" ht="51" customHeight="1" x14ac:dyDescent="0.35">
      <c r="A1" s="712" t="s">
        <v>634</v>
      </c>
      <c r="B1" s="712"/>
      <c r="C1" s="712"/>
      <c r="D1" s="712"/>
      <c r="E1" s="712"/>
      <c r="F1" s="712"/>
      <c r="G1" s="712"/>
      <c r="H1" s="712"/>
    </row>
    <row r="2" spans="1:8" ht="16" customHeight="1" x14ac:dyDescent="0.35">
      <c r="A2" s="713" t="s">
        <v>0</v>
      </c>
      <c r="B2" s="713"/>
      <c r="C2" s="713"/>
      <c r="D2" s="713"/>
      <c r="E2" s="713"/>
      <c r="F2" s="713"/>
      <c r="G2" s="713"/>
      <c r="H2" s="713"/>
    </row>
    <row r="3" spans="1:8" ht="16" customHeight="1" x14ac:dyDescent="0.35">
      <c r="A3" s="754"/>
      <c r="B3" s="754"/>
      <c r="C3" s="2"/>
      <c r="D3" s="350"/>
      <c r="E3" s="350"/>
      <c r="H3" s="3" t="s">
        <v>1</v>
      </c>
    </row>
    <row r="4" spans="1:8" ht="38.15" customHeight="1" x14ac:dyDescent="0.35">
      <c r="A4" s="4" t="s">
        <v>2</v>
      </c>
      <c r="B4" s="5" t="s">
        <v>3</v>
      </c>
      <c r="C4" s="5" t="s">
        <v>4</v>
      </c>
      <c r="D4" s="478" t="s">
        <v>477</v>
      </c>
      <c r="E4" s="478" t="s">
        <v>478</v>
      </c>
      <c r="F4" s="6" t="s">
        <v>5</v>
      </c>
      <c r="G4" s="299" t="s">
        <v>870</v>
      </c>
      <c r="H4" s="337" t="s">
        <v>859</v>
      </c>
    </row>
    <row r="5" spans="1:8" s="7" customFormat="1" ht="12" customHeight="1" x14ac:dyDescent="0.25">
      <c r="A5" s="4" t="s">
        <v>6</v>
      </c>
      <c r="B5" s="5" t="s">
        <v>7</v>
      </c>
      <c r="C5" s="5" t="s">
        <v>8</v>
      </c>
      <c r="D5" s="478" t="s">
        <v>9</v>
      </c>
      <c r="E5" s="478" t="s">
        <v>269</v>
      </c>
      <c r="F5" s="6" t="s">
        <v>479</v>
      </c>
      <c r="G5" s="335"/>
      <c r="H5" s="338"/>
    </row>
    <row r="6" spans="1:8" s="8" customFormat="1" ht="15.75" customHeight="1" x14ac:dyDescent="0.3">
      <c r="A6" s="358" t="s">
        <v>10</v>
      </c>
      <c r="B6" s="359" t="s">
        <v>11</v>
      </c>
      <c r="C6" s="360" t="s">
        <v>12</v>
      </c>
      <c r="D6" s="479">
        <v>250951560</v>
      </c>
      <c r="E6" s="479"/>
      <c r="F6" s="480">
        <f>250002616+948944</f>
        <v>250951560</v>
      </c>
      <c r="G6" s="335">
        <f t="shared" ref="G6:G11" si="0">H6-D6</f>
        <v>0</v>
      </c>
      <c r="H6" s="338">
        <v>250951560</v>
      </c>
    </row>
    <row r="7" spans="1:8" s="8" customFormat="1" ht="15.75" customHeight="1" x14ac:dyDescent="0.3">
      <c r="A7" s="358" t="s">
        <v>13</v>
      </c>
      <c r="B7" s="359" t="s">
        <v>14</v>
      </c>
      <c r="C7" s="360" t="s">
        <v>15</v>
      </c>
      <c r="D7" s="479">
        <v>242687617</v>
      </c>
      <c r="E7" s="479"/>
      <c r="F7" s="480">
        <v>242687617</v>
      </c>
      <c r="G7" s="335">
        <f t="shared" si="0"/>
        <v>2932300</v>
      </c>
      <c r="H7" s="338">
        <v>245619917</v>
      </c>
    </row>
    <row r="8" spans="1:8" s="8" customFormat="1" ht="24" customHeight="1" x14ac:dyDescent="0.3">
      <c r="A8" s="358" t="s">
        <v>16</v>
      </c>
      <c r="B8" s="359" t="s">
        <v>17</v>
      </c>
      <c r="C8" s="360" t="s">
        <v>18</v>
      </c>
      <c r="D8" s="479">
        <v>326754354</v>
      </c>
      <c r="E8" s="479"/>
      <c r="F8" s="480">
        <v>326754354</v>
      </c>
      <c r="G8" s="335">
        <f t="shared" si="0"/>
        <v>11255769</v>
      </c>
      <c r="H8" s="338">
        <v>338010123</v>
      </c>
    </row>
    <row r="9" spans="1:8" s="8" customFormat="1" ht="15.75" customHeight="1" x14ac:dyDescent="0.3">
      <c r="A9" s="358" t="s">
        <v>19</v>
      </c>
      <c r="B9" s="359" t="s">
        <v>20</v>
      </c>
      <c r="C9" s="360" t="s">
        <v>21</v>
      </c>
      <c r="D9" s="479">
        <v>26773920</v>
      </c>
      <c r="E9" s="479"/>
      <c r="F9" s="480">
        <v>26773920</v>
      </c>
      <c r="G9" s="335">
        <f t="shared" si="0"/>
        <v>1656063</v>
      </c>
      <c r="H9" s="338">
        <v>28429983</v>
      </c>
    </row>
    <row r="10" spans="1:8" s="8" customFormat="1" ht="15.75" customHeight="1" x14ac:dyDescent="0.3">
      <c r="A10" s="358" t="s">
        <v>22</v>
      </c>
      <c r="B10" s="359" t="s">
        <v>23</v>
      </c>
      <c r="C10" s="360" t="s">
        <v>24</v>
      </c>
      <c r="D10" s="479"/>
      <c r="E10" s="479"/>
      <c r="F10" s="480"/>
      <c r="G10" s="335">
        <f t="shared" si="0"/>
        <v>15168511</v>
      </c>
      <c r="H10" s="338">
        <v>15168511</v>
      </c>
    </row>
    <row r="11" spans="1:8" s="8" customFormat="1" ht="15.75" customHeight="1" x14ac:dyDescent="0.3">
      <c r="A11" s="358" t="s">
        <v>25</v>
      </c>
      <c r="B11" s="359" t="s">
        <v>26</v>
      </c>
      <c r="C11" s="360" t="s">
        <v>27</v>
      </c>
      <c r="D11" s="479"/>
      <c r="E11" s="479"/>
      <c r="F11" s="480"/>
      <c r="G11" s="335">
        <f t="shared" si="0"/>
        <v>0</v>
      </c>
      <c r="H11" s="338"/>
    </row>
    <row r="12" spans="1:8" s="8" customFormat="1" ht="15.75" customHeight="1" x14ac:dyDescent="0.3">
      <c r="A12" s="130" t="s">
        <v>28</v>
      </c>
      <c r="B12" s="115" t="s">
        <v>29</v>
      </c>
      <c r="C12" s="119" t="s">
        <v>30</v>
      </c>
      <c r="D12" s="118">
        <f t="shared" ref="D12:E12" si="1">+D6+D7+D8+D9+D10+D11</f>
        <v>847167451</v>
      </c>
      <c r="E12" s="118">
        <f t="shared" si="1"/>
        <v>0</v>
      </c>
      <c r="F12" s="118">
        <f>+F6+F7+F8+F9+F10+F11</f>
        <v>847167451</v>
      </c>
      <c r="G12" s="118">
        <f t="shared" ref="G12:H12" si="2">+G6+G7+G8+G9+G10+G11</f>
        <v>31012643</v>
      </c>
      <c r="H12" s="118">
        <f t="shared" si="2"/>
        <v>878180094</v>
      </c>
    </row>
    <row r="13" spans="1:8" s="8" customFormat="1" ht="15.75" customHeight="1" x14ac:dyDescent="0.3">
      <c r="A13" s="358" t="s">
        <v>31</v>
      </c>
      <c r="B13" s="359" t="s">
        <v>32</v>
      </c>
      <c r="C13" s="360" t="s">
        <v>33</v>
      </c>
      <c r="D13" s="479"/>
      <c r="E13" s="479"/>
      <c r="F13" s="480"/>
      <c r="G13" s="335"/>
      <c r="H13" s="338"/>
    </row>
    <row r="14" spans="1:8" s="8" customFormat="1" ht="15.75" customHeight="1" x14ac:dyDescent="0.3">
      <c r="A14" s="358" t="s">
        <v>34</v>
      </c>
      <c r="B14" s="359" t="s">
        <v>35</v>
      </c>
      <c r="C14" s="360" t="s">
        <v>36</v>
      </c>
      <c r="D14" s="480">
        <f t="shared" ref="D14:E14" si="3">SUM(D15:D21)</f>
        <v>39208485</v>
      </c>
      <c r="E14" s="480">
        <f t="shared" si="3"/>
        <v>70875180</v>
      </c>
      <c r="F14" s="480">
        <f>SUM(F15:F21)</f>
        <v>110083665</v>
      </c>
      <c r="G14" s="335">
        <f>H14-F14</f>
        <v>272597618</v>
      </c>
      <c r="H14" s="338">
        <f>SUM(H15:H21)</f>
        <v>382681283</v>
      </c>
    </row>
    <row r="15" spans="1:8" s="8" customFormat="1" ht="24" customHeight="1" x14ac:dyDescent="0.3">
      <c r="A15" s="358" t="s">
        <v>37</v>
      </c>
      <c r="B15" s="362" t="s">
        <v>38</v>
      </c>
      <c r="C15" s="360" t="s">
        <v>36</v>
      </c>
      <c r="D15" s="479"/>
      <c r="E15" s="479"/>
      <c r="F15" s="481"/>
      <c r="G15" s="335"/>
      <c r="H15" s="338">
        <f t="shared" ref="H15:H21" si="4">D15+G15</f>
        <v>0</v>
      </c>
    </row>
    <row r="16" spans="1:8" s="8" customFormat="1" ht="24.75" customHeight="1" x14ac:dyDescent="0.3">
      <c r="A16" s="358" t="s">
        <v>39</v>
      </c>
      <c r="B16" s="364" t="s">
        <v>40</v>
      </c>
      <c r="C16" s="360" t="s">
        <v>36</v>
      </c>
      <c r="D16" s="479"/>
      <c r="E16" s="479">
        <v>55826180</v>
      </c>
      <c r="F16" s="481">
        <f>'[17]8.sz.mell. '!F13</f>
        <v>55826180</v>
      </c>
      <c r="G16" s="335">
        <f>H16-F16</f>
        <v>9000000</v>
      </c>
      <c r="H16" s="338">
        <v>64826180</v>
      </c>
    </row>
    <row r="17" spans="1:8" s="8" customFormat="1" ht="15.75" customHeight="1" x14ac:dyDescent="0.3">
      <c r="A17" s="358" t="s">
        <v>41</v>
      </c>
      <c r="B17" s="364" t="s">
        <v>42</v>
      </c>
      <c r="C17" s="360" t="s">
        <v>36</v>
      </c>
      <c r="D17" s="479"/>
      <c r="E17" s="479"/>
      <c r="F17" s="481"/>
      <c r="G17" s="335"/>
      <c r="H17" s="338">
        <f t="shared" si="4"/>
        <v>0</v>
      </c>
    </row>
    <row r="18" spans="1:8" s="8" customFormat="1" ht="19.5" customHeight="1" x14ac:dyDescent="0.3">
      <c r="A18" s="358" t="s">
        <v>43</v>
      </c>
      <c r="B18" s="364" t="s">
        <v>44</v>
      </c>
      <c r="C18" s="360" t="s">
        <v>36</v>
      </c>
      <c r="D18" s="479"/>
      <c r="E18" s="479">
        <v>15049000</v>
      </c>
      <c r="F18" s="361">
        <f>13321000+1728000</f>
        <v>15049000</v>
      </c>
      <c r="G18" s="335">
        <f>H18-F18</f>
        <v>338580</v>
      </c>
      <c r="H18" s="338">
        <v>15387580</v>
      </c>
    </row>
    <row r="19" spans="1:8" s="8" customFormat="1" ht="19.5" customHeight="1" x14ac:dyDescent="0.3">
      <c r="A19" s="358" t="s">
        <v>45</v>
      </c>
      <c r="B19" s="364" t="s">
        <v>46</v>
      </c>
      <c r="C19" s="360" t="s">
        <v>36</v>
      </c>
      <c r="D19" s="479">
        <v>8348400</v>
      </c>
      <c r="E19" s="479"/>
      <c r="F19" s="481">
        <f>695700*12</f>
        <v>8348400</v>
      </c>
      <c r="G19" s="335"/>
      <c r="H19" s="338">
        <f t="shared" si="4"/>
        <v>8348400</v>
      </c>
    </row>
    <row r="20" spans="1:8" s="8" customFormat="1" ht="24" customHeight="1" x14ac:dyDescent="0.3">
      <c r="A20" s="358" t="s">
        <v>47</v>
      </c>
      <c r="B20" s="364" t="s">
        <v>48</v>
      </c>
      <c r="C20" s="360" t="s">
        <v>36</v>
      </c>
      <c r="D20" s="479">
        <v>30860085</v>
      </c>
      <c r="E20" s="479"/>
      <c r="F20" s="481">
        <f>25113874+594898+5151313</f>
        <v>30860085</v>
      </c>
      <c r="G20" s="335">
        <v>258650477</v>
      </c>
      <c r="H20" s="338">
        <f t="shared" si="4"/>
        <v>289510562</v>
      </c>
    </row>
    <row r="21" spans="1:8" s="8" customFormat="1" ht="24.75" customHeight="1" x14ac:dyDescent="0.3">
      <c r="A21" s="358" t="s">
        <v>49</v>
      </c>
      <c r="B21" s="364" t="s">
        <v>50</v>
      </c>
      <c r="C21" s="360" t="s">
        <v>36</v>
      </c>
      <c r="D21" s="479"/>
      <c r="E21" s="479"/>
      <c r="F21" s="481"/>
      <c r="G21" s="335">
        <v>4608561</v>
      </c>
      <c r="H21" s="338">
        <f t="shared" si="4"/>
        <v>4608561</v>
      </c>
    </row>
    <row r="22" spans="1:8" s="8" customFormat="1" ht="18" customHeight="1" x14ac:dyDescent="0.3">
      <c r="A22" s="365" t="s">
        <v>51</v>
      </c>
      <c r="B22" s="366" t="s">
        <v>52</v>
      </c>
      <c r="C22" s="367" t="s">
        <v>53</v>
      </c>
      <c r="D22" s="482">
        <f t="shared" ref="D22:E22" si="5">SUM(D12+D13+D14)</f>
        <v>886375936</v>
      </c>
      <c r="E22" s="482">
        <f t="shared" si="5"/>
        <v>70875180</v>
      </c>
      <c r="F22" s="482">
        <f>SUM(F12+F13+F14)</f>
        <v>957251116</v>
      </c>
      <c r="G22" s="482">
        <f t="shared" ref="G22:H22" si="6">SUM(G12+G13+G14)</f>
        <v>303610261</v>
      </c>
      <c r="H22" s="482">
        <f t="shared" si="6"/>
        <v>1260861377</v>
      </c>
    </row>
    <row r="23" spans="1:8" s="8" customFormat="1" ht="15.75" customHeight="1" x14ac:dyDescent="0.3">
      <c r="A23" s="358" t="s">
        <v>54</v>
      </c>
      <c r="B23" s="369" t="s">
        <v>55</v>
      </c>
      <c r="C23" s="360" t="s">
        <v>56</v>
      </c>
      <c r="D23" s="483"/>
      <c r="E23" s="483"/>
      <c r="F23" s="361"/>
      <c r="G23" s="335"/>
      <c r="H23" s="338"/>
    </row>
    <row r="24" spans="1:8" s="8" customFormat="1" ht="15.75" customHeight="1" x14ac:dyDescent="0.3">
      <c r="A24" s="358" t="s">
        <v>57</v>
      </c>
      <c r="B24" s="369" t="s">
        <v>58</v>
      </c>
      <c r="C24" s="360" t="s">
        <v>59</v>
      </c>
      <c r="D24" s="361">
        <f t="shared" ref="D24:E24" si="7">SUM(D25:D30)</f>
        <v>50000000</v>
      </c>
      <c r="E24" s="361">
        <f t="shared" si="7"/>
        <v>0</v>
      </c>
      <c r="F24" s="361">
        <f>SUM(F25:F30)</f>
        <v>50000000</v>
      </c>
      <c r="G24" s="335">
        <f>H24-F24</f>
        <v>1157803187</v>
      </c>
      <c r="H24" s="338">
        <f>SUM(H25:H30)</f>
        <v>1207803187</v>
      </c>
    </row>
    <row r="25" spans="1:8" s="8" customFormat="1" ht="15.75" customHeight="1" x14ac:dyDescent="0.3">
      <c r="A25" s="358" t="s">
        <v>60</v>
      </c>
      <c r="B25" s="362" t="s">
        <v>61</v>
      </c>
      <c r="C25" s="360" t="s">
        <v>59</v>
      </c>
      <c r="D25" s="479">
        <v>50000000</v>
      </c>
      <c r="E25" s="483"/>
      <c r="F25" s="361">
        <v>50000000</v>
      </c>
      <c r="G25" s="335">
        <f t="shared" ref="G25:G76" si="8">H25-F25</f>
        <v>0</v>
      </c>
      <c r="H25" s="338">
        <v>50000000</v>
      </c>
    </row>
    <row r="26" spans="1:8" s="8" customFormat="1" ht="24" customHeight="1" x14ac:dyDescent="0.3">
      <c r="A26" s="358" t="s">
        <v>62</v>
      </c>
      <c r="B26" s="370" t="s">
        <v>63</v>
      </c>
      <c r="C26" s="360" t="s">
        <v>59</v>
      </c>
      <c r="D26" s="483"/>
      <c r="E26" s="483"/>
      <c r="F26" s="361"/>
      <c r="G26" s="335">
        <f t="shared" si="8"/>
        <v>1157803187</v>
      </c>
      <c r="H26" s="338">
        <v>1157803187</v>
      </c>
    </row>
    <row r="27" spans="1:8" s="8" customFormat="1" ht="15.75" customHeight="1" x14ac:dyDescent="0.3">
      <c r="A27" s="358" t="s">
        <v>64</v>
      </c>
      <c r="B27" s="370" t="s">
        <v>65</v>
      </c>
      <c r="C27" s="360" t="s">
        <v>59</v>
      </c>
      <c r="D27" s="483"/>
      <c r="E27" s="483"/>
      <c r="F27" s="361"/>
      <c r="G27" s="335">
        <f t="shared" si="8"/>
        <v>0</v>
      </c>
      <c r="H27" s="338"/>
    </row>
    <row r="28" spans="1:8" s="8" customFormat="1" ht="15.75" customHeight="1" x14ac:dyDescent="0.3">
      <c r="A28" s="358" t="s">
        <v>66</v>
      </c>
      <c r="B28" s="370" t="s">
        <v>67</v>
      </c>
      <c r="C28" s="360" t="s">
        <v>59</v>
      </c>
      <c r="D28" s="483"/>
      <c r="E28" s="483"/>
      <c r="F28" s="361"/>
      <c r="G28" s="335">
        <f t="shared" si="8"/>
        <v>0</v>
      </c>
      <c r="H28" s="338"/>
    </row>
    <row r="29" spans="1:8" s="8" customFormat="1" ht="24.75" customHeight="1" x14ac:dyDescent="0.3">
      <c r="A29" s="358" t="s">
        <v>68</v>
      </c>
      <c r="B29" s="370" t="s">
        <v>69</v>
      </c>
      <c r="C29" s="360" t="s">
        <v>59</v>
      </c>
      <c r="D29" s="483"/>
      <c r="E29" s="483"/>
      <c r="F29" s="361"/>
      <c r="G29" s="335">
        <f t="shared" si="8"/>
        <v>0</v>
      </c>
      <c r="H29" s="338"/>
    </row>
    <row r="30" spans="1:8" s="8" customFormat="1" ht="24" customHeight="1" x14ac:dyDescent="0.3">
      <c r="A30" s="358" t="s">
        <v>70</v>
      </c>
      <c r="B30" s="370" t="s">
        <v>71</v>
      </c>
      <c r="C30" s="360" t="s">
        <v>59</v>
      </c>
      <c r="D30" s="483"/>
      <c r="E30" s="483"/>
      <c r="F30" s="484"/>
      <c r="G30" s="335">
        <f t="shared" si="8"/>
        <v>0</v>
      </c>
      <c r="H30" s="338"/>
    </row>
    <row r="31" spans="1:8" s="678" customFormat="1" ht="22.5" customHeight="1" x14ac:dyDescent="0.3">
      <c r="A31" s="130" t="s">
        <v>72</v>
      </c>
      <c r="B31" s="115" t="s">
        <v>73</v>
      </c>
      <c r="C31" s="119" t="s">
        <v>74</v>
      </c>
      <c r="D31" s="132">
        <f t="shared" ref="D31:E31" si="9">SUM(D23+D24)</f>
        <v>50000000</v>
      </c>
      <c r="E31" s="132">
        <f t="shared" si="9"/>
        <v>0</v>
      </c>
      <c r="F31" s="132">
        <f>SUM(F23+F24)</f>
        <v>50000000</v>
      </c>
      <c r="G31" s="298">
        <f t="shared" si="8"/>
        <v>1157803187</v>
      </c>
      <c r="H31" s="118">
        <f t="shared" ref="H31" si="10">SUM(H23+H24)</f>
        <v>1207803187</v>
      </c>
    </row>
    <row r="32" spans="1:8" s="8" customFormat="1" ht="14.25" customHeight="1" x14ac:dyDescent="0.3">
      <c r="A32" s="358" t="s">
        <v>75</v>
      </c>
      <c r="B32" s="371" t="s">
        <v>76</v>
      </c>
      <c r="C32" s="372" t="s">
        <v>77</v>
      </c>
      <c r="D32" s="485"/>
      <c r="E32" s="485"/>
      <c r="F32" s="373"/>
      <c r="G32" s="335">
        <f t="shared" si="8"/>
        <v>0</v>
      </c>
      <c r="H32" s="338"/>
    </row>
    <row r="33" spans="1:8" s="8" customFormat="1" ht="14.25" customHeight="1" x14ac:dyDescent="0.3">
      <c r="A33" s="358" t="s">
        <v>78</v>
      </c>
      <c r="B33" s="359" t="s">
        <v>79</v>
      </c>
      <c r="C33" s="360" t="s">
        <v>80</v>
      </c>
      <c r="D33" s="480">
        <f t="shared" ref="D33:E33" si="11">SUM(D34:D36)</f>
        <v>131000000</v>
      </c>
      <c r="E33" s="480">
        <f t="shared" si="11"/>
        <v>0</v>
      </c>
      <c r="F33" s="361">
        <f>SUM(F34:F36)</f>
        <v>131000000</v>
      </c>
      <c r="G33" s="335">
        <f t="shared" si="8"/>
        <v>0</v>
      </c>
      <c r="H33" s="338">
        <v>131000000</v>
      </c>
    </row>
    <row r="34" spans="1:8" s="8" customFormat="1" ht="14.25" customHeight="1" x14ac:dyDescent="0.3">
      <c r="A34" s="358" t="s">
        <v>81</v>
      </c>
      <c r="B34" s="374" t="s">
        <v>82</v>
      </c>
      <c r="C34" s="375" t="s">
        <v>80</v>
      </c>
      <c r="D34" s="486">
        <v>75000000</v>
      </c>
      <c r="E34" s="486"/>
      <c r="F34" s="363">
        <v>75000000</v>
      </c>
      <c r="G34" s="335">
        <f t="shared" si="8"/>
        <v>0</v>
      </c>
      <c r="H34" s="338">
        <v>75000000</v>
      </c>
    </row>
    <row r="35" spans="1:8" s="8" customFormat="1" ht="14.25" customHeight="1" x14ac:dyDescent="0.3">
      <c r="A35" s="358" t="s">
        <v>83</v>
      </c>
      <c r="B35" s="377" t="s">
        <v>84</v>
      </c>
      <c r="C35" s="375" t="s">
        <v>80</v>
      </c>
      <c r="D35" s="486">
        <v>8000000</v>
      </c>
      <c r="E35" s="486"/>
      <c r="F35" s="363">
        <v>8000000</v>
      </c>
      <c r="G35" s="335">
        <f t="shared" si="8"/>
        <v>0</v>
      </c>
      <c r="H35" s="338">
        <v>8000000</v>
      </c>
    </row>
    <row r="36" spans="1:8" s="8" customFormat="1" ht="14.25" customHeight="1" x14ac:dyDescent="0.3">
      <c r="A36" s="358" t="s">
        <v>85</v>
      </c>
      <c r="B36" s="377" t="s">
        <v>86</v>
      </c>
      <c r="C36" s="375" t="s">
        <v>80</v>
      </c>
      <c r="D36" s="486">
        <v>48000000</v>
      </c>
      <c r="E36" s="486"/>
      <c r="F36" s="363">
        <v>48000000</v>
      </c>
      <c r="G36" s="335">
        <f t="shared" si="8"/>
        <v>0</v>
      </c>
      <c r="H36" s="338">
        <v>48000000</v>
      </c>
    </row>
    <row r="37" spans="1:8" s="8" customFormat="1" ht="14.25" customHeight="1" x14ac:dyDescent="0.3">
      <c r="A37" s="358" t="s">
        <v>87</v>
      </c>
      <c r="B37" s="378" t="s">
        <v>88</v>
      </c>
      <c r="C37" s="360" t="s">
        <v>89</v>
      </c>
      <c r="D37" s="480">
        <f t="shared" ref="D37:E37" si="12">SUM(D38:D39)</f>
        <v>580000000</v>
      </c>
      <c r="E37" s="480">
        <f t="shared" si="12"/>
        <v>0</v>
      </c>
      <c r="F37" s="361">
        <f>SUM(F38:F39)</f>
        <v>580000000</v>
      </c>
      <c r="G37" s="335">
        <f t="shared" si="8"/>
        <v>0</v>
      </c>
      <c r="H37" s="338">
        <v>580000000</v>
      </c>
    </row>
    <row r="38" spans="1:8" s="8" customFormat="1" ht="14.25" customHeight="1" x14ac:dyDescent="0.3">
      <c r="A38" s="358" t="s">
        <v>90</v>
      </c>
      <c r="B38" s="379" t="s">
        <v>91</v>
      </c>
      <c r="C38" s="375" t="s">
        <v>89</v>
      </c>
      <c r="D38" s="486">
        <v>580000000</v>
      </c>
      <c r="E38" s="486"/>
      <c r="F38" s="363">
        <v>580000000</v>
      </c>
      <c r="G38" s="335">
        <f t="shared" si="8"/>
        <v>0</v>
      </c>
      <c r="H38" s="338">
        <v>580000000</v>
      </c>
    </row>
    <row r="39" spans="1:8" s="8" customFormat="1" ht="14.25" customHeight="1" x14ac:dyDescent="0.3">
      <c r="A39" s="358" t="s">
        <v>92</v>
      </c>
      <c r="B39" s="379" t="s">
        <v>93</v>
      </c>
      <c r="C39" s="375" t="s">
        <v>89</v>
      </c>
      <c r="D39" s="486"/>
      <c r="E39" s="486"/>
      <c r="F39" s="361"/>
      <c r="G39" s="335">
        <f t="shared" si="8"/>
        <v>0</v>
      </c>
      <c r="H39" s="338"/>
    </row>
    <row r="40" spans="1:8" s="8" customFormat="1" ht="17.25" customHeight="1" x14ac:dyDescent="0.3">
      <c r="A40" s="358" t="s">
        <v>94</v>
      </c>
      <c r="B40" s="380" t="s">
        <v>95</v>
      </c>
      <c r="C40" s="360" t="s">
        <v>96</v>
      </c>
      <c r="D40" s="479">
        <v>38000000</v>
      </c>
      <c r="E40" s="479"/>
      <c r="F40" s="361">
        <v>38000000</v>
      </c>
      <c r="G40" s="335">
        <f t="shared" si="8"/>
        <v>0</v>
      </c>
      <c r="H40" s="338">
        <v>38000000</v>
      </c>
    </row>
    <row r="41" spans="1:8" s="8" customFormat="1" ht="17.25" customHeight="1" x14ac:dyDescent="0.3">
      <c r="A41" s="358" t="s">
        <v>97</v>
      </c>
      <c r="B41" s="378" t="s">
        <v>98</v>
      </c>
      <c r="C41" s="360" t="s">
        <v>99</v>
      </c>
      <c r="D41" s="480">
        <f t="shared" ref="D41:E41" si="13">SUM(D42:D43)</f>
        <v>0</v>
      </c>
      <c r="E41" s="480">
        <f t="shared" si="13"/>
        <v>0</v>
      </c>
      <c r="F41" s="361">
        <f>SUM(F42:F43)</f>
        <v>0</v>
      </c>
      <c r="G41" s="335">
        <f t="shared" si="8"/>
        <v>669400</v>
      </c>
      <c r="H41" s="338">
        <v>669400</v>
      </c>
    </row>
    <row r="42" spans="1:8" s="8" customFormat="1" ht="14.25" customHeight="1" x14ac:dyDescent="0.3">
      <c r="A42" s="358" t="s">
        <v>100</v>
      </c>
      <c r="B42" s="379" t="s">
        <v>101</v>
      </c>
      <c r="C42" s="375" t="s">
        <v>99</v>
      </c>
      <c r="D42" s="486"/>
      <c r="E42" s="486"/>
      <c r="F42" s="361"/>
      <c r="G42" s="335">
        <f t="shared" si="8"/>
        <v>669400</v>
      </c>
      <c r="H42" s="338">
        <v>669400</v>
      </c>
    </row>
    <row r="43" spans="1:8" s="8" customFormat="1" ht="14.25" customHeight="1" x14ac:dyDescent="0.3">
      <c r="A43" s="358" t="s">
        <v>102</v>
      </c>
      <c r="B43" s="379" t="s">
        <v>103</v>
      </c>
      <c r="C43" s="375" t="s">
        <v>99</v>
      </c>
      <c r="D43" s="486"/>
      <c r="E43" s="486"/>
      <c r="F43" s="361"/>
      <c r="G43" s="335">
        <f t="shared" si="8"/>
        <v>0</v>
      </c>
      <c r="H43" s="338"/>
    </row>
    <row r="44" spans="1:8" s="8" customFormat="1" ht="14.25" customHeight="1" x14ac:dyDescent="0.3">
      <c r="A44" s="358" t="s">
        <v>104</v>
      </c>
      <c r="B44" s="369" t="s">
        <v>105</v>
      </c>
      <c r="C44" s="381" t="s">
        <v>106</v>
      </c>
      <c r="D44" s="487">
        <v>2000000</v>
      </c>
      <c r="E44" s="487"/>
      <c r="F44" s="361">
        <v>2000000</v>
      </c>
      <c r="G44" s="335">
        <f t="shared" si="8"/>
        <v>593953</v>
      </c>
      <c r="H44" s="338">
        <v>2593953</v>
      </c>
    </row>
    <row r="45" spans="1:8" s="678" customFormat="1" ht="17.25" customHeight="1" x14ac:dyDescent="0.3">
      <c r="A45" s="130" t="s">
        <v>107</v>
      </c>
      <c r="B45" s="115" t="s">
        <v>108</v>
      </c>
      <c r="C45" s="119" t="s">
        <v>109</v>
      </c>
      <c r="D45" s="132">
        <f t="shared" ref="D45:E45" si="14">SUM(D32+D33+D37+D40+D41+D44)</f>
        <v>751000000</v>
      </c>
      <c r="E45" s="132">
        <f t="shared" si="14"/>
        <v>0</v>
      </c>
      <c r="F45" s="132">
        <f>SUM(F32+F33+F37+F40+F41+F44)</f>
        <v>751000000</v>
      </c>
      <c r="G45" s="298">
        <f t="shared" si="8"/>
        <v>1263353</v>
      </c>
      <c r="H45" s="132">
        <f t="shared" ref="H45" si="15">SUM(H32+H33+H37+H40+H41+H44)</f>
        <v>752263353</v>
      </c>
    </row>
    <row r="46" spans="1:8" s="8" customFormat="1" ht="14.25" customHeight="1" x14ac:dyDescent="0.3">
      <c r="A46" s="358" t="s">
        <v>110</v>
      </c>
      <c r="B46" s="369" t="s">
        <v>111</v>
      </c>
      <c r="C46" s="381" t="s">
        <v>112</v>
      </c>
      <c r="D46" s="487">
        <v>5000000</v>
      </c>
      <c r="E46" s="487">
        <v>45457314</v>
      </c>
      <c r="F46" s="361">
        <f>3937000+46520314</f>
        <v>50457314</v>
      </c>
      <c r="G46" s="335">
        <f t="shared" si="8"/>
        <v>-304090</v>
      </c>
      <c r="H46" s="338">
        <v>50153224</v>
      </c>
    </row>
    <row r="47" spans="1:8" s="8" customFormat="1" ht="14.25" customHeight="1" x14ac:dyDescent="0.3">
      <c r="A47" s="358" t="s">
        <v>113</v>
      </c>
      <c r="B47" s="369" t="s">
        <v>114</v>
      </c>
      <c r="C47" s="381" t="s">
        <v>115</v>
      </c>
      <c r="D47" s="487">
        <v>23000000</v>
      </c>
      <c r="E47" s="487"/>
      <c r="F47" s="361">
        <f>35000000-12000000</f>
        <v>23000000</v>
      </c>
      <c r="G47" s="335">
        <f t="shared" si="8"/>
        <v>487768</v>
      </c>
      <c r="H47" s="338">
        <v>23487768</v>
      </c>
    </row>
    <row r="48" spans="1:8" s="8" customFormat="1" ht="14.25" customHeight="1" x14ac:dyDescent="0.3">
      <c r="A48" s="358" t="s">
        <v>116</v>
      </c>
      <c r="B48" s="369" t="s">
        <v>117</v>
      </c>
      <c r="C48" s="381" t="s">
        <v>118</v>
      </c>
      <c r="D48" s="487">
        <v>24000000</v>
      </c>
      <c r="E48" s="487"/>
      <c r="F48" s="361">
        <f>12000000+12000000</f>
        <v>24000000</v>
      </c>
      <c r="G48" s="335">
        <f t="shared" si="8"/>
        <v>1348440</v>
      </c>
      <c r="H48" s="338">
        <v>25348440</v>
      </c>
    </row>
    <row r="49" spans="1:8" s="8" customFormat="1" ht="14.25" customHeight="1" x14ac:dyDescent="0.3">
      <c r="A49" s="358" t="s">
        <v>119</v>
      </c>
      <c r="B49" s="369" t="s">
        <v>120</v>
      </c>
      <c r="C49" s="381" t="s">
        <v>121</v>
      </c>
      <c r="D49" s="487">
        <v>23275230</v>
      </c>
      <c r="E49" s="487"/>
      <c r="F49" s="361">
        <f>16552170+6723060</f>
        <v>23275230</v>
      </c>
      <c r="G49" s="335">
        <f t="shared" si="8"/>
        <v>0</v>
      </c>
      <c r="H49" s="338">
        <v>23275230</v>
      </c>
    </row>
    <row r="50" spans="1:8" s="8" customFormat="1" ht="14.25" customHeight="1" x14ac:dyDescent="0.3">
      <c r="A50" s="358" t="s">
        <v>122</v>
      </c>
      <c r="B50" s="369" t="s">
        <v>123</v>
      </c>
      <c r="C50" s="381" t="s">
        <v>124</v>
      </c>
      <c r="D50" s="487">
        <v>24000000</v>
      </c>
      <c r="E50" s="487"/>
      <c r="F50" s="361">
        <v>24000000</v>
      </c>
      <c r="G50" s="335">
        <f t="shared" si="8"/>
        <v>0</v>
      </c>
      <c r="H50" s="338">
        <v>24000000</v>
      </c>
    </row>
    <row r="51" spans="1:8" s="8" customFormat="1" ht="14.25" customHeight="1" x14ac:dyDescent="0.3">
      <c r="A51" s="358" t="s">
        <v>125</v>
      </c>
      <c r="B51" s="369" t="s">
        <v>126</v>
      </c>
      <c r="C51" s="381" t="s">
        <v>127</v>
      </c>
      <c r="D51" s="487">
        <v>17060554</v>
      </c>
      <c r="E51" s="487">
        <v>12273474</v>
      </c>
      <c r="F51" s="361">
        <f>SUM(F46:F50)*0.27-12560484+2816725</f>
        <v>29334027.880000003</v>
      </c>
      <c r="G51" s="335">
        <f t="shared" si="8"/>
        <v>552836.11999999732</v>
      </c>
      <c r="H51" s="338">
        <v>29886864</v>
      </c>
    </row>
    <row r="52" spans="1:8" s="8" customFormat="1" ht="14.25" customHeight="1" x14ac:dyDescent="0.3">
      <c r="A52" s="358" t="s">
        <v>128</v>
      </c>
      <c r="B52" s="369" t="s">
        <v>129</v>
      </c>
      <c r="C52" s="381" t="s">
        <v>130</v>
      </c>
      <c r="D52" s="487"/>
      <c r="E52" s="487"/>
      <c r="F52" s="361"/>
      <c r="G52" s="335">
        <f t="shared" si="8"/>
        <v>0</v>
      </c>
      <c r="H52" s="338"/>
    </row>
    <row r="53" spans="1:8" s="8" customFormat="1" ht="14.25" customHeight="1" x14ac:dyDescent="0.3">
      <c r="A53" s="358" t="s">
        <v>131</v>
      </c>
      <c r="B53" s="369" t="s">
        <v>132</v>
      </c>
      <c r="C53" s="381" t="s">
        <v>133</v>
      </c>
      <c r="D53" s="487">
        <v>500000</v>
      </c>
      <c r="E53" s="487"/>
      <c r="F53" s="361">
        <v>500000</v>
      </c>
      <c r="G53" s="335">
        <f t="shared" si="8"/>
        <v>484400</v>
      </c>
      <c r="H53" s="338">
        <v>984400</v>
      </c>
    </row>
    <row r="54" spans="1:8" s="8" customFormat="1" ht="14.25" customHeight="1" x14ac:dyDescent="0.3">
      <c r="A54" s="358" t="s">
        <v>134</v>
      </c>
      <c r="B54" s="369" t="s">
        <v>135</v>
      </c>
      <c r="C54" s="381" t="s">
        <v>136</v>
      </c>
      <c r="D54" s="487"/>
      <c r="E54" s="487"/>
      <c r="F54" s="384"/>
      <c r="G54" s="335">
        <f t="shared" si="8"/>
        <v>6</v>
      </c>
      <c r="H54" s="338">
        <v>6</v>
      </c>
    </row>
    <row r="55" spans="1:8" s="8" customFormat="1" ht="14.25" customHeight="1" x14ac:dyDescent="0.3">
      <c r="A55" s="358" t="s">
        <v>137</v>
      </c>
      <c r="B55" s="369" t="s">
        <v>138</v>
      </c>
      <c r="C55" s="381" t="s">
        <v>139</v>
      </c>
      <c r="D55" s="487">
        <v>500000</v>
      </c>
      <c r="E55" s="487"/>
      <c r="F55" s="384">
        <v>500000</v>
      </c>
      <c r="G55" s="335">
        <f t="shared" si="8"/>
        <v>2028359</v>
      </c>
      <c r="H55" s="338">
        <v>2528359</v>
      </c>
    </row>
    <row r="56" spans="1:8" s="8" customFormat="1" ht="14.25" customHeight="1" x14ac:dyDescent="0.3">
      <c r="A56" s="358" t="s">
        <v>140</v>
      </c>
      <c r="B56" s="359" t="s">
        <v>141</v>
      </c>
      <c r="C56" s="381" t="s">
        <v>142</v>
      </c>
      <c r="D56" s="487">
        <v>2250000</v>
      </c>
      <c r="E56" s="487"/>
      <c r="F56" s="384">
        <f>2000000+250000</f>
        <v>2250000</v>
      </c>
      <c r="G56" s="335">
        <f t="shared" si="8"/>
        <v>118155</v>
      </c>
      <c r="H56" s="338">
        <v>2368155</v>
      </c>
    </row>
    <row r="57" spans="1:8" s="679" customFormat="1" ht="15.75" customHeight="1" x14ac:dyDescent="0.3">
      <c r="A57" s="365" t="s">
        <v>143</v>
      </c>
      <c r="B57" s="382" t="s">
        <v>144</v>
      </c>
      <c r="C57" s="367" t="s">
        <v>145</v>
      </c>
      <c r="D57" s="268">
        <f t="shared" ref="D57:E57" si="16">SUM(D46:D56)</f>
        <v>119585784</v>
      </c>
      <c r="E57" s="268">
        <f t="shared" si="16"/>
        <v>57730788</v>
      </c>
      <c r="F57" s="268">
        <f>SUM(F46:F56)</f>
        <v>177316571.88</v>
      </c>
      <c r="G57" s="298">
        <f t="shared" si="8"/>
        <v>4715874.1200000048</v>
      </c>
      <c r="H57" s="268">
        <f t="shared" ref="H57" si="17">SUM(H46:H56)</f>
        <v>182032446</v>
      </c>
    </row>
    <row r="58" spans="1:8" s="8" customFormat="1" ht="14.25" customHeight="1" x14ac:dyDescent="0.3">
      <c r="A58" s="383" t="s">
        <v>146</v>
      </c>
      <c r="B58" s="369" t="s">
        <v>147</v>
      </c>
      <c r="C58" s="381" t="s">
        <v>148</v>
      </c>
      <c r="D58" s="487"/>
      <c r="E58" s="487"/>
      <c r="F58" s="384"/>
      <c r="G58" s="335">
        <f t="shared" si="8"/>
        <v>0</v>
      </c>
      <c r="H58" s="338"/>
    </row>
    <row r="59" spans="1:8" s="8" customFormat="1" ht="14.25" customHeight="1" x14ac:dyDescent="0.3">
      <c r="A59" s="383" t="s">
        <v>149</v>
      </c>
      <c r="B59" s="369" t="s">
        <v>150</v>
      </c>
      <c r="C59" s="381" t="s">
        <v>151</v>
      </c>
      <c r="D59" s="487"/>
      <c r="E59" s="487"/>
      <c r="F59" s="384"/>
      <c r="G59" s="335">
        <f t="shared" si="8"/>
        <v>3962074</v>
      </c>
      <c r="H59" s="339">
        <v>3962074</v>
      </c>
    </row>
    <row r="60" spans="1:8" s="8" customFormat="1" ht="14.25" customHeight="1" x14ac:dyDescent="0.3">
      <c r="A60" s="383" t="s">
        <v>152</v>
      </c>
      <c r="B60" s="369" t="s">
        <v>153</v>
      </c>
      <c r="C60" s="381" t="s">
        <v>154</v>
      </c>
      <c r="D60" s="487">
        <v>2160072</v>
      </c>
      <c r="E60" s="487"/>
      <c r="F60" s="384">
        <f>180006*12</f>
        <v>2160072</v>
      </c>
      <c r="G60" s="335">
        <f t="shared" si="8"/>
        <v>101065</v>
      </c>
      <c r="H60" s="338">
        <v>2261137</v>
      </c>
    </row>
    <row r="61" spans="1:8" s="8" customFormat="1" ht="14.25" customHeight="1" x14ac:dyDescent="0.3">
      <c r="A61" s="383" t="s">
        <v>155</v>
      </c>
      <c r="B61" s="369" t="s">
        <v>156</v>
      </c>
      <c r="C61" s="381" t="s">
        <v>157</v>
      </c>
      <c r="D61" s="487"/>
      <c r="E61" s="487"/>
      <c r="F61" s="384"/>
      <c r="G61" s="335">
        <f t="shared" si="8"/>
        <v>0</v>
      </c>
      <c r="H61" s="338"/>
    </row>
    <row r="62" spans="1:8" s="8" customFormat="1" ht="14.25" customHeight="1" x14ac:dyDescent="0.3">
      <c r="A62" s="383" t="s">
        <v>158</v>
      </c>
      <c r="B62" s="359" t="s">
        <v>159</v>
      </c>
      <c r="C62" s="381" t="s">
        <v>160</v>
      </c>
      <c r="D62" s="487"/>
      <c r="E62" s="487"/>
      <c r="F62" s="384"/>
      <c r="G62" s="335">
        <f t="shared" si="8"/>
        <v>0</v>
      </c>
      <c r="H62" s="338"/>
    </row>
    <row r="63" spans="1:8" s="679" customFormat="1" ht="19.5" customHeight="1" x14ac:dyDescent="0.3">
      <c r="A63" s="130" t="s">
        <v>161</v>
      </c>
      <c r="B63" s="382" t="s">
        <v>162</v>
      </c>
      <c r="C63" s="390" t="s">
        <v>163</v>
      </c>
      <c r="D63" s="368">
        <f t="shared" ref="D63:E63" si="18">SUM(D58:D62)</f>
        <v>2160072</v>
      </c>
      <c r="E63" s="368">
        <f t="shared" si="18"/>
        <v>0</v>
      </c>
      <c r="F63" s="368">
        <f>SUM(F58:F62)</f>
        <v>2160072</v>
      </c>
      <c r="G63" s="298">
        <f t="shared" si="8"/>
        <v>4063139</v>
      </c>
      <c r="H63" s="368">
        <f t="shared" ref="H63" si="19">SUM(H58:H62)</f>
        <v>6223211</v>
      </c>
    </row>
    <row r="64" spans="1:8" s="8" customFormat="1" ht="24" customHeight="1" x14ac:dyDescent="0.3">
      <c r="A64" s="358" t="s">
        <v>164</v>
      </c>
      <c r="B64" s="359" t="s">
        <v>165</v>
      </c>
      <c r="C64" s="360" t="s">
        <v>166</v>
      </c>
      <c r="D64" s="483"/>
      <c r="E64" s="483"/>
      <c r="F64" s="361"/>
      <c r="G64" s="335">
        <f t="shared" si="8"/>
        <v>0</v>
      </c>
      <c r="H64" s="338"/>
    </row>
    <row r="65" spans="1:8" s="8" customFormat="1" ht="17.25" customHeight="1" x14ac:dyDescent="0.3">
      <c r="A65" s="358" t="s">
        <v>167</v>
      </c>
      <c r="B65" s="359" t="s">
        <v>168</v>
      </c>
      <c r="C65" s="360" t="s">
        <v>169</v>
      </c>
      <c r="D65" s="483"/>
      <c r="E65" s="483"/>
      <c r="F65" s="361"/>
      <c r="G65" s="335">
        <f t="shared" si="8"/>
        <v>2313497</v>
      </c>
      <c r="H65" s="338">
        <v>2313497</v>
      </c>
    </row>
    <row r="66" spans="1:8" s="8" customFormat="1" ht="17.25" customHeight="1" x14ac:dyDescent="0.3">
      <c r="A66" s="130" t="s">
        <v>170</v>
      </c>
      <c r="B66" s="366" t="s">
        <v>171</v>
      </c>
      <c r="C66" s="367" t="s">
        <v>172</v>
      </c>
      <c r="D66" s="482">
        <f t="shared" ref="D66:E66" si="20">SUM(D64:D65)</f>
        <v>0</v>
      </c>
      <c r="E66" s="482">
        <f t="shared" si="20"/>
        <v>0</v>
      </c>
      <c r="F66" s="482">
        <f>SUM(F64:F65)</f>
        <v>0</v>
      </c>
      <c r="G66" s="335">
        <f t="shared" si="8"/>
        <v>2313497</v>
      </c>
      <c r="H66" s="482">
        <f t="shared" ref="H66" si="21">SUM(H64:H65)</f>
        <v>2313497</v>
      </c>
    </row>
    <row r="67" spans="1:8" s="8" customFormat="1" ht="16.5" customHeight="1" x14ac:dyDescent="0.3">
      <c r="A67" s="358" t="s">
        <v>173</v>
      </c>
      <c r="B67" s="359" t="s">
        <v>174</v>
      </c>
      <c r="C67" s="360" t="s">
        <v>175</v>
      </c>
      <c r="D67" s="483"/>
      <c r="E67" s="483"/>
      <c r="F67" s="488"/>
      <c r="G67" s="335">
        <f t="shared" si="8"/>
        <v>926787</v>
      </c>
      <c r="H67" s="338">
        <v>926787</v>
      </c>
    </row>
    <row r="68" spans="1:8" s="8" customFormat="1" ht="14.25" customHeight="1" x14ac:dyDescent="0.3">
      <c r="A68" s="358" t="s">
        <v>176</v>
      </c>
      <c r="B68" s="359" t="s">
        <v>177</v>
      </c>
      <c r="C68" s="360" t="s">
        <v>178</v>
      </c>
      <c r="D68" s="483"/>
      <c r="E68" s="483"/>
      <c r="F68" s="488"/>
      <c r="G68" s="335">
        <f t="shared" si="8"/>
        <v>0</v>
      </c>
      <c r="H68" s="338"/>
    </row>
    <row r="69" spans="1:8" s="8" customFormat="1" ht="15.75" customHeight="1" x14ac:dyDescent="0.3">
      <c r="A69" s="358" t="s">
        <v>179</v>
      </c>
      <c r="B69" s="366" t="s">
        <v>180</v>
      </c>
      <c r="C69" s="367" t="s">
        <v>181</v>
      </c>
      <c r="D69" s="489">
        <f t="shared" ref="D69:E69" si="22">SUM(D67:D68)</f>
        <v>0</v>
      </c>
      <c r="E69" s="489">
        <f t="shared" si="22"/>
        <v>0</v>
      </c>
      <c r="F69" s="489">
        <f>SUM(F67:F68)</f>
        <v>0</v>
      </c>
      <c r="G69" s="335">
        <f t="shared" si="8"/>
        <v>926787</v>
      </c>
      <c r="H69" s="489">
        <f t="shared" ref="H69" si="23">SUM(H67:H68)</f>
        <v>926787</v>
      </c>
    </row>
    <row r="70" spans="1:8" s="8" customFormat="1" ht="25.5" customHeight="1" x14ac:dyDescent="0.3">
      <c r="A70" s="130" t="s">
        <v>182</v>
      </c>
      <c r="B70" s="382" t="s">
        <v>183</v>
      </c>
      <c r="C70" s="267" t="s">
        <v>184</v>
      </c>
      <c r="D70" s="132">
        <f t="shared" ref="D70:E70" si="24">SUM(D22+D31+D45+D57+D63+D66+D69)</f>
        <v>1809121792</v>
      </c>
      <c r="E70" s="132">
        <f t="shared" si="24"/>
        <v>128605968</v>
      </c>
      <c r="F70" s="132">
        <f>SUM(F22+F31+F45+F57+F63+F66+F69)</f>
        <v>1937727759.8800001</v>
      </c>
      <c r="G70" s="335">
        <f t="shared" si="8"/>
        <v>1474696098.1199999</v>
      </c>
      <c r="H70" s="132">
        <f t="shared" ref="H70" si="25">SUM(H22+H31+H45+H57+H63+H66+H69)</f>
        <v>3412423858</v>
      </c>
    </row>
    <row r="71" spans="1:8" s="8" customFormat="1" ht="14.25" customHeight="1" x14ac:dyDescent="0.3">
      <c r="A71" s="358" t="s">
        <v>185</v>
      </c>
      <c r="B71" s="359" t="s">
        <v>186</v>
      </c>
      <c r="C71" s="360" t="s">
        <v>187</v>
      </c>
      <c r="D71" s="479"/>
      <c r="E71" s="479"/>
      <c r="F71" s="385"/>
      <c r="G71" s="335">
        <f t="shared" si="8"/>
        <v>0</v>
      </c>
      <c r="H71" s="338"/>
    </row>
    <row r="72" spans="1:8" s="8" customFormat="1" ht="14.25" customHeight="1" x14ac:dyDescent="0.3">
      <c r="A72" s="358" t="s">
        <v>188</v>
      </c>
      <c r="B72" s="359" t="s">
        <v>189</v>
      </c>
      <c r="C72" s="360" t="s">
        <v>190</v>
      </c>
      <c r="D72" s="385">
        <f t="shared" ref="D72:E72" si="26">SUM(D73:D74)</f>
        <v>223223597</v>
      </c>
      <c r="E72" s="385">
        <f t="shared" si="26"/>
        <v>81271029</v>
      </c>
      <c r="F72" s="385">
        <f>SUM(F73:F74)</f>
        <v>304494626</v>
      </c>
      <c r="G72" s="335">
        <f t="shared" si="8"/>
        <v>105159782</v>
      </c>
      <c r="H72" s="497">
        <v>409654408</v>
      </c>
    </row>
    <row r="73" spans="1:8" s="8" customFormat="1" ht="14.25" customHeight="1" x14ac:dyDescent="0.3">
      <c r="A73" s="358" t="s">
        <v>191</v>
      </c>
      <c r="B73" s="386" t="s">
        <v>192</v>
      </c>
      <c r="C73" s="360" t="s">
        <v>193</v>
      </c>
      <c r="D73" s="479">
        <v>223223597</v>
      </c>
      <c r="E73" s="479">
        <v>51271029</v>
      </c>
      <c r="F73" s="384">
        <f>30364900+52858697+32320000+16951029+2000000+140000000</f>
        <v>274494626</v>
      </c>
      <c r="G73" s="335">
        <v>99042272</v>
      </c>
      <c r="H73" s="497">
        <v>373536898</v>
      </c>
    </row>
    <row r="74" spans="1:8" s="8" customFormat="1" ht="14.25" customHeight="1" x14ac:dyDescent="0.3">
      <c r="A74" s="358" t="s">
        <v>194</v>
      </c>
      <c r="B74" s="387" t="s">
        <v>195</v>
      </c>
      <c r="C74" s="360" t="s">
        <v>196</v>
      </c>
      <c r="D74" s="479"/>
      <c r="E74" s="479">
        <v>30000000</v>
      </c>
      <c r="F74" s="384">
        <v>30000000</v>
      </c>
      <c r="G74" s="335">
        <f t="shared" si="8"/>
        <v>6117510</v>
      </c>
      <c r="H74" s="497">
        <v>36117510</v>
      </c>
    </row>
    <row r="75" spans="1:8" s="8" customFormat="1" ht="24.75" customHeight="1" x14ac:dyDescent="0.3">
      <c r="A75" s="130" t="s">
        <v>197</v>
      </c>
      <c r="B75" s="490" t="s">
        <v>198</v>
      </c>
      <c r="C75" s="367" t="s">
        <v>199</v>
      </c>
      <c r="D75" s="132">
        <f t="shared" ref="D75:E75" si="27">SUM(D71:D72)</f>
        <v>223223597</v>
      </c>
      <c r="E75" s="132">
        <f t="shared" si="27"/>
        <v>81271029</v>
      </c>
      <c r="F75" s="132">
        <f>SUM(F71:F72)</f>
        <v>304494626</v>
      </c>
      <c r="G75" s="335">
        <f t="shared" si="8"/>
        <v>105159782</v>
      </c>
      <c r="H75" s="498">
        <f>SUM(H71:H72)</f>
        <v>409654408</v>
      </c>
    </row>
    <row r="76" spans="1:8" s="8" customFormat="1" ht="27" customHeight="1" x14ac:dyDescent="0.3">
      <c r="A76" s="130" t="s">
        <v>200</v>
      </c>
      <c r="B76" s="490" t="s">
        <v>201</v>
      </c>
      <c r="C76" s="367" t="s">
        <v>737</v>
      </c>
      <c r="D76" s="132">
        <f t="shared" ref="D76:E76" si="28">SUM(D75,D70)</f>
        <v>2032345389</v>
      </c>
      <c r="E76" s="132">
        <f t="shared" si="28"/>
        <v>209876997</v>
      </c>
      <c r="F76" s="132">
        <f>SUM(F75,F70)</f>
        <v>2242222385.8800001</v>
      </c>
      <c r="G76" s="335">
        <f t="shared" si="8"/>
        <v>1579855880.1199999</v>
      </c>
      <c r="H76" s="132">
        <f t="shared" ref="H76" si="29">SUM(H75,H70)</f>
        <v>3822078266</v>
      </c>
    </row>
    <row r="77" spans="1:8" ht="17.25" customHeight="1" x14ac:dyDescent="0.35">
      <c r="A77" s="755"/>
      <c r="B77" s="755"/>
      <c r="C77" s="755"/>
      <c r="D77" s="755"/>
      <c r="E77" s="351"/>
      <c r="F77" s="351"/>
    </row>
    <row r="78" spans="1:8" s="9" customFormat="1" ht="16.5" customHeight="1" x14ac:dyDescent="0.35">
      <c r="A78" s="756" t="s">
        <v>202</v>
      </c>
      <c r="B78" s="756"/>
      <c r="C78" s="756"/>
      <c r="D78" s="756"/>
      <c r="E78" s="351"/>
      <c r="F78" s="351"/>
      <c r="G78" s="334"/>
      <c r="H78" s="336"/>
    </row>
    <row r="79" spans="1:8" ht="38.15" customHeight="1" x14ac:dyDescent="0.35">
      <c r="A79" s="107" t="s">
        <v>2</v>
      </c>
      <c r="B79" s="107" t="s">
        <v>203</v>
      </c>
      <c r="C79" s="107" t="s">
        <v>4</v>
      </c>
      <c r="D79" s="107" t="s">
        <v>477</v>
      </c>
      <c r="E79" s="107" t="s">
        <v>478</v>
      </c>
      <c r="F79" s="107" t="str">
        <f>+F4</f>
        <v>2017. évi eredeti előirányzat</v>
      </c>
      <c r="G79" s="299" t="s">
        <v>864</v>
      </c>
      <c r="H79" s="337" t="s">
        <v>859</v>
      </c>
    </row>
    <row r="80" spans="1:8" s="7" customFormat="1" ht="12" customHeight="1" x14ac:dyDescent="0.25">
      <c r="A80" s="107" t="s">
        <v>6</v>
      </c>
      <c r="B80" s="107" t="s">
        <v>7</v>
      </c>
      <c r="C80" s="107" t="s">
        <v>8</v>
      </c>
      <c r="D80" s="107" t="s">
        <v>9</v>
      </c>
      <c r="E80" s="107" t="s">
        <v>269</v>
      </c>
      <c r="F80" s="107" t="s">
        <v>479</v>
      </c>
      <c r="G80" s="335"/>
      <c r="H80" s="338"/>
    </row>
    <row r="81" spans="1:8" ht="16.5" customHeight="1" x14ac:dyDescent="0.35">
      <c r="A81" s="383" t="s">
        <v>10</v>
      </c>
      <c r="B81" s="371" t="s">
        <v>204</v>
      </c>
      <c r="C81" s="372" t="s">
        <v>205</v>
      </c>
      <c r="D81" s="491">
        <v>125812685</v>
      </c>
      <c r="E81" s="491"/>
      <c r="F81" s="361">
        <f>122972660+'[17]8.sz.mell. '!C24</f>
        <v>125812685</v>
      </c>
      <c r="G81" s="335">
        <f t="shared" ref="G81:G94" si="30">H81-D81</f>
        <v>171764382</v>
      </c>
      <c r="H81" s="338">
        <v>297577067</v>
      </c>
    </row>
    <row r="82" spans="1:8" ht="16.5" customHeight="1" x14ac:dyDescent="0.35">
      <c r="A82" s="383" t="s">
        <v>13</v>
      </c>
      <c r="B82" s="371" t="s">
        <v>206</v>
      </c>
      <c r="C82" s="372" t="s">
        <v>207</v>
      </c>
      <c r="D82" s="491">
        <v>26778920</v>
      </c>
      <c r="E82" s="491"/>
      <c r="F82" s="361">
        <f>26066120+'[17]8.sz.mell. '!C25</f>
        <v>26778920</v>
      </c>
      <c r="G82" s="335">
        <f t="shared" si="30"/>
        <v>19297897</v>
      </c>
      <c r="H82" s="338">
        <v>46076817</v>
      </c>
    </row>
    <row r="83" spans="1:8" ht="16.5" customHeight="1" x14ac:dyDescent="0.35">
      <c r="A83" s="383" t="s">
        <v>16</v>
      </c>
      <c r="B83" s="371" t="s">
        <v>208</v>
      </c>
      <c r="C83" s="372" t="s">
        <v>209</v>
      </c>
      <c r="D83" s="491">
        <v>459704657</v>
      </c>
      <c r="E83" s="491">
        <v>56107776</v>
      </c>
      <c r="F83" s="361">
        <f>'[17]8.sz.mell. '!C26+484663421</f>
        <v>515812433</v>
      </c>
      <c r="G83" s="335">
        <f t="shared" si="30"/>
        <v>1284531551</v>
      </c>
      <c r="H83" s="338">
        <v>1744236208</v>
      </c>
    </row>
    <row r="84" spans="1:8" ht="16.5" customHeight="1" x14ac:dyDescent="0.35">
      <c r="A84" s="383" t="s">
        <v>19</v>
      </c>
      <c r="B84" s="371" t="s">
        <v>210</v>
      </c>
      <c r="C84" s="372" t="s">
        <v>211</v>
      </c>
      <c r="D84" s="491">
        <v>66143000</v>
      </c>
      <c r="E84" s="491"/>
      <c r="F84" s="361">
        <f>71143000-5000000</f>
        <v>66143000</v>
      </c>
      <c r="G84" s="335">
        <f t="shared" si="30"/>
        <v>-6763829</v>
      </c>
      <c r="H84" s="338">
        <v>59379171</v>
      </c>
    </row>
    <row r="85" spans="1:8" ht="16.5" customHeight="1" x14ac:dyDescent="0.35">
      <c r="A85" s="383" t="s">
        <v>22</v>
      </c>
      <c r="B85" s="371" t="s">
        <v>212</v>
      </c>
      <c r="C85" s="372" t="s">
        <v>213</v>
      </c>
      <c r="D85" s="480">
        <f t="shared" ref="D85:E85" si="31">SUM(D86:D92)</f>
        <v>925218634</v>
      </c>
      <c r="E85" s="480">
        <f t="shared" si="31"/>
        <v>40296343</v>
      </c>
      <c r="F85" s="361">
        <f>SUM(F86:F92)</f>
        <v>965514977</v>
      </c>
      <c r="G85" s="335">
        <f t="shared" si="30"/>
        <v>146158392</v>
      </c>
      <c r="H85" s="338">
        <v>1071377026</v>
      </c>
    </row>
    <row r="86" spans="1:8" ht="16.5" customHeight="1" x14ac:dyDescent="0.35">
      <c r="A86" s="383" t="s">
        <v>25</v>
      </c>
      <c r="B86" s="371" t="s">
        <v>214</v>
      </c>
      <c r="C86" s="372" t="s">
        <v>215</v>
      </c>
      <c r="D86" s="491">
        <v>11554719</v>
      </c>
      <c r="E86" s="491"/>
      <c r="F86" s="361">
        <v>11554719</v>
      </c>
      <c r="G86" s="335">
        <f t="shared" si="30"/>
        <v>2887042</v>
      </c>
      <c r="H86" s="338">
        <v>14441761</v>
      </c>
    </row>
    <row r="87" spans="1:8" ht="16.5" customHeight="1" x14ac:dyDescent="0.35">
      <c r="A87" s="383" t="s">
        <v>28</v>
      </c>
      <c r="B87" s="392" t="s">
        <v>216</v>
      </c>
      <c r="C87" s="393" t="s">
        <v>217</v>
      </c>
      <c r="D87" s="492"/>
      <c r="E87" s="492"/>
      <c r="F87" s="376"/>
      <c r="G87" s="335">
        <f t="shared" si="30"/>
        <v>0</v>
      </c>
      <c r="H87" s="338"/>
    </row>
    <row r="88" spans="1:8" ht="16.5" customHeight="1" x14ac:dyDescent="0.35">
      <c r="A88" s="383" t="s">
        <v>31</v>
      </c>
      <c r="B88" s="392" t="s">
        <v>218</v>
      </c>
      <c r="C88" s="393" t="s">
        <v>219</v>
      </c>
      <c r="D88" s="492"/>
      <c r="E88" s="492"/>
      <c r="F88" s="376"/>
      <c r="G88" s="335">
        <f t="shared" si="30"/>
        <v>0</v>
      </c>
      <c r="H88" s="338"/>
    </row>
    <row r="89" spans="1:8" ht="16.5" customHeight="1" x14ac:dyDescent="0.35">
      <c r="A89" s="383" t="s">
        <v>34</v>
      </c>
      <c r="B89" s="394" t="s">
        <v>220</v>
      </c>
      <c r="C89" s="393" t="s">
        <v>221</v>
      </c>
      <c r="D89" s="492">
        <v>435516731</v>
      </c>
      <c r="E89" s="492"/>
      <c r="F89" s="493">
        <f>SUM(139880306+30000000+397510+242687617+21734382+216916+600000)</f>
        <v>435516731</v>
      </c>
      <c r="G89" s="335">
        <f t="shared" si="30"/>
        <v>25844448</v>
      </c>
      <c r="H89" s="338">
        <v>461361179</v>
      </c>
    </row>
    <row r="90" spans="1:8" ht="16.5" customHeight="1" x14ac:dyDescent="0.35">
      <c r="A90" s="383" t="s">
        <v>37</v>
      </c>
      <c r="B90" s="392" t="s">
        <v>222</v>
      </c>
      <c r="C90" s="393" t="s">
        <v>223</v>
      </c>
      <c r="D90" s="492"/>
      <c r="E90" s="492"/>
      <c r="F90" s="376"/>
      <c r="G90" s="335">
        <f t="shared" si="30"/>
        <v>0</v>
      </c>
      <c r="H90" s="338"/>
    </row>
    <row r="91" spans="1:8" ht="16.5" customHeight="1" x14ac:dyDescent="0.35">
      <c r="A91" s="383" t="s">
        <v>39</v>
      </c>
      <c r="B91" s="392" t="s">
        <v>224</v>
      </c>
      <c r="C91" s="393" t="s">
        <v>225</v>
      </c>
      <c r="D91" s="492">
        <f>431297184-E91</f>
        <v>408147184</v>
      </c>
      <c r="E91" s="492">
        <v>23150000</v>
      </c>
      <c r="F91" s="493">
        <f>'[17]5.sz.mell'!E20</f>
        <v>431297184</v>
      </c>
      <c r="G91" s="335">
        <f t="shared" si="30"/>
        <v>60750000</v>
      </c>
      <c r="H91" s="338">
        <v>468897184</v>
      </c>
    </row>
    <row r="92" spans="1:8" ht="16.5" customHeight="1" x14ac:dyDescent="0.35">
      <c r="A92" s="383" t="s">
        <v>41</v>
      </c>
      <c r="B92" s="392" t="s">
        <v>226</v>
      </c>
      <c r="C92" s="393" t="s">
        <v>227</v>
      </c>
      <c r="D92" s="492">
        <f>SUM(D93:D94)</f>
        <v>70000000</v>
      </c>
      <c r="E92" s="492">
        <f>SUM(E93:E94)</f>
        <v>17146343</v>
      </c>
      <c r="F92" s="376">
        <f>SUM(F93:F94)</f>
        <v>87146343</v>
      </c>
      <c r="G92" s="335">
        <f t="shared" si="30"/>
        <v>68576902</v>
      </c>
      <c r="H92" s="338">
        <v>138576902</v>
      </c>
    </row>
    <row r="93" spans="1:8" ht="16.5" customHeight="1" x14ac:dyDescent="0.35">
      <c r="A93" s="383" t="s">
        <v>43</v>
      </c>
      <c r="B93" s="392" t="s">
        <v>228</v>
      </c>
      <c r="C93" s="391" t="s">
        <v>227</v>
      </c>
      <c r="D93" s="494">
        <v>70000000</v>
      </c>
      <c r="E93" s="494"/>
      <c r="F93" s="376">
        <v>70000000</v>
      </c>
      <c r="G93" s="335">
        <v>51430559</v>
      </c>
      <c r="H93" s="338">
        <v>121430559</v>
      </c>
    </row>
    <row r="94" spans="1:8" ht="16.5" customHeight="1" x14ac:dyDescent="0.35">
      <c r="A94" s="383" t="s">
        <v>45</v>
      </c>
      <c r="B94" s="395" t="s">
        <v>229</v>
      </c>
      <c r="C94" s="391" t="s">
        <v>227</v>
      </c>
      <c r="D94" s="494"/>
      <c r="E94" s="494">
        <v>17146343</v>
      </c>
      <c r="F94" s="376">
        <f>'[17]8.sz.mell. '!D22+'[17]8.sz.mell. '!E22</f>
        <v>17146343</v>
      </c>
      <c r="G94" s="335">
        <f t="shared" si="30"/>
        <v>17146343</v>
      </c>
      <c r="H94" s="338">
        <v>17146343</v>
      </c>
    </row>
    <row r="95" spans="1:8" ht="16.5" customHeight="1" x14ac:dyDescent="0.35">
      <c r="A95" s="396" t="s">
        <v>47</v>
      </c>
      <c r="B95" s="397" t="s">
        <v>471</v>
      </c>
      <c r="C95" s="119" t="s">
        <v>230</v>
      </c>
      <c r="D95" s="337">
        <f t="shared" ref="D95:E95" si="32">SUM(D81:D85)</f>
        <v>1603657896</v>
      </c>
      <c r="E95" s="337">
        <f t="shared" si="32"/>
        <v>96404119</v>
      </c>
      <c r="F95" s="268">
        <f>SUM(F81:F85)</f>
        <v>1700062015</v>
      </c>
      <c r="G95" s="268">
        <f t="shared" ref="G95:H95" si="33">SUM(G81:G85)</f>
        <v>1614988393</v>
      </c>
      <c r="H95" s="268">
        <f t="shared" si="33"/>
        <v>3218646289</v>
      </c>
    </row>
    <row r="96" spans="1:8" ht="16.5" customHeight="1" x14ac:dyDescent="0.35">
      <c r="A96" s="383" t="s">
        <v>49</v>
      </c>
      <c r="B96" s="371" t="s">
        <v>231</v>
      </c>
      <c r="C96" s="372" t="s">
        <v>232</v>
      </c>
      <c r="D96" s="491">
        <v>13000000</v>
      </c>
      <c r="E96" s="491">
        <v>45440500</v>
      </c>
      <c r="F96" s="361">
        <f>'[17]4. sz.mell'!G13</f>
        <v>58440500</v>
      </c>
      <c r="G96" s="335">
        <f t="shared" ref="G96:G102" si="34">H96-D96</f>
        <v>73033639</v>
      </c>
      <c r="H96" s="338">
        <v>86033639</v>
      </c>
    </row>
    <row r="97" spans="1:8" ht="16.5" customHeight="1" x14ac:dyDescent="0.35">
      <c r="A97" s="383" t="s">
        <v>51</v>
      </c>
      <c r="B97" s="371" t="s">
        <v>233</v>
      </c>
      <c r="C97" s="372" t="s">
        <v>234</v>
      </c>
      <c r="D97" s="491">
        <v>81359542</v>
      </c>
      <c r="E97" s="491">
        <v>42451029</v>
      </c>
      <c r="F97" s="361">
        <f>'[17]4. sz.mell'!G19</f>
        <v>123810571</v>
      </c>
      <c r="G97" s="335">
        <f t="shared" si="34"/>
        <v>71712571</v>
      </c>
      <c r="H97" s="338">
        <v>153072113</v>
      </c>
    </row>
    <row r="98" spans="1:8" ht="16.5" customHeight="1" x14ac:dyDescent="0.35">
      <c r="A98" s="383" t="s">
        <v>54</v>
      </c>
      <c r="B98" s="359" t="s">
        <v>235</v>
      </c>
      <c r="C98" s="360" t="s">
        <v>236</v>
      </c>
      <c r="D98" s="479">
        <f t="shared" ref="D98:E98" si="35">SUM(D99:D104)</f>
        <v>5000000</v>
      </c>
      <c r="E98" s="479">
        <f t="shared" si="35"/>
        <v>0</v>
      </c>
      <c r="F98" s="361">
        <f>SUM(F99:F104)</f>
        <v>5000000</v>
      </c>
      <c r="G98" s="335">
        <f t="shared" si="34"/>
        <v>1075000</v>
      </c>
      <c r="H98" s="338">
        <v>6075000</v>
      </c>
    </row>
    <row r="99" spans="1:8" ht="16.5" customHeight="1" x14ac:dyDescent="0.35">
      <c r="A99" s="383" t="s">
        <v>57</v>
      </c>
      <c r="B99" s="398" t="s">
        <v>237</v>
      </c>
      <c r="C99" s="375" t="s">
        <v>238</v>
      </c>
      <c r="D99" s="486"/>
      <c r="E99" s="486"/>
      <c r="F99" s="363"/>
      <c r="G99" s="335">
        <f t="shared" si="34"/>
        <v>0</v>
      </c>
      <c r="H99" s="338"/>
    </row>
    <row r="100" spans="1:8" ht="16.5" customHeight="1" x14ac:dyDescent="0.35">
      <c r="A100" s="383" t="s">
        <v>60</v>
      </c>
      <c r="B100" s="399" t="s">
        <v>218</v>
      </c>
      <c r="C100" s="375" t="s">
        <v>239</v>
      </c>
      <c r="D100" s="486"/>
      <c r="E100" s="486"/>
      <c r="F100" s="363"/>
      <c r="G100" s="335">
        <f t="shared" si="34"/>
        <v>0</v>
      </c>
      <c r="H100" s="338"/>
    </row>
    <row r="101" spans="1:8" ht="16.5" customHeight="1" x14ac:dyDescent="0.35">
      <c r="A101" s="383" t="s">
        <v>62</v>
      </c>
      <c r="B101" s="399" t="s">
        <v>240</v>
      </c>
      <c r="C101" s="375" t="s">
        <v>241</v>
      </c>
      <c r="D101" s="486"/>
      <c r="E101" s="486"/>
      <c r="F101" s="363"/>
      <c r="G101" s="335">
        <f t="shared" si="34"/>
        <v>0</v>
      </c>
      <c r="H101" s="338"/>
    </row>
    <row r="102" spans="1:8" ht="16.5" customHeight="1" x14ac:dyDescent="0.35">
      <c r="A102" s="383" t="s">
        <v>64</v>
      </c>
      <c r="B102" s="399" t="s">
        <v>242</v>
      </c>
      <c r="C102" s="375" t="s">
        <v>243</v>
      </c>
      <c r="D102" s="486"/>
      <c r="E102" s="486"/>
      <c r="F102" s="363"/>
      <c r="G102" s="335">
        <f t="shared" si="34"/>
        <v>0</v>
      </c>
      <c r="H102" s="338"/>
    </row>
    <row r="103" spans="1:8" ht="16.5" customHeight="1" x14ac:dyDescent="0.35">
      <c r="A103" s="383" t="s">
        <v>66</v>
      </c>
      <c r="B103" s="399" t="s">
        <v>244</v>
      </c>
      <c r="C103" s="375" t="s">
        <v>245</v>
      </c>
      <c r="D103" s="486">
        <v>5000000</v>
      </c>
      <c r="E103" s="486"/>
      <c r="F103" s="363">
        <v>5000000</v>
      </c>
      <c r="G103" s="335"/>
      <c r="H103" s="338">
        <v>6075000</v>
      </c>
    </row>
    <row r="104" spans="1:8" ht="16.5" customHeight="1" x14ac:dyDescent="0.35">
      <c r="A104" s="383" t="s">
        <v>68</v>
      </c>
      <c r="B104" s="399" t="s">
        <v>246</v>
      </c>
      <c r="C104" s="375" t="s">
        <v>247</v>
      </c>
      <c r="D104" s="486"/>
      <c r="E104" s="486"/>
      <c r="F104" s="363"/>
      <c r="G104" s="335"/>
      <c r="H104" s="338"/>
    </row>
    <row r="105" spans="1:8" ht="16.5" customHeight="1" x14ac:dyDescent="0.35">
      <c r="A105" s="396" t="s">
        <v>70</v>
      </c>
      <c r="B105" s="397" t="s">
        <v>470</v>
      </c>
      <c r="C105" s="119" t="s">
        <v>248</v>
      </c>
      <c r="D105" s="337">
        <f t="shared" ref="D105:E105" si="36">+D96+D97+D98</f>
        <v>99359542</v>
      </c>
      <c r="E105" s="337">
        <f t="shared" si="36"/>
        <v>87891529</v>
      </c>
      <c r="F105" s="132">
        <f>+F96+F97+F98</f>
        <v>187251071</v>
      </c>
      <c r="G105" s="132">
        <f t="shared" ref="G105:H105" si="37">+G96+G97+G98</f>
        <v>145821210</v>
      </c>
      <c r="H105" s="132">
        <f t="shared" si="37"/>
        <v>245180752</v>
      </c>
    </row>
    <row r="106" spans="1:8" ht="16.5" customHeight="1" x14ac:dyDescent="0.35">
      <c r="A106" s="130" t="s">
        <v>72</v>
      </c>
      <c r="B106" s="382" t="s">
        <v>249</v>
      </c>
      <c r="C106" s="119" t="s">
        <v>250</v>
      </c>
      <c r="D106" s="337">
        <f t="shared" ref="D106:E106" si="38">SUM(D95+D105)</f>
        <v>1703017438</v>
      </c>
      <c r="E106" s="337">
        <f t="shared" si="38"/>
        <v>184295648</v>
      </c>
      <c r="F106" s="368">
        <f>SUM(F95+F105)</f>
        <v>1887313086</v>
      </c>
      <c r="G106" s="368">
        <f t="shared" ref="G106:H106" si="39">SUM(G95+G105)</f>
        <v>1760809603</v>
      </c>
      <c r="H106" s="368">
        <f t="shared" si="39"/>
        <v>3463827041</v>
      </c>
    </row>
    <row r="107" spans="1:8" ht="16.5" customHeight="1" x14ac:dyDescent="0.35">
      <c r="A107" s="383" t="s">
        <v>75</v>
      </c>
      <c r="B107" s="312" t="s">
        <v>251</v>
      </c>
      <c r="C107" s="400" t="s">
        <v>252</v>
      </c>
      <c r="D107" s="495">
        <v>23997938</v>
      </c>
      <c r="E107" s="495"/>
      <c r="F107" s="385">
        <f>'[17]17.sz.mell'!D8</f>
        <v>23997938</v>
      </c>
      <c r="G107" s="335">
        <f>H107-D107</f>
        <v>0</v>
      </c>
      <c r="H107" s="338">
        <v>23997938</v>
      </c>
    </row>
    <row r="108" spans="1:8" ht="16.5" customHeight="1" x14ac:dyDescent="0.35">
      <c r="A108" s="383" t="s">
        <v>78</v>
      </c>
      <c r="B108" s="313" t="s">
        <v>253</v>
      </c>
      <c r="C108" s="372" t="s">
        <v>254</v>
      </c>
      <c r="D108" s="491"/>
      <c r="E108" s="491"/>
      <c r="F108" s="361"/>
      <c r="G108" s="335">
        <f>H108-D108</f>
        <v>0</v>
      </c>
      <c r="H108" s="338"/>
    </row>
    <row r="109" spans="1:8" ht="16.5" customHeight="1" x14ac:dyDescent="0.35">
      <c r="A109" s="401" t="s">
        <v>81</v>
      </c>
      <c r="B109" s="313" t="s">
        <v>255</v>
      </c>
      <c r="C109" s="372" t="s">
        <v>256</v>
      </c>
      <c r="D109" s="491">
        <v>30364900</v>
      </c>
      <c r="E109" s="491"/>
      <c r="F109" s="361">
        <v>30364900</v>
      </c>
      <c r="G109" s="335">
        <f>H109-D109</f>
        <v>0</v>
      </c>
      <c r="H109" s="338">
        <v>30364900</v>
      </c>
    </row>
    <row r="110" spans="1:8" ht="16.5" customHeight="1" x14ac:dyDescent="0.35">
      <c r="A110" s="383" t="s">
        <v>83</v>
      </c>
      <c r="B110" s="313" t="s">
        <v>453</v>
      </c>
      <c r="C110" s="372" t="s">
        <v>452</v>
      </c>
      <c r="D110" s="491">
        <v>291413794</v>
      </c>
      <c r="E110" s="491">
        <v>9132668</v>
      </c>
      <c r="F110" s="361">
        <f>'[17]10.sz.mell'!G37+'[17]11.sz.mell'!F37</f>
        <v>300546462</v>
      </c>
      <c r="G110" s="335">
        <f>H110-D110</f>
        <v>12474593</v>
      </c>
      <c r="H110" s="338">
        <v>303888387</v>
      </c>
    </row>
    <row r="111" spans="1:8" ht="16.5" customHeight="1" x14ac:dyDescent="0.35">
      <c r="A111" s="401" t="s">
        <v>85</v>
      </c>
      <c r="B111" s="313" t="s">
        <v>257</v>
      </c>
      <c r="C111" s="372" t="s">
        <v>258</v>
      </c>
      <c r="D111" s="491"/>
      <c r="E111" s="491"/>
      <c r="F111" s="361"/>
      <c r="G111" s="335"/>
      <c r="H111" s="338"/>
    </row>
    <row r="112" spans="1:8" ht="16.5" customHeight="1" x14ac:dyDescent="0.35">
      <c r="A112" s="383" t="s">
        <v>87</v>
      </c>
      <c r="B112" s="115" t="s">
        <v>259</v>
      </c>
      <c r="C112" s="119" t="s">
        <v>260</v>
      </c>
      <c r="D112" s="337">
        <f t="shared" ref="D112:E112" si="40">SUM(D107:D111)</f>
        <v>345776632</v>
      </c>
      <c r="E112" s="337">
        <f t="shared" si="40"/>
        <v>9132668</v>
      </c>
      <c r="F112" s="403">
        <f>SUM(F107:F111)</f>
        <v>354909300</v>
      </c>
      <c r="G112" s="403">
        <f t="shared" ref="G112:H112" si="41">SUM(G107:G111)</f>
        <v>12474593</v>
      </c>
      <c r="H112" s="403">
        <f t="shared" si="41"/>
        <v>358251225</v>
      </c>
    </row>
    <row r="113" spans="1:8" s="8" customFormat="1" ht="24.75" customHeight="1" x14ac:dyDescent="0.3">
      <c r="A113" s="401" t="s">
        <v>90</v>
      </c>
      <c r="B113" s="366" t="s">
        <v>261</v>
      </c>
      <c r="C113" s="404" t="s">
        <v>262</v>
      </c>
      <c r="D113" s="496">
        <f t="shared" ref="D113:E113" si="42">D106+D112</f>
        <v>2048794070</v>
      </c>
      <c r="E113" s="496">
        <f t="shared" si="42"/>
        <v>193428316</v>
      </c>
      <c r="F113" s="403">
        <f>F106+F112</f>
        <v>2242222386</v>
      </c>
      <c r="G113" s="403">
        <f t="shared" ref="G113:H113" si="43">G106+G112</f>
        <v>1773284196</v>
      </c>
      <c r="H113" s="403">
        <f t="shared" si="43"/>
        <v>3822078266</v>
      </c>
    </row>
    <row r="114" spans="1:8" ht="16.5" customHeight="1" x14ac:dyDescent="0.35"/>
    <row r="115" spans="1:8" x14ac:dyDescent="0.35">
      <c r="F115" s="183"/>
    </row>
  </sheetData>
  <mergeCells count="5">
    <mergeCell ref="A3:B3"/>
    <mergeCell ref="A77:D77"/>
    <mergeCell ref="A78:D78"/>
    <mergeCell ref="A1:H1"/>
    <mergeCell ref="A2:H2"/>
  </mergeCells>
  <printOptions horizontalCentered="1"/>
  <pageMargins left="0.25" right="0.25" top="0.75" bottom="0.75" header="0.3" footer="0.3"/>
  <pageSetup paperSize="9" scale="64" fitToHeight="2" orientation="landscape" r:id="rId1"/>
  <headerFooter alignWithMargins="0">
    <oddHeader>&amp;R&amp;"Times New Roman CE,Félkövér dőlt"&amp;11 9. melléklet a 16/2017. (IX.04.)önkormányzati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view="pageLayout" topLeftCell="F1" zoomScale="130" zoomScaleNormal="100" zoomScalePageLayoutView="130" workbookViewId="0">
      <selection sqref="A1:M1"/>
    </sheetView>
  </sheetViews>
  <sheetFormatPr defaultRowHeight="13" x14ac:dyDescent="0.3"/>
  <cols>
    <col min="1" max="1" width="6.69921875" style="99" customWidth="1"/>
    <col min="2" max="2" width="24.69921875" style="74" customWidth="1"/>
    <col min="3" max="3" width="13" style="74" customWidth="1"/>
    <col min="4" max="7" width="15.5" style="100" customWidth="1"/>
    <col min="8" max="8" width="13.296875" style="100" bestFit="1" customWidth="1"/>
    <col min="9" max="9" width="13" style="100" customWidth="1"/>
    <col min="10" max="11" width="14" style="100" customWidth="1"/>
    <col min="12" max="12" width="13.296875" style="74" customWidth="1"/>
    <col min="13" max="13" width="14.69921875" style="74" customWidth="1"/>
    <col min="14" max="258" width="9.296875" style="74"/>
    <col min="259" max="259" width="6.69921875" style="74" customWidth="1"/>
    <col min="260" max="260" width="24.69921875" style="74" customWidth="1"/>
    <col min="261" max="261" width="13" style="74" customWidth="1"/>
    <col min="262" max="263" width="15.5" style="74" customWidth="1"/>
    <col min="264" max="264" width="11.5" style="74" customWidth="1"/>
    <col min="265" max="265" width="13" style="74" customWidth="1"/>
    <col min="266" max="267" width="14" style="74" customWidth="1"/>
    <col min="268" max="268" width="13.296875" style="74" customWidth="1"/>
    <col min="269" max="269" width="14.69921875" style="74" customWidth="1"/>
    <col min="270" max="514" width="9.296875" style="74"/>
    <col min="515" max="515" width="6.69921875" style="74" customWidth="1"/>
    <col min="516" max="516" width="24.69921875" style="74" customWidth="1"/>
    <col min="517" max="517" width="13" style="74" customWidth="1"/>
    <col min="518" max="519" width="15.5" style="74" customWidth="1"/>
    <col min="520" max="520" width="11.5" style="74" customWidth="1"/>
    <col min="521" max="521" width="13" style="74" customWidth="1"/>
    <col min="522" max="523" width="14" style="74" customWidth="1"/>
    <col min="524" max="524" width="13.296875" style="74" customWidth="1"/>
    <col min="525" max="525" width="14.69921875" style="74" customWidth="1"/>
    <col min="526" max="770" width="9.296875" style="74"/>
    <col min="771" max="771" width="6.69921875" style="74" customWidth="1"/>
    <col min="772" max="772" width="24.69921875" style="74" customWidth="1"/>
    <col min="773" max="773" width="13" style="74" customWidth="1"/>
    <col min="774" max="775" width="15.5" style="74" customWidth="1"/>
    <col min="776" max="776" width="11.5" style="74" customWidth="1"/>
    <col min="777" max="777" width="13" style="74" customWidth="1"/>
    <col min="778" max="779" width="14" style="74" customWidth="1"/>
    <col min="780" max="780" width="13.296875" style="74" customWidth="1"/>
    <col min="781" max="781" width="14.69921875" style="74" customWidth="1"/>
    <col min="782" max="1026" width="9.296875" style="74"/>
    <col min="1027" max="1027" width="6.69921875" style="74" customWidth="1"/>
    <col min="1028" max="1028" width="24.69921875" style="74" customWidth="1"/>
    <col min="1029" max="1029" width="13" style="74" customWidth="1"/>
    <col min="1030" max="1031" width="15.5" style="74" customWidth="1"/>
    <col min="1032" max="1032" width="11.5" style="74" customWidth="1"/>
    <col min="1033" max="1033" width="13" style="74" customWidth="1"/>
    <col min="1034" max="1035" width="14" style="74" customWidth="1"/>
    <col min="1036" max="1036" width="13.296875" style="74" customWidth="1"/>
    <col min="1037" max="1037" width="14.69921875" style="74" customWidth="1"/>
    <col min="1038" max="1282" width="9.296875" style="74"/>
    <col min="1283" max="1283" width="6.69921875" style="74" customWidth="1"/>
    <col min="1284" max="1284" width="24.69921875" style="74" customWidth="1"/>
    <col min="1285" max="1285" width="13" style="74" customWidth="1"/>
    <col min="1286" max="1287" width="15.5" style="74" customWidth="1"/>
    <col min="1288" max="1288" width="11.5" style="74" customWidth="1"/>
    <col min="1289" max="1289" width="13" style="74" customWidth="1"/>
    <col min="1290" max="1291" width="14" style="74" customWidth="1"/>
    <col min="1292" max="1292" width="13.296875" style="74" customWidth="1"/>
    <col min="1293" max="1293" width="14.69921875" style="74" customWidth="1"/>
    <col min="1294" max="1538" width="9.296875" style="74"/>
    <col min="1539" max="1539" width="6.69921875" style="74" customWidth="1"/>
    <col min="1540" max="1540" width="24.69921875" style="74" customWidth="1"/>
    <col min="1541" max="1541" width="13" style="74" customWidth="1"/>
    <col min="1542" max="1543" width="15.5" style="74" customWidth="1"/>
    <col min="1544" max="1544" width="11.5" style="74" customWidth="1"/>
    <col min="1545" max="1545" width="13" style="74" customWidth="1"/>
    <col min="1546" max="1547" width="14" style="74" customWidth="1"/>
    <col min="1548" max="1548" width="13.296875" style="74" customWidth="1"/>
    <col min="1549" max="1549" width="14.69921875" style="74" customWidth="1"/>
    <col min="1550" max="1794" width="9.296875" style="74"/>
    <col min="1795" max="1795" width="6.69921875" style="74" customWidth="1"/>
    <col min="1796" max="1796" width="24.69921875" style="74" customWidth="1"/>
    <col min="1797" max="1797" width="13" style="74" customWidth="1"/>
    <col min="1798" max="1799" width="15.5" style="74" customWidth="1"/>
    <col min="1800" max="1800" width="11.5" style="74" customWidth="1"/>
    <col min="1801" max="1801" width="13" style="74" customWidth="1"/>
    <col min="1802" max="1803" width="14" style="74" customWidth="1"/>
    <col min="1804" max="1804" width="13.296875" style="74" customWidth="1"/>
    <col min="1805" max="1805" width="14.69921875" style="74" customWidth="1"/>
    <col min="1806" max="2050" width="9.296875" style="74"/>
    <col min="2051" max="2051" width="6.69921875" style="74" customWidth="1"/>
    <col min="2052" max="2052" width="24.69921875" style="74" customWidth="1"/>
    <col min="2053" max="2053" width="13" style="74" customWidth="1"/>
    <col min="2054" max="2055" width="15.5" style="74" customWidth="1"/>
    <col min="2056" max="2056" width="11.5" style="74" customWidth="1"/>
    <col min="2057" max="2057" width="13" style="74" customWidth="1"/>
    <col min="2058" max="2059" width="14" style="74" customWidth="1"/>
    <col min="2060" max="2060" width="13.296875" style="74" customWidth="1"/>
    <col min="2061" max="2061" width="14.69921875" style="74" customWidth="1"/>
    <col min="2062" max="2306" width="9.296875" style="74"/>
    <col min="2307" max="2307" width="6.69921875" style="74" customWidth="1"/>
    <col min="2308" max="2308" width="24.69921875" style="74" customWidth="1"/>
    <col min="2309" max="2309" width="13" style="74" customWidth="1"/>
    <col min="2310" max="2311" width="15.5" style="74" customWidth="1"/>
    <col min="2312" max="2312" width="11.5" style="74" customWidth="1"/>
    <col min="2313" max="2313" width="13" style="74" customWidth="1"/>
    <col min="2314" max="2315" width="14" style="74" customWidth="1"/>
    <col min="2316" max="2316" width="13.296875" style="74" customWidth="1"/>
    <col min="2317" max="2317" width="14.69921875" style="74" customWidth="1"/>
    <col min="2318" max="2562" width="9.296875" style="74"/>
    <col min="2563" max="2563" width="6.69921875" style="74" customWidth="1"/>
    <col min="2564" max="2564" width="24.69921875" style="74" customWidth="1"/>
    <col min="2565" max="2565" width="13" style="74" customWidth="1"/>
    <col min="2566" max="2567" width="15.5" style="74" customWidth="1"/>
    <col min="2568" max="2568" width="11.5" style="74" customWidth="1"/>
    <col min="2569" max="2569" width="13" style="74" customWidth="1"/>
    <col min="2570" max="2571" width="14" style="74" customWidth="1"/>
    <col min="2572" max="2572" width="13.296875" style="74" customWidth="1"/>
    <col min="2573" max="2573" width="14.69921875" style="74" customWidth="1"/>
    <col min="2574" max="2818" width="9.296875" style="74"/>
    <col min="2819" max="2819" width="6.69921875" style="74" customWidth="1"/>
    <col min="2820" max="2820" width="24.69921875" style="74" customWidth="1"/>
    <col min="2821" max="2821" width="13" style="74" customWidth="1"/>
    <col min="2822" max="2823" width="15.5" style="74" customWidth="1"/>
    <col min="2824" max="2824" width="11.5" style="74" customWidth="1"/>
    <col min="2825" max="2825" width="13" style="74" customWidth="1"/>
    <col min="2826" max="2827" width="14" style="74" customWidth="1"/>
    <col min="2828" max="2828" width="13.296875" style="74" customWidth="1"/>
    <col min="2829" max="2829" width="14.69921875" style="74" customWidth="1"/>
    <col min="2830" max="3074" width="9.296875" style="74"/>
    <col min="3075" max="3075" width="6.69921875" style="74" customWidth="1"/>
    <col min="3076" max="3076" width="24.69921875" style="74" customWidth="1"/>
    <col min="3077" max="3077" width="13" style="74" customWidth="1"/>
    <col min="3078" max="3079" width="15.5" style="74" customWidth="1"/>
    <col min="3080" max="3080" width="11.5" style="74" customWidth="1"/>
    <col min="3081" max="3081" width="13" style="74" customWidth="1"/>
    <col min="3082" max="3083" width="14" style="74" customWidth="1"/>
    <col min="3084" max="3084" width="13.296875" style="74" customWidth="1"/>
    <col min="3085" max="3085" width="14.69921875" style="74" customWidth="1"/>
    <col min="3086" max="3330" width="9.296875" style="74"/>
    <col min="3331" max="3331" width="6.69921875" style="74" customWidth="1"/>
    <col min="3332" max="3332" width="24.69921875" style="74" customWidth="1"/>
    <col min="3333" max="3333" width="13" style="74" customWidth="1"/>
    <col min="3334" max="3335" width="15.5" style="74" customWidth="1"/>
    <col min="3336" max="3336" width="11.5" style="74" customWidth="1"/>
    <col min="3337" max="3337" width="13" style="74" customWidth="1"/>
    <col min="3338" max="3339" width="14" style="74" customWidth="1"/>
    <col min="3340" max="3340" width="13.296875" style="74" customWidth="1"/>
    <col min="3341" max="3341" width="14.69921875" style="74" customWidth="1"/>
    <col min="3342" max="3586" width="9.296875" style="74"/>
    <col min="3587" max="3587" width="6.69921875" style="74" customWidth="1"/>
    <col min="3588" max="3588" width="24.69921875" style="74" customWidth="1"/>
    <col min="3589" max="3589" width="13" style="74" customWidth="1"/>
    <col min="3590" max="3591" width="15.5" style="74" customWidth="1"/>
    <col min="3592" max="3592" width="11.5" style="74" customWidth="1"/>
    <col min="3593" max="3593" width="13" style="74" customWidth="1"/>
    <col min="3594" max="3595" width="14" style="74" customWidth="1"/>
    <col min="3596" max="3596" width="13.296875" style="74" customWidth="1"/>
    <col min="3597" max="3597" width="14.69921875" style="74" customWidth="1"/>
    <col min="3598" max="3842" width="9.296875" style="74"/>
    <col min="3843" max="3843" width="6.69921875" style="74" customWidth="1"/>
    <col min="3844" max="3844" width="24.69921875" style="74" customWidth="1"/>
    <col min="3845" max="3845" width="13" style="74" customWidth="1"/>
    <col min="3846" max="3847" width="15.5" style="74" customWidth="1"/>
    <col min="3848" max="3848" width="11.5" style="74" customWidth="1"/>
    <col min="3849" max="3849" width="13" style="74" customWidth="1"/>
    <col min="3850" max="3851" width="14" style="74" customWidth="1"/>
    <col min="3852" max="3852" width="13.296875" style="74" customWidth="1"/>
    <col min="3853" max="3853" width="14.69921875" style="74" customWidth="1"/>
    <col min="3854" max="4098" width="9.296875" style="74"/>
    <col min="4099" max="4099" width="6.69921875" style="74" customWidth="1"/>
    <col min="4100" max="4100" width="24.69921875" style="74" customWidth="1"/>
    <col min="4101" max="4101" width="13" style="74" customWidth="1"/>
    <col min="4102" max="4103" width="15.5" style="74" customWidth="1"/>
    <col min="4104" max="4104" width="11.5" style="74" customWidth="1"/>
    <col min="4105" max="4105" width="13" style="74" customWidth="1"/>
    <col min="4106" max="4107" width="14" style="74" customWidth="1"/>
    <col min="4108" max="4108" width="13.296875" style="74" customWidth="1"/>
    <col min="4109" max="4109" width="14.69921875" style="74" customWidth="1"/>
    <col min="4110" max="4354" width="9.296875" style="74"/>
    <col min="4355" max="4355" width="6.69921875" style="74" customWidth="1"/>
    <col min="4356" max="4356" width="24.69921875" style="74" customWidth="1"/>
    <col min="4357" max="4357" width="13" style="74" customWidth="1"/>
    <col min="4358" max="4359" width="15.5" style="74" customWidth="1"/>
    <col min="4360" max="4360" width="11.5" style="74" customWidth="1"/>
    <col min="4361" max="4361" width="13" style="74" customWidth="1"/>
    <col min="4362" max="4363" width="14" style="74" customWidth="1"/>
    <col min="4364" max="4364" width="13.296875" style="74" customWidth="1"/>
    <col min="4365" max="4365" width="14.69921875" style="74" customWidth="1"/>
    <col min="4366" max="4610" width="9.296875" style="74"/>
    <col min="4611" max="4611" width="6.69921875" style="74" customWidth="1"/>
    <col min="4612" max="4612" width="24.69921875" style="74" customWidth="1"/>
    <col min="4613" max="4613" width="13" style="74" customWidth="1"/>
    <col min="4614" max="4615" width="15.5" style="74" customWidth="1"/>
    <col min="4616" max="4616" width="11.5" style="74" customWidth="1"/>
    <col min="4617" max="4617" width="13" style="74" customWidth="1"/>
    <col min="4618" max="4619" width="14" style="74" customWidth="1"/>
    <col min="4620" max="4620" width="13.296875" style="74" customWidth="1"/>
    <col min="4621" max="4621" width="14.69921875" style="74" customWidth="1"/>
    <col min="4622" max="4866" width="9.296875" style="74"/>
    <col min="4867" max="4867" width="6.69921875" style="74" customWidth="1"/>
    <col min="4868" max="4868" width="24.69921875" style="74" customWidth="1"/>
    <col min="4869" max="4869" width="13" style="74" customWidth="1"/>
    <col min="4870" max="4871" width="15.5" style="74" customWidth="1"/>
    <col min="4872" max="4872" width="11.5" style="74" customWidth="1"/>
    <col min="4873" max="4873" width="13" style="74" customWidth="1"/>
    <col min="4874" max="4875" width="14" style="74" customWidth="1"/>
    <col min="4876" max="4876" width="13.296875" style="74" customWidth="1"/>
    <col min="4877" max="4877" width="14.69921875" style="74" customWidth="1"/>
    <col min="4878" max="5122" width="9.296875" style="74"/>
    <col min="5123" max="5123" width="6.69921875" style="74" customWidth="1"/>
    <col min="5124" max="5124" width="24.69921875" style="74" customWidth="1"/>
    <col min="5125" max="5125" width="13" style="74" customWidth="1"/>
    <col min="5126" max="5127" width="15.5" style="74" customWidth="1"/>
    <col min="5128" max="5128" width="11.5" style="74" customWidth="1"/>
    <col min="5129" max="5129" width="13" style="74" customWidth="1"/>
    <col min="5130" max="5131" width="14" style="74" customWidth="1"/>
    <col min="5132" max="5132" width="13.296875" style="74" customWidth="1"/>
    <col min="5133" max="5133" width="14.69921875" style="74" customWidth="1"/>
    <col min="5134" max="5378" width="9.296875" style="74"/>
    <col min="5379" max="5379" width="6.69921875" style="74" customWidth="1"/>
    <col min="5380" max="5380" width="24.69921875" style="74" customWidth="1"/>
    <col min="5381" max="5381" width="13" style="74" customWidth="1"/>
    <col min="5382" max="5383" width="15.5" style="74" customWidth="1"/>
    <col min="5384" max="5384" width="11.5" style="74" customWidth="1"/>
    <col min="5385" max="5385" width="13" style="74" customWidth="1"/>
    <col min="5386" max="5387" width="14" style="74" customWidth="1"/>
    <col min="5388" max="5388" width="13.296875" style="74" customWidth="1"/>
    <col min="5389" max="5389" width="14.69921875" style="74" customWidth="1"/>
    <col min="5390" max="5634" width="9.296875" style="74"/>
    <col min="5635" max="5635" width="6.69921875" style="74" customWidth="1"/>
    <col min="5636" max="5636" width="24.69921875" style="74" customWidth="1"/>
    <col min="5637" max="5637" width="13" style="74" customWidth="1"/>
    <col min="5638" max="5639" width="15.5" style="74" customWidth="1"/>
    <col min="5640" max="5640" width="11.5" style="74" customWidth="1"/>
    <col min="5641" max="5641" width="13" style="74" customWidth="1"/>
    <col min="5642" max="5643" width="14" style="74" customWidth="1"/>
    <col min="5644" max="5644" width="13.296875" style="74" customWidth="1"/>
    <col min="5645" max="5645" width="14.69921875" style="74" customWidth="1"/>
    <col min="5646" max="5890" width="9.296875" style="74"/>
    <col min="5891" max="5891" width="6.69921875" style="74" customWidth="1"/>
    <col min="5892" max="5892" width="24.69921875" style="74" customWidth="1"/>
    <col min="5893" max="5893" width="13" style="74" customWidth="1"/>
    <col min="5894" max="5895" width="15.5" style="74" customWidth="1"/>
    <col min="5896" max="5896" width="11.5" style="74" customWidth="1"/>
    <col min="5897" max="5897" width="13" style="74" customWidth="1"/>
    <col min="5898" max="5899" width="14" style="74" customWidth="1"/>
    <col min="5900" max="5900" width="13.296875" style="74" customWidth="1"/>
    <col min="5901" max="5901" width="14.69921875" style="74" customWidth="1"/>
    <col min="5902" max="6146" width="9.296875" style="74"/>
    <col min="6147" max="6147" width="6.69921875" style="74" customWidth="1"/>
    <col min="6148" max="6148" width="24.69921875" style="74" customWidth="1"/>
    <col min="6149" max="6149" width="13" style="74" customWidth="1"/>
    <col min="6150" max="6151" width="15.5" style="74" customWidth="1"/>
    <col min="6152" max="6152" width="11.5" style="74" customWidth="1"/>
    <col min="6153" max="6153" width="13" style="74" customWidth="1"/>
    <col min="6154" max="6155" width="14" style="74" customWidth="1"/>
    <col min="6156" max="6156" width="13.296875" style="74" customWidth="1"/>
    <col min="6157" max="6157" width="14.69921875" style="74" customWidth="1"/>
    <col min="6158" max="6402" width="9.296875" style="74"/>
    <col min="6403" max="6403" width="6.69921875" style="74" customWidth="1"/>
    <col min="6404" max="6404" width="24.69921875" style="74" customWidth="1"/>
    <col min="6405" max="6405" width="13" style="74" customWidth="1"/>
    <col min="6406" max="6407" width="15.5" style="74" customWidth="1"/>
    <col min="6408" max="6408" width="11.5" style="74" customWidth="1"/>
    <col min="6409" max="6409" width="13" style="74" customWidth="1"/>
    <col min="6410" max="6411" width="14" style="74" customWidth="1"/>
    <col min="6412" max="6412" width="13.296875" style="74" customWidth="1"/>
    <col min="6413" max="6413" width="14.69921875" style="74" customWidth="1"/>
    <col min="6414" max="6658" width="9.296875" style="74"/>
    <col min="6659" max="6659" width="6.69921875" style="74" customWidth="1"/>
    <col min="6660" max="6660" width="24.69921875" style="74" customWidth="1"/>
    <col min="6661" max="6661" width="13" style="74" customWidth="1"/>
    <col min="6662" max="6663" width="15.5" style="74" customWidth="1"/>
    <col min="6664" max="6664" width="11.5" style="74" customWidth="1"/>
    <col min="6665" max="6665" width="13" style="74" customWidth="1"/>
    <col min="6666" max="6667" width="14" style="74" customWidth="1"/>
    <col min="6668" max="6668" width="13.296875" style="74" customWidth="1"/>
    <col min="6669" max="6669" width="14.69921875" style="74" customWidth="1"/>
    <col min="6670" max="6914" width="9.296875" style="74"/>
    <col min="6915" max="6915" width="6.69921875" style="74" customWidth="1"/>
    <col min="6916" max="6916" width="24.69921875" style="74" customWidth="1"/>
    <col min="6917" max="6917" width="13" style="74" customWidth="1"/>
    <col min="6918" max="6919" width="15.5" style="74" customWidth="1"/>
    <col min="6920" max="6920" width="11.5" style="74" customWidth="1"/>
    <col min="6921" max="6921" width="13" style="74" customWidth="1"/>
    <col min="6922" max="6923" width="14" style="74" customWidth="1"/>
    <col min="6924" max="6924" width="13.296875" style="74" customWidth="1"/>
    <col min="6925" max="6925" width="14.69921875" style="74" customWidth="1"/>
    <col min="6926" max="7170" width="9.296875" style="74"/>
    <col min="7171" max="7171" width="6.69921875" style="74" customWidth="1"/>
    <col min="7172" max="7172" width="24.69921875" style="74" customWidth="1"/>
    <col min="7173" max="7173" width="13" style="74" customWidth="1"/>
    <col min="7174" max="7175" width="15.5" style="74" customWidth="1"/>
    <col min="7176" max="7176" width="11.5" style="74" customWidth="1"/>
    <col min="7177" max="7177" width="13" style="74" customWidth="1"/>
    <col min="7178" max="7179" width="14" style="74" customWidth="1"/>
    <col min="7180" max="7180" width="13.296875" style="74" customWidth="1"/>
    <col min="7181" max="7181" width="14.69921875" style="74" customWidth="1"/>
    <col min="7182" max="7426" width="9.296875" style="74"/>
    <col min="7427" max="7427" width="6.69921875" style="74" customWidth="1"/>
    <col min="7428" max="7428" width="24.69921875" style="74" customWidth="1"/>
    <col min="7429" max="7429" width="13" style="74" customWidth="1"/>
    <col min="7430" max="7431" width="15.5" style="74" customWidth="1"/>
    <col min="7432" max="7432" width="11.5" style="74" customWidth="1"/>
    <col min="7433" max="7433" width="13" style="74" customWidth="1"/>
    <col min="7434" max="7435" width="14" style="74" customWidth="1"/>
    <col min="7436" max="7436" width="13.296875" style="74" customWidth="1"/>
    <col min="7437" max="7437" width="14.69921875" style="74" customWidth="1"/>
    <col min="7438" max="7682" width="9.296875" style="74"/>
    <col min="7683" max="7683" width="6.69921875" style="74" customWidth="1"/>
    <col min="7684" max="7684" width="24.69921875" style="74" customWidth="1"/>
    <col min="7685" max="7685" width="13" style="74" customWidth="1"/>
    <col min="7686" max="7687" width="15.5" style="74" customWidth="1"/>
    <col min="7688" max="7688" width="11.5" style="74" customWidth="1"/>
    <col min="7689" max="7689" width="13" style="74" customWidth="1"/>
    <col min="7690" max="7691" width="14" style="74" customWidth="1"/>
    <col min="7692" max="7692" width="13.296875" style="74" customWidth="1"/>
    <col min="7693" max="7693" width="14.69921875" style="74" customWidth="1"/>
    <col min="7694" max="7938" width="9.296875" style="74"/>
    <col min="7939" max="7939" width="6.69921875" style="74" customWidth="1"/>
    <col min="7940" max="7940" width="24.69921875" style="74" customWidth="1"/>
    <col min="7941" max="7941" width="13" style="74" customWidth="1"/>
    <col min="7942" max="7943" width="15.5" style="74" customWidth="1"/>
    <col min="7944" max="7944" width="11.5" style="74" customWidth="1"/>
    <col min="7945" max="7945" width="13" style="74" customWidth="1"/>
    <col min="7946" max="7947" width="14" style="74" customWidth="1"/>
    <col min="7948" max="7948" width="13.296875" style="74" customWidth="1"/>
    <col min="7949" max="7949" width="14.69921875" style="74" customWidth="1"/>
    <col min="7950" max="8194" width="9.296875" style="74"/>
    <col min="8195" max="8195" width="6.69921875" style="74" customWidth="1"/>
    <col min="8196" max="8196" width="24.69921875" style="74" customWidth="1"/>
    <col min="8197" max="8197" width="13" style="74" customWidth="1"/>
    <col min="8198" max="8199" width="15.5" style="74" customWidth="1"/>
    <col min="8200" max="8200" width="11.5" style="74" customWidth="1"/>
    <col min="8201" max="8201" width="13" style="74" customWidth="1"/>
    <col min="8202" max="8203" width="14" style="74" customWidth="1"/>
    <col min="8204" max="8204" width="13.296875" style="74" customWidth="1"/>
    <col min="8205" max="8205" width="14.69921875" style="74" customWidth="1"/>
    <col min="8206" max="8450" width="9.296875" style="74"/>
    <col min="8451" max="8451" width="6.69921875" style="74" customWidth="1"/>
    <col min="8452" max="8452" width="24.69921875" style="74" customWidth="1"/>
    <col min="8453" max="8453" width="13" style="74" customWidth="1"/>
    <col min="8454" max="8455" width="15.5" style="74" customWidth="1"/>
    <col min="8456" max="8456" width="11.5" style="74" customWidth="1"/>
    <col min="8457" max="8457" width="13" style="74" customWidth="1"/>
    <col min="8458" max="8459" width="14" style="74" customWidth="1"/>
    <col min="8460" max="8460" width="13.296875" style="74" customWidth="1"/>
    <col min="8461" max="8461" width="14.69921875" style="74" customWidth="1"/>
    <col min="8462" max="8706" width="9.296875" style="74"/>
    <col min="8707" max="8707" width="6.69921875" style="74" customWidth="1"/>
    <col min="8708" max="8708" width="24.69921875" style="74" customWidth="1"/>
    <col min="8709" max="8709" width="13" style="74" customWidth="1"/>
    <col min="8710" max="8711" width="15.5" style="74" customWidth="1"/>
    <col min="8712" max="8712" width="11.5" style="74" customWidth="1"/>
    <col min="8713" max="8713" width="13" style="74" customWidth="1"/>
    <col min="8714" max="8715" width="14" style="74" customWidth="1"/>
    <col min="8716" max="8716" width="13.296875" style="74" customWidth="1"/>
    <col min="8717" max="8717" width="14.69921875" style="74" customWidth="1"/>
    <col min="8718" max="8962" width="9.296875" style="74"/>
    <col min="8963" max="8963" width="6.69921875" style="74" customWidth="1"/>
    <col min="8964" max="8964" width="24.69921875" style="74" customWidth="1"/>
    <col min="8965" max="8965" width="13" style="74" customWidth="1"/>
    <col min="8966" max="8967" width="15.5" style="74" customWidth="1"/>
    <col min="8968" max="8968" width="11.5" style="74" customWidth="1"/>
    <col min="8969" max="8969" width="13" style="74" customWidth="1"/>
    <col min="8970" max="8971" width="14" style="74" customWidth="1"/>
    <col min="8972" max="8972" width="13.296875" style="74" customWidth="1"/>
    <col min="8973" max="8973" width="14.69921875" style="74" customWidth="1"/>
    <col min="8974" max="9218" width="9.296875" style="74"/>
    <col min="9219" max="9219" width="6.69921875" style="74" customWidth="1"/>
    <col min="9220" max="9220" width="24.69921875" style="74" customWidth="1"/>
    <col min="9221" max="9221" width="13" style="74" customWidth="1"/>
    <col min="9222" max="9223" width="15.5" style="74" customWidth="1"/>
    <col min="9224" max="9224" width="11.5" style="74" customWidth="1"/>
    <col min="9225" max="9225" width="13" style="74" customWidth="1"/>
    <col min="9226" max="9227" width="14" style="74" customWidth="1"/>
    <col min="9228" max="9228" width="13.296875" style="74" customWidth="1"/>
    <col min="9229" max="9229" width="14.69921875" style="74" customWidth="1"/>
    <col min="9230" max="9474" width="9.296875" style="74"/>
    <col min="9475" max="9475" width="6.69921875" style="74" customWidth="1"/>
    <col min="9476" max="9476" width="24.69921875" style="74" customWidth="1"/>
    <col min="9477" max="9477" width="13" style="74" customWidth="1"/>
    <col min="9478" max="9479" width="15.5" style="74" customWidth="1"/>
    <col min="9480" max="9480" width="11.5" style="74" customWidth="1"/>
    <col min="9481" max="9481" width="13" style="74" customWidth="1"/>
    <col min="9482" max="9483" width="14" style="74" customWidth="1"/>
    <col min="9484" max="9484" width="13.296875" style="74" customWidth="1"/>
    <col min="9485" max="9485" width="14.69921875" style="74" customWidth="1"/>
    <col min="9486" max="9730" width="9.296875" style="74"/>
    <col min="9731" max="9731" width="6.69921875" style="74" customWidth="1"/>
    <col min="9732" max="9732" width="24.69921875" style="74" customWidth="1"/>
    <col min="9733" max="9733" width="13" style="74" customWidth="1"/>
    <col min="9734" max="9735" width="15.5" style="74" customWidth="1"/>
    <col min="9736" max="9736" width="11.5" style="74" customWidth="1"/>
    <col min="9737" max="9737" width="13" style="74" customWidth="1"/>
    <col min="9738" max="9739" width="14" style="74" customWidth="1"/>
    <col min="9740" max="9740" width="13.296875" style="74" customWidth="1"/>
    <col min="9741" max="9741" width="14.69921875" style="74" customWidth="1"/>
    <col min="9742" max="9986" width="9.296875" style="74"/>
    <col min="9987" max="9987" width="6.69921875" style="74" customWidth="1"/>
    <col min="9988" max="9988" width="24.69921875" style="74" customWidth="1"/>
    <col min="9989" max="9989" width="13" style="74" customWidth="1"/>
    <col min="9990" max="9991" width="15.5" style="74" customWidth="1"/>
    <col min="9992" max="9992" width="11.5" style="74" customWidth="1"/>
    <col min="9993" max="9993" width="13" style="74" customWidth="1"/>
    <col min="9994" max="9995" width="14" style="74" customWidth="1"/>
    <col min="9996" max="9996" width="13.296875" style="74" customWidth="1"/>
    <col min="9997" max="9997" width="14.69921875" style="74" customWidth="1"/>
    <col min="9998" max="10242" width="9.296875" style="74"/>
    <col min="10243" max="10243" width="6.69921875" style="74" customWidth="1"/>
    <col min="10244" max="10244" width="24.69921875" style="74" customWidth="1"/>
    <col min="10245" max="10245" width="13" style="74" customWidth="1"/>
    <col min="10246" max="10247" width="15.5" style="74" customWidth="1"/>
    <col min="10248" max="10248" width="11.5" style="74" customWidth="1"/>
    <col min="10249" max="10249" width="13" style="74" customWidth="1"/>
    <col min="10250" max="10251" width="14" style="74" customWidth="1"/>
    <col min="10252" max="10252" width="13.296875" style="74" customWidth="1"/>
    <col min="10253" max="10253" width="14.69921875" style="74" customWidth="1"/>
    <col min="10254" max="10498" width="9.296875" style="74"/>
    <col min="10499" max="10499" width="6.69921875" style="74" customWidth="1"/>
    <col min="10500" max="10500" width="24.69921875" style="74" customWidth="1"/>
    <col min="10501" max="10501" width="13" style="74" customWidth="1"/>
    <col min="10502" max="10503" width="15.5" style="74" customWidth="1"/>
    <col min="10504" max="10504" width="11.5" style="74" customWidth="1"/>
    <col min="10505" max="10505" width="13" style="74" customWidth="1"/>
    <col min="10506" max="10507" width="14" style="74" customWidth="1"/>
    <col min="10508" max="10508" width="13.296875" style="74" customWidth="1"/>
    <col min="10509" max="10509" width="14.69921875" style="74" customWidth="1"/>
    <col min="10510" max="10754" width="9.296875" style="74"/>
    <col min="10755" max="10755" width="6.69921875" style="74" customWidth="1"/>
    <col min="10756" max="10756" width="24.69921875" style="74" customWidth="1"/>
    <col min="10757" max="10757" width="13" style="74" customWidth="1"/>
    <col min="10758" max="10759" width="15.5" style="74" customWidth="1"/>
    <col min="10760" max="10760" width="11.5" style="74" customWidth="1"/>
    <col min="10761" max="10761" width="13" style="74" customWidth="1"/>
    <col min="10762" max="10763" width="14" style="74" customWidth="1"/>
    <col min="10764" max="10764" width="13.296875" style="74" customWidth="1"/>
    <col min="10765" max="10765" width="14.69921875" style="74" customWidth="1"/>
    <col min="10766" max="11010" width="9.296875" style="74"/>
    <col min="11011" max="11011" width="6.69921875" style="74" customWidth="1"/>
    <col min="11012" max="11012" width="24.69921875" style="74" customWidth="1"/>
    <col min="11013" max="11013" width="13" style="74" customWidth="1"/>
    <col min="11014" max="11015" width="15.5" style="74" customWidth="1"/>
    <col min="11016" max="11016" width="11.5" style="74" customWidth="1"/>
    <col min="11017" max="11017" width="13" style="74" customWidth="1"/>
    <col min="11018" max="11019" width="14" style="74" customWidth="1"/>
    <col min="11020" max="11020" width="13.296875" style="74" customWidth="1"/>
    <col min="11021" max="11021" width="14.69921875" style="74" customWidth="1"/>
    <col min="11022" max="11266" width="9.296875" style="74"/>
    <col min="11267" max="11267" width="6.69921875" style="74" customWidth="1"/>
    <col min="11268" max="11268" width="24.69921875" style="74" customWidth="1"/>
    <col min="11269" max="11269" width="13" style="74" customWidth="1"/>
    <col min="11270" max="11271" width="15.5" style="74" customWidth="1"/>
    <col min="11272" max="11272" width="11.5" style="74" customWidth="1"/>
    <col min="11273" max="11273" width="13" style="74" customWidth="1"/>
    <col min="11274" max="11275" width="14" style="74" customWidth="1"/>
    <col min="11276" max="11276" width="13.296875" style="74" customWidth="1"/>
    <col min="11277" max="11277" width="14.69921875" style="74" customWidth="1"/>
    <col min="11278" max="11522" width="9.296875" style="74"/>
    <col min="11523" max="11523" width="6.69921875" style="74" customWidth="1"/>
    <col min="11524" max="11524" width="24.69921875" style="74" customWidth="1"/>
    <col min="11525" max="11525" width="13" style="74" customWidth="1"/>
    <col min="11526" max="11527" width="15.5" style="74" customWidth="1"/>
    <col min="11528" max="11528" width="11.5" style="74" customWidth="1"/>
    <col min="11529" max="11529" width="13" style="74" customWidth="1"/>
    <col min="11530" max="11531" width="14" style="74" customWidth="1"/>
    <col min="11532" max="11532" width="13.296875" style="74" customWidth="1"/>
    <col min="11533" max="11533" width="14.69921875" style="74" customWidth="1"/>
    <col min="11534" max="11778" width="9.296875" style="74"/>
    <col min="11779" max="11779" width="6.69921875" style="74" customWidth="1"/>
    <col min="11780" max="11780" width="24.69921875" style="74" customWidth="1"/>
    <col min="11781" max="11781" width="13" style="74" customWidth="1"/>
    <col min="11782" max="11783" width="15.5" style="74" customWidth="1"/>
    <col min="11784" max="11784" width="11.5" style="74" customWidth="1"/>
    <col min="11785" max="11785" width="13" style="74" customWidth="1"/>
    <col min="11786" max="11787" width="14" style="74" customWidth="1"/>
    <col min="11788" max="11788" width="13.296875" style="74" customWidth="1"/>
    <col min="11789" max="11789" width="14.69921875" style="74" customWidth="1"/>
    <col min="11790" max="12034" width="9.296875" style="74"/>
    <col min="12035" max="12035" width="6.69921875" style="74" customWidth="1"/>
    <col min="12036" max="12036" width="24.69921875" style="74" customWidth="1"/>
    <col min="12037" max="12037" width="13" style="74" customWidth="1"/>
    <col min="12038" max="12039" width="15.5" style="74" customWidth="1"/>
    <col min="12040" max="12040" width="11.5" style="74" customWidth="1"/>
    <col min="12041" max="12041" width="13" style="74" customWidth="1"/>
    <col min="12042" max="12043" width="14" style="74" customWidth="1"/>
    <col min="12044" max="12044" width="13.296875" style="74" customWidth="1"/>
    <col min="12045" max="12045" width="14.69921875" style="74" customWidth="1"/>
    <col min="12046" max="12290" width="9.296875" style="74"/>
    <col min="12291" max="12291" width="6.69921875" style="74" customWidth="1"/>
    <col min="12292" max="12292" width="24.69921875" style="74" customWidth="1"/>
    <col min="12293" max="12293" width="13" style="74" customWidth="1"/>
    <col min="12294" max="12295" width="15.5" style="74" customWidth="1"/>
    <col min="12296" max="12296" width="11.5" style="74" customWidth="1"/>
    <col min="12297" max="12297" width="13" style="74" customWidth="1"/>
    <col min="12298" max="12299" width="14" style="74" customWidth="1"/>
    <col min="12300" max="12300" width="13.296875" style="74" customWidth="1"/>
    <col min="12301" max="12301" width="14.69921875" style="74" customWidth="1"/>
    <col min="12302" max="12546" width="9.296875" style="74"/>
    <col min="12547" max="12547" width="6.69921875" style="74" customWidth="1"/>
    <col min="12548" max="12548" width="24.69921875" style="74" customWidth="1"/>
    <col min="12549" max="12549" width="13" style="74" customWidth="1"/>
    <col min="12550" max="12551" width="15.5" style="74" customWidth="1"/>
    <col min="12552" max="12552" width="11.5" style="74" customWidth="1"/>
    <col min="12553" max="12553" width="13" style="74" customWidth="1"/>
    <col min="12554" max="12555" width="14" style="74" customWidth="1"/>
    <col min="12556" max="12556" width="13.296875" style="74" customWidth="1"/>
    <col min="12557" max="12557" width="14.69921875" style="74" customWidth="1"/>
    <col min="12558" max="12802" width="9.296875" style="74"/>
    <col min="12803" max="12803" width="6.69921875" style="74" customWidth="1"/>
    <col min="12804" max="12804" width="24.69921875" style="74" customWidth="1"/>
    <col min="12805" max="12805" width="13" style="74" customWidth="1"/>
    <col min="12806" max="12807" width="15.5" style="74" customWidth="1"/>
    <col min="12808" max="12808" width="11.5" style="74" customWidth="1"/>
    <col min="12809" max="12809" width="13" style="74" customWidth="1"/>
    <col min="12810" max="12811" width="14" style="74" customWidth="1"/>
    <col min="12812" max="12812" width="13.296875" style="74" customWidth="1"/>
    <col min="12813" max="12813" width="14.69921875" style="74" customWidth="1"/>
    <col min="12814" max="13058" width="9.296875" style="74"/>
    <col min="13059" max="13059" width="6.69921875" style="74" customWidth="1"/>
    <col min="13060" max="13060" width="24.69921875" style="74" customWidth="1"/>
    <col min="13061" max="13061" width="13" style="74" customWidth="1"/>
    <col min="13062" max="13063" width="15.5" style="74" customWidth="1"/>
    <col min="13064" max="13064" width="11.5" style="74" customWidth="1"/>
    <col min="13065" max="13065" width="13" style="74" customWidth="1"/>
    <col min="13066" max="13067" width="14" style="74" customWidth="1"/>
    <col min="13068" max="13068" width="13.296875" style="74" customWidth="1"/>
    <col min="13069" max="13069" width="14.69921875" style="74" customWidth="1"/>
    <col min="13070" max="13314" width="9.296875" style="74"/>
    <col min="13315" max="13315" width="6.69921875" style="74" customWidth="1"/>
    <col min="13316" max="13316" width="24.69921875" style="74" customWidth="1"/>
    <col min="13317" max="13317" width="13" style="74" customWidth="1"/>
    <col min="13318" max="13319" width="15.5" style="74" customWidth="1"/>
    <col min="13320" max="13320" width="11.5" style="74" customWidth="1"/>
    <col min="13321" max="13321" width="13" style="74" customWidth="1"/>
    <col min="13322" max="13323" width="14" style="74" customWidth="1"/>
    <col min="13324" max="13324" width="13.296875" style="74" customWidth="1"/>
    <col min="13325" max="13325" width="14.69921875" style="74" customWidth="1"/>
    <col min="13326" max="13570" width="9.296875" style="74"/>
    <col min="13571" max="13571" width="6.69921875" style="74" customWidth="1"/>
    <col min="13572" max="13572" width="24.69921875" style="74" customWidth="1"/>
    <col min="13573" max="13573" width="13" style="74" customWidth="1"/>
    <col min="13574" max="13575" width="15.5" style="74" customWidth="1"/>
    <col min="13576" max="13576" width="11.5" style="74" customWidth="1"/>
    <col min="13577" max="13577" width="13" style="74" customWidth="1"/>
    <col min="13578" max="13579" width="14" style="74" customWidth="1"/>
    <col min="13580" max="13580" width="13.296875" style="74" customWidth="1"/>
    <col min="13581" max="13581" width="14.69921875" style="74" customWidth="1"/>
    <col min="13582" max="13826" width="9.296875" style="74"/>
    <col min="13827" max="13827" width="6.69921875" style="74" customWidth="1"/>
    <col min="13828" max="13828" width="24.69921875" style="74" customWidth="1"/>
    <col min="13829" max="13829" width="13" style="74" customWidth="1"/>
    <col min="13830" max="13831" width="15.5" style="74" customWidth="1"/>
    <col min="13832" max="13832" width="11.5" style="74" customWidth="1"/>
    <col min="13833" max="13833" width="13" style="74" customWidth="1"/>
    <col min="13834" max="13835" width="14" style="74" customWidth="1"/>
    <col min="13836" max="13836" width="13.296875" style="74" customWidth="1"/>
    <col min="13837" max="13837" width="14.69921875" style="74" customWidth="1"/>
    <col min="13838" max="14082" width="9.296875" style="74"/>
    <col min="14083" max="14083" width="6.69921875" style="74" customWidth="1"/>
    <col min="14084" max="14084" width="24.69921875" style="74" customWidth="1"/>
    <col min="14085" max="14085" width="13" style="74" customWidth="1"/>
    <col min="14086" max="14087" width="15.5" style="74" customWidth="1"/>
    <col min="14088" max="14088" width="11.5" style="74" customWidth="1"/>
    <col min="14089" max="14089" width="13" style="74" customWidth="1"/>
    <col min="14090" max="14091" width="14" style="74" customWidth="1"/>
    <col min="14092" max="14092" width="13.296875" style="74" customWidth="1"/>
    <col min="14093" max="14093" width="14.69921875" style="74" customWidth="1"/>
    <col min="14094" max="14338" width="9.296875" style="74"/>
    <col min="14339" max="14339" width="6.69921875" style="74" customWidth="1"/>
    <col min="14340" max="14340" width="24.69921875" style="74" customWidth="1"/>
    <col min="14341" max="14341" width="13" style="74" customWidth="1"/>
    <col min="14342" max="14343" width="15.5" style="74" customWidth="1"/>
    <col min="14344" max="14344" width="11.5" style="74" customWidth="1"/>
    <col min="14345" max="14345" width="13" style="74" customWidth="1"/>
    <col min="14346" max="14347" width="14" style="74" customWidth="1"/>
    <col min="14348" max="14348" width="13.296875" style="74" customWidth="1"/>
    <col min="14349" max="14349" width="14.69921875" style="74" customWidth="1"/>
    <col min="14350" max="14594" width="9.296875" style="74"/>
    <col min="14595" max="14595" width="6.69921875" style="74" customWidth="1"/>
    <col min="14596" max="14596" width="24.69921875" style="74" customWidth="1"/>
    <col min="14597" max="14597" width="13" style="74" customWidth="1"/>
    <col min="14598" max="14599" width="15.5" style="74" customWidth="1"/>
    <col min="14600" max="14600" width="11.5" style="74" customWidth="1"/>
    <col min="14601" max="14601" width="13" style="74" customWidth="1"/>
    <col min="14602" max="14603" width="14" style="74" customWidth="1"/>
    <col min="14604" max="14604" width="13.296875" style="74" customWidth="1"/>
    <col min="14605" max="14605" width="14.69921875" style="74" customWidth="1"/>
    <col min="14606" max="14850" width="9.296875" style="74"/>
    <col min="14851" max="14851" width="6.69921875" style="74" customWidth="1"/>
    <col min="14852" max="14852" width="24.69921875" style="74" customWidth="1"/>
    <col min="14853" max="14853" width="13" style="74" customWidth="1"/>
    <col min="14854" max="14855" width="15.5" style="74" customWidth="1"/>
    <col min="14856" max="14856" width="11.5" style="74" customWidth="1"/>
    <col min="14857" max="14857" width="13" style="74" customWidth="1"/>
    <col min="14858" max="14859" width="14" style="74" customWidth="1"/>
    <col min="14860" max="14860" width="13.296875" style="74" customWidth="1"/>
    <col min="14861" max="14861" width="14.69921875" style="74" customWidth="1"/>
    <col min="14862" max="15106" width="9.296875" style="74"/>
    <col min="15107" max="15107" width="6.69921875" style="74" customWidth="1"/>
    <col min="15108" max="15108" width="24.69921875" style="74" customWidth="1"/>
    <col min="15109" max="15109" width="13" style="74" customWidth="1"/>
    <col min="15110" max="15111" width="15.5" style="74" customWidth="1"/>
    <col min="15112" max="15112" width="11.5" style="74" customWidth="1"/>
    <col min="15113" max="15113" width="13" style="74" customWidth="1"/>
    <col min="15114" max="15115" width="14" style="74" customWidth="1"/>
    <col min="15116" max="15116" width="13.296875" style="74" customWidth="1"/>
    <col min="15117" max="15117" width="14.69921875" style="74" customWidth="1"/>
    <col min="15118" max="15362" width="9.296875" style="74"/>
    <col min="15363" max="15363" width="6.69921875" style="74" customWidth="1"/>
    <col min="15364" max="15364" width="24.69921875" style="74" customWidth="1"/>
    <col min="15365" max="15365" width="13" style="74" customWidth="1"/>
    <col min="15366" max="15367" width="15.5" style="74" customWidth="1"/>
    <col min="15368" max="15368" width="11.5" style="74" customWidth="1"/>
    <col min="15369" max="15369" width="13" style="74" customWidth="1"/>
    <col min="15370" max="15371" width="14" style="74" customWidth="1"/>
    <col min="15372" max="15372" width="13.296875" style="74" customWidth="1"/>
    <col min="15373" max="15373" width="14.69921875" style="74" customWidth="1"/>
    <col min="15374" max="15618" width="9.296875" style="74"/>
    <col min="15619" max="15619" width="6.69921875" style="74" customWidth="1"/>
    <col min="15620" max="15620" width="24.69921875" style="74" customWidth="1"/>
    <col min="15621" max="15621" width="13" style="74" customWidth="1"/>
    <col min="15622" max="15623" width="15.5" style="74" customWidth="1"/>
    <col min="15624" max="15624" width="11.5" style="74" customWidth="1"/>
    <col min="15625" max="15625" width="13" style="74" customWidth="1"/>
    <col min="15626" max="15627" width="14" style="74" customWidth="1"/>
    <col min="15628" max="15628" width="13.296875" style="74" customWidth="1"/>
    <col min="15629" max="15629" width="14.69921875" style="74" customWidth="1"/>
    <col min="15630" max="15874" width="9.296875" style="74"/>
    <col min="15875" max="15875" width="6.69921875" style="74" customWidth="1"/>
    <col min="15876" max="15876" width="24.69921875" style="74" customWidth="1"/>
    <col min="15877" max="15877" width="13" style="74" customWidth="1"/>
    <col min="15878" max="15879" width="15.5" style="74" customWidth="1"/>
    <col min="15880" max="15880" width="11.5" style="74" customWidth="1"/>
    <col min="15881" max="15881" width="13" style="74" customWidth="1"/>
    <col min="15882" max="15883" width="14" style="74" customWidth="1"/>
    <col min="15884" max="15884" width="13.296875" style="74" customWidth="1"/>
    <col min="15885" max="15885" width="14.69921875" style="74" customWidth="1"/>
    <col min="15886" max="16130" width="9.296875" style="74"/>
    <col min="16131" max="16131" width="6.69921875" style="74" customWidth="1"/>
    <col min="16132" max="16132" width="24.69921875" style="74" customWidth="1"/>
    <col min="16133" max="16133" width="13" style="74" customWidth="1"/>
    <col min="16134" max="16135" width="15.5" style="74" customWidth="1"/>
    <col min="16136" max="16136" width="11.5" style="74" customWidth="1"/>
    <col min="16137" max="16137" width="13" style="74" customWidth="1"/>
    <col min="16138" max="16139" width="14" style="74" customWidth="1"/>
    <col min="16140" max="16140" width="13.296875" style="74" customWidth="1"/>
    <col min="16141" max="16141" width="14.69921875" style="74" customWidth="1"/>
    <col min="16142" max="16384" width="9.296875" style="74"/>
  </cols>
  <sheetData>
    <row r="1" spans="1:13" ht="42" customHeight="1" x14ac:dyDescent="0.3">
      <c r="A1" s="757" t="s">
        <v>473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</row>
    <row r="2" spans="1:13" ht="14" x14ac:dyDescent="0.3">
      <c r="A2" s="75"/>
      <c r="B2" s="80"/>
      <c r="C2" s="80"/>
      <c r="D2" s="258" t="s">
        <v>30</v>
      </c>
      <c r="E2" s="258" t="s">
        <v>36</v>
      </c>
      <c r="F2" s="256" t="s">
        <v>59</v>
      </c>
      <c r="G2" s="256" t="s">
        <v>109</v>
      </c>
      <c r="H2" s="256" t="s">
        <v>145</v>
      </c>
      <c r="I2" s="256" t="s">
        <v>163</v>
      </c>
      <c r="J2" s="256" t="s">
        <v>172</v>
      </c>
      <c r="K2" s="256" t="s">
        <v>181</v>
      </c>
      <c r="L2" s="74" t="s">
        <v>199</v>
      </c>
      <c r="M2" s="82" t="s">
        <v>1</v>
      </c>
    </row>
    <row r="3" spans="1:13" s="83" customFormat="1" ht="69.75" customHeight="1" x14ac:dyDescent="0.3">
      <c r="A3" s="499" t="s">
        <v>407</v>
      </c>
      <c r="B3" s="499" t="s">
        <v>454</v>
      </c>
      <c r="C3" s="499" t="s">
        <v>455</v>
      </c>
      <c r="D3" s="499" t="s">
        <v>472</v>
      </c>
      <c r="E3" s="499" t="s">
        <v>744</v>
      </c>
      <c r="F3" s="499" t="s">
        <v>456</v>
      </c>
      <c r="G3" s="499" t="s">
        <v>108</v>
      </c>
      <c r="H3" s="499" t="s">
        <v>457</v>
      </c>
      <c r="I3" s="500" t="s">
        <v>458</v>
      </c>
      <c r="J3" s="500" t="s">
        <v>427</v>
      </c>
      <c r="K3" s="259" t="s">
        <v>459</v>
      </c>
      <c r="L3" s="501" t="s">
        <v>189</v>
      </c>
      <c r="M3" s="259" t="s">
        <v>460</v>
      </c>
    </row>
    <row r="4" spans="1:13" ht="52.5" customHeight="1" x14ac:dyDescent="0.3">
      <c r="A4" s="502" t="s">
        <v>10</v>
      </c>
      <c r="B4" s="503" t="s">
        <v>461</v>
      </c>
      <c r="C4" s="504" t="s">
        <v>462</v>
      </c>
      <c r="D4" s="505"/>
      <c r="E4" s="505"/>
      <c r="F4" s="506"/>
      <c r="G4" s="506"/>
      <c r="H4" s="506">
        <v>1000000</v>
      </c>
      <c r="I4" s="507"/>
      <c r="J4" s="507"/>
      <c r="K4" s="506"/>
      <c r="L4" s="508">
        <v>20000000</v>
      </c>
      <c r="M4" s="508">
        <f t="shared" ref="M4:M99" si="0">SUM(D4:L4)</f>
        <v>21000000</v>
      </c>
    </row>
    <row r="5" spans="1:13" ht="52.5" customHeight="1" x14ac:dyDescent="0.3">
      <c r="A5" s="502" t="s">
        <v>13</v>
      </c>
      <c r="B5" s="503" t="s">
        <v>860</v>
      </c>
      <c r="C5" s="504"/>
      <c r="D5" s="505"/>
      <c r="E5" s="505">
        <v>13608561</v>
      </c>
      <c r="F5" s="506"/>
      <c r="G5" s="506"/>
      <c r="H5" s="506">
        <v>6</v>
      </c>
      <c r="I5" s="507"/>
      <c r="J5" s="507"/>
      <c r="K5" s="506">
        <v>134787</v>
      </c>
      <c r="L5" s="508">
        <v>-20000000</v>
      </c>
      <c r="M5" s="508">
        <f>SUM(D5:L5)</f>
        <v>-6256646</v>
      </c>
    </row>
    <row r="6" spans="1:13" s="84" customFormat="1" ht="52.5" customHeight="1" x14ac:dyDescent="0.35">
      <c r="A6" s="502" t="s">
        <v>16</v>
      </c>
      <c r="B6" s="509" t="s">
        <v>859</v>
      </c>
      <c r="C6" s="510"/>
      <c r="D6" s="511">
        <f>SUM(D4:D5)</f>
        <v>0</v>
      </c>
      <c r="E6" s="511">
        <f t="shared" ref="E6:L6" si="1">SUM(E4:E5)</f>
        <v>13608561</v>
      </c>
      <c r="F6" s="511">
        <f t="shared" si="1"/>
        <v>0</v>
      </c>
      <c r="G6" s="511">
        <f t="shared" si="1"/>
        <v>0</v>
      </c>
      <c r="H6" s="511">
        <f t="shared" si="1"/>
        <v>1000006</v>
      </c>
      <c r="I6" s="511">
        <f t="shared" si="1"/>
        <v>0</v>
      </c>
      <c r="J6" s="511">
        <f t="shared" si="1"/>
        <v>0</v>
      </c>
      <c r="K6" s="511">
        <f t="shared" si="1"/>
        <v>134787</v>
      </c>
      <c r="L6" s="511">
        <f t="shared" si="1"/>
        <v>0</v>
      </c>
      <c r="M6" s="511">
        <f>SUM(D6:L6)</f>
        <v>14743354</v>
      </c>
    </row>
    <row r="7" spans="1:13" ht="47.25" customHeight="1" x14ac:dyDescent="0.3">
      <c r="A7" s="502" t="s">
        <v>19</v>
      </c>
      <c r="B7" s="503" t="s">
        <v>759</v>
      </c>
      <c r="C7" s="504" t="s">
        <v>758</v>
      </c>
      <c r="D7" s="505"/>
      <c r="E7" s="505"/>
      <c r="F7" s="506"/>
      <c r="G7" s="506"/>
      <c r="H7" s="506">
        <v>58383215</v>
      </c>
      <c r="I7" s="507">
        <f>'9.sz.mell.'!D63</f>
        <v>2160072</v>
      </c>
      <c r="J7" s="507"/>
      <c r="K7" s="506"/>
      <c r="L7" s="505">
        <v>62320000</v>
      </c>
      <c r="M7" s="508">
        <f t="shared" si="0"/>
        <v>122863287</v>
      </c>
    </row>
    <row r="8" spans="1:13" ht="47.25" customHeight="1" x14ac:dyDescent="0.3">
      <c r="A8" s="502" t="s">
        <v>22</v>
      </c>
      <c r="B8" s="503" t="s">
        <v>860</v>
      </c>
      <c r="C8" s="504"/>
      <c r="D8" s="505">
        <f>D9-D7</f>
        <v>0</v>
      </c>
      <c r="E8" s="505">
        <f t="shared" ref="E8:L8" si="2">E9-E7</f>
        <v>0</v>
      </c>
      <c r="F8" s="505">
        <f t="shared" si="2"/>
        <v>0</v>
      </c>
      <c r="G8" s="505">
        <f t="shared" si="2"/>
        <v>0</v>
      </c>
      <c r="H8" s="505">
        <f t="shared" si="2"/>
        <v>1488469</v>
      </c>
      <c r="I8" s="505">
        <f t="shared" si="2"/>
        <v>4063139</v>
      </c>
      <c r="J8" s="505">
        <f t="shared" si="2"/>
        <v>0</v>
      </c>
      <c r="K8" s="505">
        <f t="shared" si="2"/>
        <v>0</v>
      </c>
      <c r="L8" s="505">
        <f t="shared" si="2"/>
        <v>-62320000</v>
      </c>
      <c r="M8" s="508">
        <f>SUM(D8:L8)</f>
        <v>-56768392</v>
      </c>
    </row>
    <row r="9" spans="1:13" s="84" customFormat="1" ht="47.25" customHeight="1" x14ac:dyDescent="0.35">
      <c r="A9" s="502" t="s">
        <v>25</v>
      </c>
      <c r="B9" s="509" t="s">
        <v>859</v>
      </c>
      <c r="C9" s="510"/>
      <c r="D9" s="511">
        <f>-D7</f>
        <v>0</v>
      </c>
      <c r="E9" s="511"/>
      <c r="F9" s="512"/>
      <c r="G9" s="512"/>
      <c r="H9" s="512">
        <v>59871684</v>
      </c>
      <c r="I9" s="513">
        <v>6223211</v>
      </c>
      <c r="J9" s="513"/>
      <c r="K9" s="512"/>
      <c r="L9" s="511">
        <v>0</v>
      </c>
      <c r="M9" s="514">
        <f>SUM(D9:L9)</f>
        <v>66094895</v>
      </c>
    </row>
    <row r="10" spans="1:13" ht="47.25" customHeight="1" x14ac:dyDescent="0.3">
      <c r="A10" s="502" t="s">
        <v>28</v>
      </c>
      <c r="B10" s="503" t="s">
        <v>761</v>
      </c>
      <c r="C10" s="504" t="s">
        <v>760</v>
      </c>
      <c r="D10" s="505">
        <f>'9.sz.mell.'!D12</f>
        <v>847167451</v>
      </c>
      <c r="E10" s="505"/>
      <c r="F10" s="506"/>
      <c r="G10" s="506"/>
      <c r="H10" s="506"/>
      <c r="I10" s="507"/>
      <c r="J10" s="507"/>
      <c r="K10" s="506"/>
      <c r="L10" s="505">
        <v>30364900</v>
      </c>
      <c r="M10" s="508">
        <f t="shared" si="0"/>
        <v>877532351</v>
      </c>
    </row>
    <row r="11" spans="1:13" ht="47.25" customHeight="1" x14ac:dyDescent="0.3">
      <c r="A11" s="502" t="s">
        <v>31</v>
      </c>
      <c r="B11" s="503" t="s">
        <v>860</v>
      </c>
      <c r="C11" s="504"/>
      <c r="D11" s="505">
        <f>D12-D10</f>
        <v>31012643</v>
      </c>
      <c r="E11" s="505">
        <f t="shared" ref="E11:L11" si="3">E12-E10</f>
        <v>0</v>
      </c>
      <c r="F11" s="505">
        <f t="shared" si="3"/>
        <v>0</v>
      </c>
      <c r="G11" s="505">
        <f t="shared" si="3"/>
        <v>0</v>
      </c>
      <c r="H11" s="505">
        <f t="shared" si="3"/>
        <v>0</v>
      </c>
      <c r="I11" s="505">
        <f t="shared" si="3"/>
        <v>0</v>
      </c>
      <c r="J11" s="505">
        <f t="shared" si="3"/>
        <v>0</v>
      </c>
      <c r="K11" s="505">
        <f t="shared" si="3"/>
        <v>0</v>
      </c>
      <c r="L11" s="505">
        <f t="shared" si="3"/>
        <v>-30364900</v>
      </c>
      <c r="M11" s="508">
        <f t="shared" si="0"/>
        <v>647743</v>
      </c>
    </row>
    <row r="12" spans="1:13" s="84" customFormat="1" ht="47.25" customHeight="1" x14ac:dyDescent="0.35">
      <c r="A12" s="502" t="s">
        <v>34</v>
      </c>
      <c r="B12" s="509" t="s">
        <v>859</v>
      </c>
      <c r="C12" s="510"/>
      <c r="D12" s="511">
        <v>878180094</v>
      </c>
      <c r="E12" s="511"/>
      <c r="F12" s="512"/>
      <c r="G12" s="512"/>
      <c r="H12" s="512"/>
      <c r="I12" s="513"/>
      <c r="J12" s="513"/>
      <c r="K12" s="512"/>
      <c r="L12" s="511"/>
      <c r="M12" s="514">
        <f t="shared" si="0"/>
        <v>878180094</v>
      </c>
    </row>
    <row r="13" spans="1:13" ht="41.25" customHeight="1" x14ac:dyDescent="0.3">
      <c r="A13" s="502" t="s">
        <v>37</v>
      </c>
      <c r="B13" s="503" t="s">
        <v>866</v>
      </c>
      <c r="C13" s="504" t="s">
        <v>464</v>
      </c>
      <c r="D13" s="505"/>
      <c r="E13" s="505"/>
      <c r="F13" s="506"/>
      <c r="G13" s="506"/>
      <c r="H13" s="506"/>
      <c r="I13" s="507"/>
      <c r="J13" s="507"/>
      <c r="K13" s="506"/>
      <c r="L13" s="508"/>
      <c r="M13" s="508">
        <f>SUM(D13:L13)</f>
        <v>0</v>
      </c>
    </row>
    <row r="14" spans="1:13" ht="41.25" customHeight="1" x14ac:dyDescent="0.3">
      <c r="A14" s="502" t="s">
        <v>39</v>
      </c>
      <c r="B14" s="503" t="s">
        <v>860</v>
      </c>
      <c r="C14" s="504"/>
      <c r="D14" s="505">
        <f>D15-D13</f>
        <v>0</v>
      </c>
      <c r="E14" s="505">
        <f t="shared" ref="E14:K14" si="4">E15-E13</f>
        <v>0</v>
      </c>
      <c r="F14" s="505">
        <f t="shared" si="4"/>
        <v>0</v>
      </c>
      <c r="G14" s="505">
        <f t="shared" si="4"/>
        <v>0</v>
      </c>
      <c r="H14" s="505">
        <f t="shared" si="4"/>
        <v>0</v>
      </c>
      <c r="I14" s="505">
        <f t="shared" si="4"/>
        <v>0</v>
      </c>
      <c r="J14" s="505">
        <f t="shared" si="4"/>
        <v>0</v>
      </c>
      <c r="K14" s="505">
        <f t="shared" si="4"/>
        <v>0</v>
      </c>
      <c r="L14" s="505">
        <v>301770372</v>
      </c>
      <c r="M14" s="508">
        <f>SUM(D14:L14)</f>
        <v>301770372</v>
      </c>
    </row>
    <row r="15" spans="1:13" s="84" customFormat="1" ht="41.25" customHeight="1" x14ac:dyDescent="0.35">
      <c r="A15" s="502" t="s">
        <v>41</v>
      </c>
      <c r="B15" s="509" t="s">
        <v>859</v>
      </c>
      <c r="C15" s="510"/>
      <c r="D15" s="511"/>
      <c r="E15" s="511"/>
      <c r="F15" s="512"/>
      <c r="G15" s="512"/>
      <c r="H15" s="512"/>
      <c r="I15" s="513"/>
      <c r="J15" s="513"/>
      <c r="K15" s="512"/>
      <c r="L15" s="514">
        <v>301770372</v>
      </c>
      <c r="M15" s="514">
        <f>SUM(D15:L15)</f>
        <v>301770372</v>
      </c>
    </row>
    <row r="16" spans="1:13" ht="47.25" customHeight="1" x14ac:dyDescent="0.3">
      <c r="A16" s="502" t="s">
        <v>43</v>
      </c>
      <c r="B16" s="503" t="s">
        <v>747</v>
      </c>
      <c r="C16" s="504" t="s">
        <v>746</v>
      </c>
      <c r="D16" s="505"/>
      <c r="E16" s="505">
        <f>1236139+294032+2072404+511889+841236+904980+923748+904980+300001</f>
        <v>7989409</v>
      </c>
      <c r="F16" s="506"/>
      <c r="G16" s="506"/>
      <c r="H16" s="506"/>
      <c r="I16" s="507"/>
      <c r="J16" s="507"/>
      <c r="K16" s="506"/>
      <c r="L16" s="505">
        <f>3359195+6063376+2072404+2519582</f>
        <v>14014557</v>
      </c>
      <c r="M16" s="508">
        <f t="shared" si="0"/>
        <v>22003966</v>
      </c>
    </row>
    <row r="17" spans="1:13" ht="47.25" customHeight="1" x14ac:dyDescent="0.3">
      <c r="A17" s="502" t="s">
        <v>45</v>
      </c>
      <c r="B17" s="503" t="s">
        <v>860</v>
      </c>
      <c r="C17" s="504"/>
      <c r="D17" s="505">
        <f>D18-D16</f>
        <v>0</v>
      </c>
      <c r="E17" s="505">
        <f t="shared" ref="E17:L17" si="5">E18-E16</f>
        <v>13858589</v>
      </c>
      <c r="F17" s="505">
        <f t="shared" si="5"/>
        <v>0</v>
      </c>
      <c r="G17" s="505">
        <f t="shared" si="5"/>
        <v>0</v>
      </c>
      <c r="H17" s="505">
        <f t="shared" si="5"/>
        <v>300</v>
      </c>
      <c r="I17" s="505">
        <f t="shared" si="5"/>
        <v>0</v>
      </c>
      <c r="J17" s="505">
        <f t="shared" si="5"/>
        <v>0</v>
      </c>
      <c r="K17" s="505">
        <f t="shared" si="5"/>
        <v>0</v>
      </c>
      <c r="L17" s="505">
        <f t="shared" si="5"/>
        <v>0</v>
      </c>
      <c r="M17" s="508">
        <f t="shared" si="0"/>
        <v>13858889</v>
      </c>
    </row>
    <row r="18" spans="1:13" s="84" customFormat="1" ht="47.25" customHeight="1" x14ac:dyDescent="0.35">
      <c r="A18" s="502" t="s">
        <v>47</v>
      </c>
      <c r="B18" s="509" t="s">
        <v>859</v>
      </c>
      <c r="C18" s="510"/>
      <c r="D18" s="511"/>
      <c r="E18" s="511">
        <v>21847998</v>
      </c>
      <c r="F18" s="512"/>
      <c r="G18" s="512"/>
      <c r="H18" s="512">
        <v>300</v>
      </c>
      <c r="I18" s="513"/>
      <c r="J18" s="513"/>
      <c r="K18" s="512"/>
      <c r="L18" s="511">
        <v>14014557</v>
      </c>
      <c r="M18" s="514">
        <f t="shared" si="0"/>
        <v>35862855</v>
      </c>
    </row>
    <row r="19" spans="1:13" ht="47.25" customHeight="1" x14ac:dyDescent="0.3">
      <c r="A19" s="502" t="s">
        <v>49</v>
      </c>
      <c r="B19" s="503" t="s">
        <v>763</v>
      </c>
      <c r="C19" s="504" t="s">
        <v>762</v>
      </c>
      <c r="D19" s="505"/>
      <c r="E19" s="505">
        <f>2633941+2843729+2303232+3811902+3815301+911485+400609+404266+5746211</f>
        <v>22870676</v>
      </c>
      <c r="F19" s="506"/>
      <c r="G19" s="506"/>
      <c r="H19" s="506">
        <v>5000000</v>
      </c>
      <c r="I19" s="507"/>
      <c r="J19" s="507"/>
      <c r="K19" s="506"/>
      <c r="L19" s="505">
        <v>38844140</v>
      </c>
      <c r="M19" s="508">
        <f t="shared" si="0"/>
        <v>66714816</v>
      </c>
    </row>
    <row r="20" spans="1:13" ht="47.25" customHeight="1" x14ac:dyDescent="0.3">
      <c r="A20" s="502" t="s">
        <v>51</v>
      </c>
      <c r="B20" s="503" t="s">
        <v>860</v>
      </c>
      <c r="C20" s="504"/>
      <c r="D20" s="505">
        <f>D21-D19</f>
        <v>0</v>
      </c>
      <c r="E20" s="505">
        <f t="shared" ref="E20:L20" si="6">E21-E19</f>
        <v>244791888</v>
      </c>
      <c r="F20" s="505">
        <f t="shared" si="6"/>
        <v>0</v>
      </c>
      <c r="G20" s="505">
        <f t="shared" si="6"/>
        <v>0</v>
      </c>
      <c r="H20" s="505">
        <f t="shared" si="6"/>
        <v>0</v>
      </c>
      <c r="I20" s="505">
        <f t="shared" si="6"/>
        <v>0</v>
      </c>
      <c r="J20" s="505">
        <f t="shared" si="6"/>
        <v>0</v>
      </c>
      <c r="K20" s="505">
        <f t="shared" si="6"/>
        <v>0</v>
      </c>
      <c r="L20" s="505">
        <f t="shared" si="6"/>
        <v>0</v>
      </c>
      <c r="M20" s="508">
        <f t="shared" si="0"/>
        <v>244791888</v>
      </c>
    </row>
    <row r="21" spans="1:13" s="84" customFormat="1" ht="47.25" customHeight="1" x14ac:dyDescent="0.35">
      <c r="A21" s="502" t="s">
        <v>54</v>
      </c>
      <c r="B21" s="509" t="s">
        <v>859</v>
      </c>
      <c r="C21" s="510"/>
      <c r="D21" s="511"/>
      <c r="E21" s="511">
        <v>267662564</v>
      </c>
      <c r="F21" s="512"/>
      <c r="G21" s="512"/>
      <c r="H21" s="512">
        <v>5000000</v>
      </c>
      <c r="I21" s="513"/>
      <c r="J21" s="513"/>
      <c r="K21" s="512"/>
      <c r="L21" s="511">
        <v>38844140</v>
      </c>
      <c r="M21" s="514">
        <f t="shared" si="0"/>
        <v>311506704</v>
      </c>
    </row>
    <row r="22" spans="1:13" ht="47.25" customHeight="1" x14ac:dyDescent="0.3">
      <c r="A22" s="502" t="s">
        <v>57</v>
      </c>
      <c r="B22" s="503" t="s">
        <v>771</v>
      </c>
      <c r="C22" s="504" t="s">
        <v>770</v>
      </c>
      <c r="D22" s="505"/>
      <c r="E22" s="505"/>
      <c r="F22" s="506">
        <f>'9.sz.mell.'!D25</f>
        <v>50000000</v>
      </c>
      <c r="G22" s="506"/>
      <c r="H22" s="506"/>
      <c r="I22" s="507"/>
      <c r="J22" s="507"/>
      <c r="K22" s="506"/>
      <c r="L22" s="505"/>
      <c r="M22" s="508">
        <f t="shared" si="0"/>
        <v>50000000</v>
      </c>
    </row>
    <row r="23" spans="1:13" ht="47.25" customHeight="1" x14ac:dyDescent="0.3">
      <c r="A23" s="502" t="s">
        <v>60</v>
      </c>
      <c r="B23" s="503" t="s">
        <v>860</v>
      </c>
      <c r="C23" s="504"/>
      <c r="D23" s="505">
        <f>D22</f>
        <v>0</v>
      </c>
      <c r="E23" s="505">
        <f t="shared" ref="E23:L23" si="7">E22</f>
        <v>0</v>
      </c>
      <c r="F23" s="505">
        <f t="shared" si="7"/>
        <v>50000000</v>
      </c>
      <c r="G23" s="505">
        <f t="shared" si="7"/>
        <v>0</v>
      </c>
      <c r="H23" s="505">
        <f t="shared" si="7"/>
        <v>0</v>
      </c>
      <c r="I23" s="505">
        <f t="shared" si="7"/>
        <v>0</v>
      </c>
      <c r="J23" s="505">
        <f>J24-J22</f>
        <v>1313497</v>
      </c>
      <c r="K23" s="505">
        <f t="shared" si="7"/>
        <v>0</v>
      </c>
      <c r="L23" s="505">
        <f t="shared" si="7"/>
        <v>0</v>
      </c>
      <c r="M23" s="508">
        <f t="shared" si="0"/>
        <v>51313497</v>
      </c>
    </row>
    <row r="24" spans="1:13" s="84" customFormat="1" ht="47.25" customHeight="1" x14ac:dyDescent="0.35">
      <c r="A24" s="502" t="s">
        <v>62</v>
      </c>
      <c r="B24" s="509" t="s">
        <v>859</v>
      </c>
      <c r="C24" s="510"/>
      <c r="D24" s="511"/>
      <c r="E24" s="511"/>
      <c r="F24" s="512">
        <v>50000000</v>
      </c>
      <c r="G24" s="512"/>
      <c r="H24" s="512"/>
      <c r="I24" s="513"/>
      <c r="J24" s="513">
        <v>1313497</v>
      </c>
      <c r="K24" s="512"/>
      <c r="L24" s="511"/>
      <c r="M24" s="514">
        <f t="shared" si="0"/>
        <v>51313497</v>
      </c>
    </row>
    <row r="25" spans="1:13" ht="41.25" customHeight="1" x14ac:dyDescent="0.3">
      <c r="A25" s="502" t="s">
        <v>64</v>
      </c>
      <c r="B25" s="503" t="s">
        <v>872</v>
      </c>
      <c r="C25" s="504" t="s">
        <v>873</v>
      </c>
      <c r="D25" s="505"/>
      <c r="E25" s="505"/>
      <c r="F25" s="506"/>
      <c r="G25" s="506"/>
      <c r="H25" s="506"/>
      <c r="I25" s="507"/>
      <c r="J25" s="507"/>
      <c r="K25" s="506"/>
      <c r="L25" s="508"/>
      <c r="M25" s="508"/>
    </row>
    <row r="26" spans="1:13" ht="41.25" customHeight="1" x14ac:dyDescent="0.3">
      <c r="A26" s="502" t="s">
        <v>66</v>
      </c>
      <c r="B26" s="503" t="s">
        <v>860</v>
      </c>
      <c r="C26" s="504"/>
      <c r="D26" s="505"/>
      <c r="E26" s="505"/>
      <c r="F26" s="506">
        <f>F27-F25</f>
        <v>448010250</v>
      </c>
      <c r="G26" s="506"/>
      <c r="H26" s="506"/>
      <c r="I26" s="507"/>
      <c r="J26" s="507"/>
      <c r="K26" s="506"/>
      <c r="L26" s="508"/>
      <c r="M26" s="508">
        <f>SUM(D26:L26)</f>
        <v>448010250</v>
      </c>
    </row>
    <row r="27" spans="1:13" s="84" customFormat="1" ht="41.25" customHeight="1" x14ac:dyDescent="0.35">
      <c r="A27" s="502" t="s">
        <v>68</v>
      </c>
      <c r="B27" s="509" t="s">
        <v>874</v>
      </c>
      <c r="C27" s="510"/>
      <c r="D27" s="511"/>
      <c r="E27" s="511"/>
      <c r="F27" s="512">
        <v>448010250</v>
      </c>
      <c r="G27" s="512"/>
      <c r="H27" s="512"/>
      <c r="I27" s="513"/>
      <c r="J27" s="513"/>
      <c r="K27" s="512"/>
      <c r="L27" s="514"/>
      <c r="M27" s="508">
        <f>SUM(D27:L27)</f>
        <v>448010250</v>
      </c>
    </row>
    <row r="28" spans="1:13" ht="47.25" customHeight="1" x14ac:dyDescent="0.3">
      <c r="A28" s="502" t="s">
        <v>70</v>
      </c>
      <c r="B28" s="503" t="s">
        <v>817</v>
      </c>
      <c r="C28" s="504" t="s">
        <v>784</v>
      </c>
      <c r="D28" s="505"/>
      <c r="E28" s="505"/>
      <c r="F28" s="506"/>
      <c r="G28" s="506"/>
      <c r="H28" s="506"/>
      <c r="I28" s="507"/>
      <c r="J28" s="507"/>
      <c r="K28" s="506"/>
      <c r="L28" s="505">
        <v>16951029</v>
      </c>
      <c r="M28" s="508">
        <f t="shared" si="0"/>
        <v>16951029</v>
      </c>
    </row>
    <row r="29" spans="1:13" ht="47.25" customHeight="1" x14ac:dyDescent="0.3">
      <c r="A29" s="502" t="s">
        <v>72</v>
      </c>
      <c r="B29" s="503" t="s">
        <v>860</v>
      </c>
      <c r="C29" s="504"/>
      <c r="D29" s="505"/>
      <c r="E29" s="505"/>
      <c r="F29" s="506"/>
      <c r="G29" s="506"/>
      <c r="H29" s="506">
        <f>H30-H28</f>
        <v>427482</v>
      </c>
      <c r="I29" s="507"/>
      <c r="J29" s="507"/>
      <c r="K29" s="506"/>
      <c r="L29" s="505"/>
      <c r="M29" s="508">
        <f t="shared" si="0"/>
        <v>427482</v>
      </c>
    </row>
    <row r="30" spans="1:13" s="84" customFormat="1" ht="47.25" customHeight="1" x14ac:dyDescent="0.35">
      <c r="A30" s="502" t="s">
        <v>75</v>
      </c>
      <c r="B30" s="509" t="s">
        <v>859</v>
      </c>
      <c r="C30" s="510"/>
      <c r="D30" s="511"/>
      <c r="E30" s="511"/>
      <c r="F30" s="512"/>
      <c r="G30" s="512"/>
      <c r="H30" s="512">
        <v>427482</v>
      </c>
      <c r="I30" s="513"/>
      <c r="J30" s="513"/>
      <c r="K30" s="512"/>
      <c r="L30" s="511">
        <v>16951029</v>
      </c>
      <c r="M30" s="514">
        <f t="shared" si="0"/>
        <v>17378511</v>
      </c>
    </row>
    <row r="31" spans="1:13" ht="47.25" customHeight="1" x14ac:dyDescent="0.3">
      <c r="A31" s="502" t="s">
        <v>78</v>
      </c>
      <c r="B31" s="503" t="s">
        <v>876</v>
      </c>
      <c r="C31" s="504" t="s">
        <v>875</v>
      </c>
      <c r="D31" s="505"/>
      <c r="E31" s="505"/>
      <c r="F31" s="506"/>
      <c r="G31" s="506"/>
      <c r="H31" s="506"/>
      <c r="I31" s="507"/>
      <c r="J31" s="507"/>
      <c r="K31" s="506"/>
      <c r="L31" s="505"/>
      <c r="M31" s="508"/>
    </row>
    <row r="32" spans="1:13" ht="47.25" customHeight="1" x14ac:dyDescent="0.3">
      <c r="A32" s="502" t="s">
        <v>81</v>
      </c>
      <c r="B32" s="503" t="s">
        <v>860</v>
      </c>
      <c r="C32" s="504"/>
      <c r="D32" s="505"/>
      <c r="E32" s="505"/>
      <c r="F32" s="506">
        <v>60000000</v>
      </c>
      <c r="G32" s="506"/>
      <c r="H32" s="506"/>
      <c r="I32" s="507"/>
      <c r="J32" s="507"/>
      <c r="K32" s="506"/>
      <c r="L32" s="505"/>
      <c r="M32" s="508"/>
    </row>
    <row r="33" spans="1:13" s="84" customFormat="1" ht="47.25" customHeight="1" x14ac:dyDescent="0.35">
      <c r="A33" s="502" t="s">
        <v>83</v>
      </c>
      <c r="B33" s="509" t="s">
        <v>859</v>
      </c>
      <c r="C33" s="510"/>
      <c r="D33" s="511"/>
      <c r="E33" s="511"/>
      <c r="F33" s="512">
        <v>60000000</v>
      </c>
      <c r="G33" s="512"/>
      <c r="H33" s="512"/>
      <c r="I33" s="513"/>
      <c r="J33" s="513"/>
      <c r="K33" s="512"/>
      <c r="L33" s="511"/>
      <c r="M33" s="514">
        <v>60000000</v>
      </c>
    </row>
    <row r="34" spans="1:13" ht="47.25" customHeight="1" x14ac:dyDescent="0.3">
      <c r="A34" s="502" t="s">
        <v>85</v>
      </c>
      <c r="B34" s="515" t="s">
        <v>822</v>
      </c>
      <c r="C34" s="504" t="s">
        <v>787</v>
      </c>
      <c r="D34" s="505"/>
      <c r="E34" s="505"/>
      <c r="F34" s="506"/>
      <c r="G34" s="506"/>
      <c r="H34" s="506">
        <v>3306776</v>
      </c>
      <c r="I34" s="507"/>
      <c r="J34" s="507"/>
      <c r="K34" s="506"/>
      <c r="L34" s="505"/>
      <c r="M34" s="508">
        <f t="shared" si="0"/>
        <v>3306776</v>
      </c>
    </row>
    <row r="35" spans="1:13" ht="47.25" customHeight="1" x14ac:dyDescent="0.3">
      <c r="A35" s="502" t="s">
        <v>87</v>
      </c>
      <c r="B35" s="503" t="s">
        <v>860</v>
      </c>
      <c r="C35" s="504"/>
      <c r="D35" s="505"/>
      <c r="E35" s="505"/>
      <c r="F35" s="506"/>
      <c r="G35" s="506"/>
      <c r="H35" s="506"/>
      <c r="I35" s="507"/>
      <c r="J35" s="507"/>
      <c r="K35" s="506"/>
      <c r="L35" s="505"/>
      <c r="M35" s="508">
        <f t="shared" si="0"/>
        <v>0</v>
      </c>
    </row>
    <row r="36" spans="1:13" s="84" customFormat="1" ht="47.25" customHeight="1" x14ac:dyDescent="0.35">
      <c r="A36" s="502" t="s">
        <v>90</v>
      </c>
      <c r="B36" s="509" t="s">
        <v>859</v>
      </c>
      <c r="C36" s="510"/>
      <c r="D36" s="511"/>
      <c r="E36" s="511"/>
      <c r="F36" s="512"/>
      <c r="G36" s="512"/>
      <c r="H36" s="512">
        <v>3306776</v>
      </c>
      <c r="I36" s="513"/>
      <c r="J36" s="513"/>
      <c r="K36" s="512"/>
      <c r="L36" s="511"/>
      <c r="M36" s="514">
        <f t="shared" si="0"/>
        <v>3306776</v>
      </c>
    </row>
    <row r="37" spans="1:13" ht="47.25" customHeight="1" x14ac:dyDescent="0.3">
      <c r="A37" s="502" t="s">
        <v>92</v>
      </c>
      <c r="B37" s="515" t="s">
        <v>823</v>
      </c>
      <c r="C37" s="504" t="s">
        <v>788</v>
      </c>
      <c r="D37" s="505"/>
      <c r="E37" s="505"/>
      <c r="F37" s="506"/>
      <c r="G37" s="506"/>
      <c r="H37" s="506">
        <v>21021256</v>
      </c>
      <c r="I37" s="507"/>
      <c r="J37" s="507"/>
      <c r="K37" s="506"/>
      <c r="L37" s="505"/>
      <c r="M37" s="508">
        <f t="shared" si="0"/>
        <v>21021256</v>
      </c>
    </row>
    <row r="38" spans="1:13" ht="47.25" customHeight="1" x14ac:dyDescent="0.3">
      <c r="A38" s="502" t="s">
        <v>94</v>
      </c>
      <c r="B38" s="503" t="s">
        <v>860</v>
      </c>
      <c r="C38" s="504"/>
      <c r="D38" s="505"/>
      <c r="E38" s="505"/>
      <c r="F38" s="506"/>
      <c r="G38" s="506"/>
      <c r="H38" s="506"/>
      <c r="I38" s="507"/>
      <c r="J38" s="507"/>
      <c r="K38" s="506">
        <v>279307</v>
      </c>
      <c r="L38" s="505"/>
      <c r="M38" s="508">
        <f t="shared" si="0"/>
        <v>279307</v>
      </c>
    </row>
    <row r="39" spans="1:13" s="84" customFormat="1" ht="47.25" customHeight="1" x14ac:dyDescent="0.35">
      <c r="A39" s="502" t="s">
        <v>97</v>
      </c>
      <c r="B39" s="509" t="s">
        <v>859</v>
      </c>
      <c r="C39" s="510"/>
      <c r="D39" s="511"/>
      <c r="E39" s="511"/>
      <c r="F39" s="512"/>
      <c r="G39" s="512"/>
      <c r="H39" s="512">
        <v>21021256</v>
      </c>
      <c r="I39" s="513"/>
      <c r="J39" s="513"/>
      <c r="K39" s="512">
        <v>279307</v>
      </c>
      <c r="L39" s="511"/>
      <c r="M39" s="514">
        <f t="shared" si="0"/>
        <v>21300563</v>
      </c>
    </row>
    <row r="40" spans="1:13" ht="41.25" customHeight="1" x14ac:dyDescent="0.3">
      <c r="A40" s="502" t="s">
        <v>100</v>
      </c>
      <c r="B40" s="503" t="s">
        <v>867</v>
      </c>
      <c r="C40" s="504" t="s">
        <v>868</v>
      </c>
      <c r="D40" s="505"/>
      <c r="E40" s="505"/>
      <c r="F40" s="506"/>
      <c r="G40" s="506"/>
      <c r="H40" s="506"/>
      <c r="I40" s="507"/>
      <c r="J40" s="507"/>
      <c r="K40" s="506"/>
      <c r="L40" s="508"/>
      <c r="M40" s="508"/>
    </row>
    <row r="41" spans="1:13" ht="41.25" customHeight="1" x14ac:dyDescent="0.3">
      <c r="A41" s="502" t="s">
        <v>102</v>
      </c>
      <c r="B41" s="503" t="s">
        <v>860</v>
      </c>
      <c r="C41" s="504"/>
      <c r="D41" s="505"/>
      <c r="E41" s="505"/>
      <c r="F41" s="506"/>
      <c r="G41" s="506"/>
      <c r="H41" s="506"/>
      <c r="I41" s="507"/>
      <c r="J41" s="507"/>
      <c r="K41" s="506">
        <v>132144</v>
      </c>
      <c r="L41" s="508"/>
      <c r="M41" s="508"/>
    </row>
    <row r="42" spans="1:13" s="84" customFormat="1" ht="41.25" customHeight="1" x14ac:dyDescent="0.35">
      <c r="A42" s="502" t="s">
        <v>104</v>
      </c>
      <c r="B42" s="509" t="s">
        <v>859</v>
      </c>
      <c r="C42" s="510"/>
      <c r="D42" s="511"/>
      <c r="E42" s="511"/>
      <c r="F42" s="512"/>
      <c r="G42" s="512"/>
      <c r="H42" s="512"/>
      <c r="I42" s="513"/>
      <c r="J42" s="513"/>
      <c r="K42" s="512">
        <v>132144</v>
      </c>
      <c r="L42" s="514"/>
      <c r="M42" s="514">
        <f>SUM(D42:L42)</f>
        <v>132144</v>
      </c>
    </row>
    <row r="43" spans="1:13" ht="41.25" customHeight="1" x14ac:dyDescent="0.3">
      <c r="A43" s="502" t="s">
        <v>107</v>
      </c>
      <c r="B43" s="503" t="s">
        <v>877</v>
      </c>
      <c r="C43" s="504" t="s">
        <v>878</v>
      </c>
      <c r="D43" s="505"/>
      <c r="E43" s="505"/>
      <c r="F43" s="506"/>
      <c r="G43" s="506"/>
      <c r="H43" s="506"/>
      <c r="I43" s="507"/>
      <c r="J43" s="507"/>
      <c r="K43" s="506"/>
      <c r="L43" s="508"/>
      <c r="M43" s="508">
        <f>SUM(D43:L43)</f>
        <v>0</v>
      </c>
    </row>
    <row r="44" spans="1:13" ht="41.25" customHeight="1" x14ac:dyDescent="0.3">
      <c r="A44" s="502" t="s">
        <v>110</v>
      </c>
      <c r="B44" s="503" t="s">
        <v>860</v>
      </c>
      <c r="C44" s="504"/>
      <c r="D44" s="505"/>
      <c r="E44" s="505"/>
      <c r="F44" s="506">
        <f>F45-F43</f>
        <v>499444098</v>
      </c>
      <c r="G44" s="506"/>
      <c r="H44" s="506"/>
      <c r="I44" s="507"/>
      <c r="J44" s="507"/>
      <c r="K44" s="506"/>
      <c r="L44" s="508"/>
      <c r="M44" s="508">
        <f>SUM(D44:L44)</f>
        <v>499444098</v>
      </c>
    </row>
    <row r="45" spans="1:13" s="84" customFormat="1" ht="41.25" customHeight="1" x14ac:dyDescent="0.35">
      <c r="A45" s="502" t="s">
        <v>113</v>
      </c>
      <c r="B45" s="509" t="s">
        <v>859</v>
      </c>
      <c r="C45" s="510"/>
      <c r="D45" s="511"/>
      <c r="E45" s="511"/>
      <c r="F45" s="512">
        <v>499444098</v>
      </c>
      <c r="G45" s="512"/>
      <c r="H45" s="512"/>
      <c r="I45" s="513"/>
      <c r="J45" s="513"/>
      <c r="K45" s="512"/>
      <c r="L45" s="514"/>
      <c r="M45" s="508">
        <f>SUM(D45:L45)</f>
        <v>499444098</v>
      </c>
    </row>
    <row r="46" spans="1:13" ht="47.25" customHeight="1" x14ac:dyDescent="0.3">
      <c r="A46" s="502" t="s">
        <v>116</v>
      </c>
      <c r="B46" s="515" t="s">
        <v>824</v>
      </c>
      <c r="C46" s="504" t="s">
        <v>789</v>
      </c>
      <c r="D46" s="505"/>
      <c r="E46" s="505"/>
      <c r="F46" s="506"/>
      <c r="G46" s="506"/>
      <c r="H46" s="506">
        <v>8538286</v>
      </c>
      <c r="I46" s="507"/>
      <c r="J46" s="507"/>
      <c r="K46" s="506"/>
      <c r="L46" s="505"/>
      <c r="M46" s="508">
        <f t="shared" si="0"/>
        <v>8538286</v>
      </c>
    </row>
    <row r="47" spans="1:13" ht="47.25" customHeight="1" x14ac:dyDescent="0.3">
      <c r="A47" s="502" t="s">
        <v>119</v>
      </c>
      <c r="B47" s="503" t="s">
        <v>860</v>
      </c>
      <c r="C47" s="504"/>
      <c r="D47" s="505"/>
      <c r="E47" s="505"/>
      <c r="F47" s="506"/>
      <c r="G47" s="506"/>
      <c r="H47" s="506"/>
      <c r="I47" s="507"/>
      <c r="J47" s="507"/>
      <c r="K47" s="506"/>
      <c r="L47" s="505"/>
      <c r="M47" s="508">
        <f t="shared" si="0"/>
        <v>0</v>
      </c>
    </row>
    <row r="48" spans="1:13" s="84" customFormat="1" ht="47.25" customHeight="1" x14ac:dyDescent="0.35">
      <c r="A48" s="502" t="s">
        <v>122</v>
      </c>
      <c r="B48" s="509" t="s">
        <v>859</v>
      </c>
      <c r="C48" s="510"/>
      <c r="D48" s="511"/>
      <c r="E48" s="511"/>
      <c r="F48" s="512"/>
      <c r="G48" s="512"/>
      <c r="H48" s="512">
        <v>8538286</v>
      </c>
      <c r="I48" s="513"/>
      <c r="J48" s="513"/>
      <c r="K48" s="512"/>
      <c r="L48" s="511"/>
      <c r="M48" s="514">
        <f t="shared" si="0"/>
        <v>8538286</v>
      </c>
    </row>
    <row r="49" spans="1:13" ht="47.25" customHeight="1" x14ac:dyDescent="0.3">
      <c r="A49" s="502" t="s">
        <v>125</v>
      </c>
      <c r="B49" s="515" t="s">
        <v>826</v>
      </c>
      <c r="C49" s="504" t="s">
        <v>791</v>
      </c>
      <c r="D49" s="505"/>
      <c r="E49" s="505"/>
      <c r="F49" s="506"/>
      <c r="G49" s="506"/>
      <c r="H49" s="506"/>
      <c r="I49" s="507"/>
      <c r="J49" s="507"/>
      <c r="K49" s="506"/>
      <c r="L49" s="505">
        <v>90000000</v>
      </c>
      <c r="M49" s="508">
        <f t="shared" si="0"/>
        <v>90000000</v>
      </c>
    </row>
    <row r="50" spans="1:13" ht="47.25" customHeight="1" x14ac:dyDescent="0.3">
      <c r="A50" s="502" t="s">
        <v>128</v>
      </c>
      <c r="B50" s="503" t="s">
        <v>860</v>
      </c>
      <c r="C50" s="504"/>
      <c r="D50" s="505"/>
      <c r="E50" s="505"/>
      <c r="F50" s="506"/>
      <c r="G50" s="506"/>
      <c r="H50" s="506">
        <f>H51-H49</f>
        <v>674917</v>
      </c>
      <c r="I50" s="507"/>
      <c r="J50" s="507"/>
      <c r="K50" s="506"/>
      <c r="L50" s="505">
        <f>L51-L49</f>
        <v>-90000000</v>
      </c>
      <c r="M50" s="508">
        <f t="shared" si="0"/>
        <v>-89325083</v>
      </c>
    </row>
    <row r="51" spans="1:13" s="84" customFormat="1" ht="47.25" customHeight="1" x14ac:dyDescent="0.35">
      <c r="A51" s="502" t="s">
        <v>131</v>
      </c>
      <c r="B51" s="516" t="s">
        <v>859</v>
      </c>
      <c r="C51" s="510"/>
      <c r="D51" s="511"/>
      <c r="E51" s="511"/>
      <c r="F51" s="512"/>
      <c r="G51" s="512"/>
      <c r="H51" s="512">
        <v>674917</v>
      </c>
      <c r="I51" s="513"/>
      <c r="J51" s="513"/>
      <c r="K51" s="512"/>
      <c r="L51" s="511">
        <v>0</v>
      </c>
      <c r="M51" s="514">
        <f t="shared" si="0"/>
        <v>674917</v>
      </c>
    </row>
    <row r="52" spans="1:13" ht="47.25" customHeight="1" x14ac:dyDescent="0.3">
      <c r="A52" s="502" t="s">
        <v>134</v>
      </c>
      <c r="B52" s="515" t="s">
        <v>769</v>
      </c>
      <c r="C52" s="504" t="s">
        <v>768</v>
      </c>
      <c r="D52" s="505"/>
      <c r="E52" s="505">
        <f>'9.sz.mell.'!D19</f>
        <v>8348400</v>
      </c>
      <c r="F52" s="506"/>
      <c r="G52" s="506"/>
      <c r="H52" s="506"/>
      <c r="I52" s="507"/>
      <c r="J52" s="507"/>
      <c r="K52" s="506"/>
      <c r="L52" s="505"/>
      <c r="M52" s="508">
        <f t="shared" si="0"/>
        <v>8348400</v>
      </c>
    </row>
    <row r="53" spans="1:13" ht="47.25" customHeight="1" x14ac:dyDescent="0.3">
      <c r="A53" s="502" t="s">
        <v>137</v>
      </c>
      <c r="B53" s="503" t="s">
        <v>860</v>
      </c>
      <c r="C53" s="504"/>
      <c r="D53" s="505"/>
      <c r="E53" s="505"/>
      <c r="F53" s="506"/>
      <c r="G53" s="506"/>
      <c r="H53" s="506"/>
      <c r="I53" s="507"/>
      <c r="J53" s="507"/>
      <c r="K53" s="506"/>
      <c r="L53" s="505"/>
      <c r="M53" s="508">
        <f t="shared" si="0"/>
        <v>0</v>
      </c>
    </row>
    <row r="54" spans="1:13" s="84" customFormat="1" ht="47.25" customHeight="1" x14ac:dyDescent="0.35">
      <c r="A54" s="502" t="s">
        <v>140</v>
      </c>
      <c r="B54" s="509" t="s">
        <v>859</v>
      </c>
      <c r="C54" s="510"/>
      <c r="D54" s="511"/>
      <c r="E54" s="511">
        <v>8348400</v>
      </c>
      <c r="F54" s="512"/>
      <c r="G54" s="512"/>
      <c r="H54" s="512"/>
      <c r="I54" s="513"/>
      <c r="J54" s="513"/>
      <c r="K54" s="512"/>
      <c r="L54" s="511"/>
      <c r="M54" s="514">
        <f t="shared" si="0"/>
        <v>8348400</v>
      </c>
    </row>
    <row r="55" spans="1:13" ht="47.25" customHeight="1" x14ac:dyDescent="0.3">
      <c r="A55" s="502" t="s">
        <v>143</v>
      </c>
      <c r="B55" s="515" t="s">
        <v>834</v>
      </c>
      <c r="C55" s="504" t="s">
        <v>835</v>
      </c>
      <c r="D55" s="505"/>
      <c r="E55" s="505"/>
      <c r="F55" s="506"/>
      <c r="G55" s="506"/>
      <c r="H55" s="506"/>
      <c r="I55" s="507"/>
      <c r="J55" s="507"/>
      <c r="K55" s="506"/>
      <c r="L55" s="505">
        <v>2000000</v>
      </c>
      <c r="M55" s="508">
        <f t="shared" si="0"/>
        <v>2000000</v>
      </c>
    </row>
    <row r="56" spans="1:13" ht="47.25" customHeight="1" x14ac:dyDescent="0.3">
      <c r="A56" s="502" t="s">
        <v>146</v>
      </c>
      <c r="B56" s="503" t="s">
        <v>860</v>
      </c>
      <c r="C56" s="504"/>
      <c r="D56" s="505"/>
      <c r="E56" s="505"/>
      <c r="F56" s="506"/>
      <c r="G56" s="506"/>
      <c r="H56" s="506"/>
      <c r="I56" s="507"/>
      <c r="J56" s="507"/>
      <c r="K56" s="506"/>
      <c r="L56" s="505"/>
      <c r="M56" s="508">
        <f t="shared" si="0"/>
        <v>0</v>
      </c>
    </row>
    <row r="57" spans="1:13" s="84" customFormat="1" ht="47.25" customHeight="1" x14ac:dyDescent="0.35">
      <c r="A57" s="502" t="s">
        <v>149</v>
      </c>
      <c r="B57" s="509" t="s">
        <v>859</v>
      </c>
      <c r="C57" s="510"/>
      <c r="D57" s="511"/>
      <c r="E57" s="511"/>
      <c r="F57" s="512"/>
      <c r="G57" s="512"/>
      <c r="H57" s="512"/>
      <c r="I57" s="513"/>
      <c r="J57" s="513"/>
      <c r="K57" s="512"/>
      <c r="L57" s="511">
        <v>2000000</v>
      </c>
      <c r="M57" s="514">
        <f t="shared" si="0"/>
        <v>2000000</v>
      </c>
    </row>
    <row r="58" spans="1:13" ht="41.25" customHeight="1" x14ac:dyDescent="0.3">
      <c r="A58" s="502" t="s">
        <v>152</v>
      </c>
      <c r="B58" s="503" t="s">
        <v>869</v>
      </c>
      <c r="C58" s="504" t="s">
        <v>797</v>
      </c>
      <c r="D58" s="505"/>
      <c r="E58" s="505"/>
      <c r="F58" s="506"/>
      <c r="G58" s="506"/>
      <c r="H58" s="506"/>
      <c r="I58" s="507"/>
      <c r="J58" s="507"/>
      <c r="K58" s="506"/>
      <c r="L58" s="508"/>
      <c r="M58" s="508"/>
    </row>
    <row r="59" spans="1:13" ht="41.25" customHeight="1" x14ac:dyDescent="0.3">
      <c r="A59" s="502" t="s">
        <v>155</v>
      </c>
      <c r="B59" s="503" t="s">
        <v>860</v>
      </c>
      <c r="C59" s="504"/>
      <c r="D59" s="505"/>
      <c r="E59" s="505"/>
      <c r="F59" s="506"/>
      <c r="G59" s="506"/>
      <c r="H59" s="506"/>
      <c r="I59" s="507"/>
      <c r="J59" s="507">
        <v>1000000</v>
      </c>
      <c r="K59" s="506"/>
      <c r="L59" s="508"/>
      <c r="M59" s="514">
        <f t="shared" ref="M59" si="8">SUM(D59:L59)</f>
        <v>1000000</v>
      </c>
    </row>
    <row r="60" spans="1:13" s="84" customFormat="1" ht="41.25" customHeight="1" x14ac:dyDescent="0.35">
      <c r="A60" s="502" t="s">
        <v>158</v>
      </c>
      <c r="B60" s="509" t="s">
        <v>859</v>
      </c>
      <c r="C60" s="510"/>
      <c r="D60" s="511"/>
      <c r="E60" s="511"/>
      <c r="F60" s="512"/>
      <c r="G60" s="512"/>
      <c r="H60" s="512"/>
      <c r="I60" s="513"/>
      <c r="J60" s="513">
        <v>1000000</v>
      </c>
      <c r="K60" s="512"/>
      <c r="L60" s="514"/>
      <c r="M60" s="508">
        <f t="shared" ref="M60:M75" si="9">SUM(D60:L60)</f>
        <v>1000000</v>
      </c>
    </row>
    <row r="61" spans="1:13" ht="41.25" customHeight="1" x14ac:dyDescent="0.3">
      <c r="A61" s="502" t="s">
        <v>161</v>
      </c>
      <c r="B61" s="503" t="s">
        <v>879</v>
      </c>
      <c r="C61" s="504" t="s">
        <v>801</v>
      </c>
      <c r="D61" s="505"/>
      <c r="E61" s="505"/>
      <c r="F61" s="506"/>
      <c r="G61" s="506"/>
      <c r="H61" s="506"/>
      <c r="I61" s="507"/>
      <c r="J61" s="507"/>
      <c r="K61" s="506"/>
      <c r="L61" s="508"/>
      <c r="M61" s="508">
        <f t="shared" si="9"/>
        <v>0</v>
      </c>
    </row>
    <row r="62" spans="1:13" ht="41.25" customHeight="1" x14ac:dyDescent="0.3">
      <c r="A62" s="502" t="s">
        <v>164</v>
      </c>
      <c r="B62" s="503" t="s">
        <v>860</v>
      </c>
      <c r="C62" s="504"/>
      <c r="D62" s="505"/>
      <c r="E62" s="505"/>
      <c r="F62" s="506"/>
      <c r="G62" s="506"/>
      <c r="H62" s="506">
        <f>H63-H61</f>
        <v>233679</v>
      </c>
      <c r="I62" s="507"/>
      <c r="J62" s="507"/>
      <c r="K62" s="506"/>
      <c r="L62" s="508"/>
      <c r="M62" s="508">
        <f t="shared" si="9"/>
        <v>233679</v>
      </c>
    </row>
    <row r="63" spans="1:13" s="84" customFormat="1" ht="41.25" customHeight="1" x14ac:dyDescent="0.35">
      <c r="A63" s="502" t="s">
        <v>167</v>
      </c>
      <c r="B63" s="509" t="s">
        <v>859</v>
      </c>
      <c r="C63" s="510"/>
      <c r="D63" s="511"/>
      <c r="E63" s="511"/>
      <c r="F63" s="512"/>
      <c r="G63" s="512"/>
      <c r="H63" s="512">
        <v>233679</v>
      </c>
      <c r="I63" s="513"/>
      <c r="J63" s="513"/>
      <c r="K63" s="512"/>
      <c r="L63" s="514"/>
      <c r="M63" s="508">
        <f t="shared" si="9"/>
        <v>233679</v>
      </c>
    </row>
    <row r="64" spans="1:13" ht="41.25" customHeight="1" x14ac:dyDescent="0.3">
      <c r="A64" s="502" t="s">
        <v>170</v>
      </c>
      <c r="B64" s="503" t="s">
        <v>880</v>
      </c>
      <c r="C64" s="504" t="s">
        <v>802</v>
      </c>
      <c r="D64" s="505"/>
      <c r="E64" s="505"/>
      <c r="F64" s="506"/>
      <c r="G64" s="506"/>
      <c r="H64" s="506"/>
      <c r="I64" s="507"/>
      <c r="J64" s="507"/>
      <c r="K64" s="506"/>
      <c r="L64" s="508"/>
      <c r="M64" s="508">
        <f t="shared" si="9"/>
        <v>0</v>
      </c>
    </row>
    <row r="65" spans="1:13" ht="41.25" customHeight="1" x14ac:dyDescent="0.3">
      <c r="A65" s="502" t="s">
        <v>173</v>
      </c>
      <c r="B65" s="503" t="s">
        <v>860</v>
      </c>
      <c r="C65" s="504"/>
      <c r="D65" s="505"/>
      <c r="E65" s="505"/>
      <c r="F65" s="506"/>
      <c r="G65" s="506"/>
      <c r="H65" s="506">
        <f>H66-H64</f>
        <v>23287</v>
      </c>
      <c r="I65" s="507"/>
      <c r="J65" s="507"/>
      <c r="K65" s="506"/>
      <c r="L65" s="508"/>
      <c r="M65" s="508">
        <f t="shared" si="9"/>
        <v>23287</v>
      </c>
    </row>
    <row r="66" spans="1:13" s="84" customFormat="1" ht="41.25" customHeight="1" x14ac:dyDescent="0.35">
      <c r="A66" s="502" t="s">
        <v>176</v>
      </c>
      <c r="B66" s="509" t="s">
        <v>859</v>
      </c>
      <c r="C66" s="510"/>
      <c r="D66" s="511"/>
      <c r="E66" s="511"/>
      <c r="F66" s="512"/>
      <c r="G66" s="512"/>
      <c r="H66" s="512">
        <v>23287</v>
      </c>
      <c r="I66" s="513"/>
      <c r="J66" s="513"/>
      <c r="K66" s="512"/>
      <c r="L66" s="514"/>
      <c r="M66" s="508">
        <f t="shared" si="9"/>
        <v>23287</v>
      </c>
    </row>
    <row r="67" spans="1:13" ht="41.25" customHeight="1" x14ac:dyDescent="0.3">
      <c r="A67" s="502" t="s">
        <v>179</v>
      </c>
      <c r="B67" s="503" t="s">
        <v>881</v>
      </c>
      <c r="C67" s="504" t="s">
        <v>803</v>
      </c>
      <c r="D67" s="505"/>
      <c r="E67" s="505"/>
      <c r="F67" s="506"/>
      <c r="G67" s="506"/>
      <c r="H67" s="506"/>
      <c r="I67" s="507"/>
      <c r="J67" s="507"/>
      <c r="K67" s="506"/>
      <c r="L67" s="508"/>
      <c r="M67" s="508">
        <f t="shared" si="9"/>
        <v>0</v>
      </c>
    </row>
    <row r="68" spans="1:13" ht="41.25" customHeight="1" x14ac:dyDescent="0.3">
      <c r="A68" s="502" t="s">
        <v>182</v>
      </c>
      <c r="B68" s="503" t="s">
        <v>860</v>
      </c>
      <c r="C68" s="504"/>
      <c r="D68" s="505"/>
      <c r="E68" s="505"/>
      <c r="F68" s="506"/>
      <c r="G68" s="506"/>
      <c r="H68" s="506">
        <f>H69-H67</f>
        <v>246515</v>
      </c>
      <c r="I68" s="507"/>
      <c r="J68" s="507"/>
      <c r="K68" s="506"/>
      <c r="L68" s="508"/>
      <c r="M68" s="508">
        <f t="shared" si="9"/>
        <v>246515</v>
      </c>
    </row>
    <row r="69" spans="1:13" s="84" customFormat="1" ht="41.25" customHeight="1" x14ac:dyDescent="0.35">
      <c r="A69" s="502" t="s">
        <v>185</v>
      </c>
      <c r="B69" s="509" t="s">
        <v>859</v>
      </c>
      <c r="C69" s="510"/>
      <c r="D69" s="511"/>
      <c r="E69" s="511"/>
      <c r="F69" s="512"/>
      <c r="G69" s="512"/>
      <c r="H69" s="512">
        <v>246515</v>
      </c>
      <c r="I69" s="513"/>
      <c r="J69" s="513"/>
      <c r="K69" s="512"/>
      <c r="L69" s="514"/>
      <c r="M69" s="508">
        <f t="shared" si="9"/>
        <v>246515</v>
      </c>
    </row>
    <row r="70" spans="1:13" ht="41.25" customHeight="1" x14ac:dyDescent="0.3">
      <c r="A70" s="502" t="s">
        <v>188</v>
      </c>
      <c r="B70" s="503" t="s">
        <v>882</v>
      </c>
      <c r="C70" s="504" t="s">
        <v>804</v>
      </c>
      <c r="D70" s="505"/>
      <c r="E70" s="505"/>
      <c r="F70" s="506"/>
      <c r="G70" s="506"/>
      <c r="H70" s="506"/>
      <c r="I70" s="507"/>
      <c r="J70" s="507"/>
      <c r="K70" s="506"/>
      <c r="L70" s="508"/>
      <c r="M70" s="508">
        <f t="shared" si="9"/>
        <v>0</v>
      </c>
    </row>
    <row r="71" spans="1:13" ht="41.25" customHeight="1" x14ac:dyDescent="0.3">
      <c r="A71" s="502" t="s">
        <v>191</v>
      </c>
      <c r="B71" s="503" t="s">
        <v>860</v>
      </c>
      <c r="C71" s="504"/>
      <c r="D71" s="505"/>
      <c r="E71" s="505"/>
      <c r="F71" s="506"/>
      <c r="G71" s="506"/>
      <c r="H71" s="506"/>
      <c r="I71" s="507"/>
      <c r="J71" s="507"/>
      <c r="K71" s="506"/>
      <c r="L71" s="508"/>
      <c r="M71" s="508">
        <f t="shared" si="9"/>
        <v>0</v>
      </c>
    </row>
    <row r="72" spans="1:13" s="84" customFormat="1" ht="41.25" customHeight="1" x14ac:dyDescent="0.35">
      <c r="A72" s="502" t="s">
        <v>194</v>
      </c>
      <c r="B72" s="509" t="s">
        <v>859</v>
      </c>
      <c r="C72" s="510"/>
      <c r="D72" s="511"/>
      <c r="E72" s="511"/>
      <c r="F72" s="512"/>
      <c r="G72" s="512"/>
      <c r="H72" s="512">
        <v>1122592</v>
      </c>
      <c r="I72" s="513"/>
      <c r="J72" s="513"/>
      <c r="K72" s="512"/>
      <c r="L72" s="514"/>
      <c r="M72" s="508">
        <f t="shared" si="9"/>
        <v>1122592</v>
      </c>
    </row>
    <row r="73" spans="1:13" ht="41.25" customHeight="1" x14ac:dyDescent="0.3">
      <c r="A73" s="502" t="s">
        <v>197</v>
      </c>
      <c r="B73" s="503" t="s">
        <v>883</v>
      </c>
      <c r="C73" s="504" t="s">
        <v>805</v>
      </c>
      <c r="D73" s="505"/>
      <c r="E73" s="505"/>
      <c r="F73" s="506"/>
      <c r="G73" s="506"/>
      <c r="H73" s="506"/>
      <c r="I73" s="507"/>
      <c r="J73" s="507"/>
      <c r="K73" s="506"/>
      <c r="L73" s="508"/>
      <c r="M73" s="508">
        <f t="shared" si="9"/>
        <v>0</v>
      </c>
    </row>
    <row r="74" spans="1:13" ht="41.25" customHeight="1" x14ac:dyDescent="0.3">
      <c r="A74" s="502" t="s">
        <v>200</v>
      </c>
      <c r="B74" s="503" t="s">
        <v>860</v>
      </c>
      <c r="C74" s="504"/>
      <c r="D74" s="505"/>
      <c r="E74" s="505"/>
      <c r="F74" s="506"/>
      <c r="G74" s="506"/>
      <c r="H74" s="506">
        <f>H75-H73</f>
        <v>261827</v>
      </c>
      <c r="I74" s="507"/>
      <c r="J74" s="507"/>
      <c r="K74" s="506"/>
      <c r="L74" s="508"/>
      <c r="M74" s="508">
        <f t="shared" si="9"/>
        <v>261827</v>
      </c>
    </row>
    <row r="75" spans="1:13" s="84" customFormat="1" ht="41.25" customHeight="1" x14ac:dyDescent="0.35">
      <c r="A75" s="502" t="s">
        <v>733</v>
      </c>
      <c r="B75" s="509" t="s">
        <v>859</v>
      </c>
      <c r="C75" s="510"/>
      <c r="D75" s="511"/>
      <c r="E75" s="511"/>
      <c r="F75" s="512"/>
      <c r="G75" s="512"/>
      <c r="H75" s="512">
        <v>261827</v>
      </c>
      <c r="I75" s="513"/>
      <c r="J75" s="513"/>
      <c r="K75" s="512"/>
      <c r="L75" s="514"/>
      <c r="M75" s="508">
        <f t="shared" si="9"/>
        <v>261827</v>
      </c>
    </row>
    <row r="76" spans="1:13" ht="47.25" customHeight="1" x14ac:dyDescent="0.3">
      <c r="A76" s="502" t="s">
        <v>925</v>
      </c>
      <c r="B76" s="515" t="s">
        <v>845</v>
      </c>
      <c r="C76" s="504" t="s">
        <v>806</v>
      </c>
      <c r="D76" s="505"/>
      <c r="E76" s="505"/>
      <c r="F76" s="506"/>
      <c r="G76" s="506"/>
      <c r="H76" s="506">
        <v>30480000</v>
      </c>
      <c r="I76" s="507"/>
      <c r="J76" s="507"/>
      <c r="K76" s="506"/>
      <c r="L76" s="505"/>
      <c r="M76" s="508">
        <f t="shared" si="0"/>
        <v>30480000</v>
      </c>
    </row>
    <row r="77" spans="1:13" ht="47.25" customHeight="1" x14ac:dyDescent="0.3">
      <c r="A77" s="502" t="s">
        <v>926</v>
      </c>
      <c r="B77" s="503" t="s">
        <v>860</v>
      </c>
      <c r="C77" s="504"/>
      <c r="D77" s="505"/>
      <c r="E77" s="505"/>
      <c r="F77" s="506"/>
      <c r="G77" s="506"/>
      <c r="H77" s="506"/>
      <c r="I77" s="507"/>
      <c r="J77" s="507"/>
      <c r="K77" s="506"/>
      <c r="L77" s="505"/>
      <c r="M77" s="508">
        <f t="shared" si="0"/>
        <v>0</v>
      </c>
    </row>
    <row r="78" spans="1:13" s="84" customFormat="1" ht="47.25" customHeight="1" x14ac:dyDescent="0.35">
      <c r="A78" s="502" t="s">
        <v>927</v>
      </c>
      <c r="B78" s="509" t="s">
        <v>859</v>
      </c>
      <c r="C78" s="510"/>
      <c r="D78" s="511"/>
      <c r="E78" s="511"/>
      <c r="F78" s="512"/>
      <c r="G78" s="512"/>
      <c r="H78" s="512">
        <v>30480000</v>
      </c>
      <c r="I78" s="513"/>
      <c r="J78" s="513"/>
      <c r="K78" s="512"/>
      <c r="L78" s="511"/>
      <c r="M78" s="514">
        <f t="shared" si="0"/>
        <v>30480000</v>
      </c>
    </row>
    <row r="79" spans="1:13" ht="41.25" customHeight="1" x14ac:dyDescent="0.3">
      <c r="A79" s="502" t="s">
        <v>928</v>
      </c>
      <c r="B79" s="503" t="s">
        <v>884</v>
      </c>
      <c r="C79" s="504" t="s">
        <v>885</v>
      </c>
      <c r="D79" s="505"/>
      <c r="E79" s="505"/>
      <c r="F79" s="506"/>
      <c r="G79" s="506"/>
      <c r="H79" s="506"/>
      <c r="I79" s="507"/>
      <c r="J79" s="507"/>
      <c r="K79" s="506"/>
      <c r="L79" s="508"/>
      <c r="M79" s="508">
        <f t="shared" ref="M79:M84" si="10">SUM(D79:L79)</f>
        <v>0</v>
      </c>
    </row>
    <row r="80" spans="1:13" ht="41.25" customHeight="1" x14ac:dyDescent="0.3">
      <c r="A80" s="502" t="s">
        <v>929</v>
      </c>
      <c r="B80" s="503" t="s">
        <v>860</v>
      </c>
      <c r="C80" s="504"/>
      <c r="D80" s="505"/>
      <c r="E80" s="505"/>
      <c r="F80" s="506">
        <f>F81-F79</f>
        <v>90000000</v>
      </c>
      <c r="G80" s="506"/>
      <c r="H80" s="506"/>
      <c r="I80" s="507"/>
      <c r="J80" s="507"/>
      <c r="K80" s="506"/>
      <c r="L80" s="508"/>
      <c r="M80" s="508">
        <f t="shared" si="10"/>
        <v>90000000</v>
      </c>
    </row>
    <row r="81" spans="1:13" s="84" customFormat="1" ht="41.25" customHeight="1" x14ac:dyDescent="0.35">
      <c r="A81" s="502" t="s">
        <v>930</v>
      </c>
      <c r="B81" s="509" t="s">
        <v>859</v>
      </c>
      <c r="C81" s="510"/>
      <c r="D81" s="511"/>
      <c r="E81" s="511"/>
      <c r="F81" s="512">
        <v>90000000</v>
      </c>
      <c r="G81" s="512"/>
      <c r="H81" s="512"/>
      <c r="I81" s="513"/>
      <c r="J81" s="513"/>
      <c r="K81" s="512"/>
      <c r="L81" s="514"/>
      <c r="M81" s="508">
        <f t="shared" si="10"/>
        <v>90000000</v>
      </c>
    </row>
    <row r="82" spans="1:13" ht="41.25" customHeight="1" x14ac:dyDescent="0.3">
      <c r="A82" s="502" t="s">
        <v>931</v>
      </c>
      <c r="B82" s="503" t="s">
        <v>886</v>
      </c>
      <c r="C82" s="504" t="s">
        <v>778</v>
      </c>
      <c r="D82" s="505"/>
      <c r="E82" s="505"/>
      <c r="F82" s="506"/>
      <c r="G82" s="506"/>
      <c r="H82" s="506"/>
      <c r="I82" s="507"/>
      <c r="J82" s="507"/>
      <c r="K82" s="506"/>
      <c r="L82" s="508"/>
      <c r="M82" s="508">
        <f t="shared" si="10"/>
        <v>0</v>
      </c>
    </row>
    <row r="83" spans="1:13" ht="41.25" customHeight="1" x14ac:dyDescent="0.3">
      <c r="A83" s="502" t="s">
        <v>932</v>
      </c>
      <c r="B83" s="503" t="s">
        <v>860</v>
      </c>
      <c r="C83" s="504"/>
      <c r="D83" s="505"/>
      <c r="E83" s="505">
        <v>338580</v>
      </c>
      <c r="F83" s="506"/>
      <c r="G83" s="506"/>
      <c r="H83" s="506" t="s">
        <v>865</v>
      </c>
      <c r="I83" s="507"/>
      <c r="J83" s="507"/>
      <c r="K83" s="506"/>
      <c r="L83" s="508"/>
      <c r="M83" s="508">
        <f t="shared" si="10"/>
        <v>338580</v>
      </c>
    </row>
    <row r="84" spans="1:13" s="84" customFormat="1" ht="41.25" customHeight="1" x14ac:dyDescent="0.35">
      <c r="A84" s="502" t="s">
        <v>933</v>
      </c>
      <c r="B84" s="509" t="s">
        <v>859</v>
      </c>
      <c r="C84" s="510"/>
      <c r="D84" s="511"/>
      <c r="E84" s="511">
        <v>338580</v>
      </c>
      <c r="F84" s="512"/>
      <c r="G84" s="512"/>
      <c r="H84" s="512" t="s">
        <v>865</v>
      </c>
      <c r="I84" s="513"/>
      <c r="J84" s="513"/>
      <c r="K84" s="512"/>
      <c r="L84" s="514"/>
      <c r="M84" s="508">
        <f t="shared" si="10"/>
        <v>338580</v>
      </c>
    </row>
    <row r="85" spans="1:13" ht="47.25" customHeight="1" x14ac:dyDescent="0.3">
      <c r="A85" s="502" t="s">
        <v>934</v>
      </c>
      <c r="B85" s="503" t="s">
        <v>764</v>
      </c>
      <c r="C85" s="504" t="s">
        <v>765</v>
      </c>
      <c r="D85" s="505"/>
      <c r="E85" s="505">
        <f>'9.sz.mell.'!D16</f>
        <v>0</v>
      </c>
      <c r="F85" s="506"/>
      <c r="G85" s="506"/>
      <c r="H85" s="506"/>
      <c r="I85" s="507"/>
      <c r="J85" s="507"/>
      <c r="K85" s="506"/>
      <c r="L85" s="508"/>
      <c r="M85" s="508">
        <f t="shared" si="0"/>
        <v>0</v>
      </c>
    </row>
    <row r="86" spans="1:13" ht="47.25" customHeight="1" x14ac:dyDescent="0.3">
      <c r="A86" s="502" t="s">
        <v>935</v>
      </c>
      <c r="B86" s="503" t="s">
        <v>860</v>
      </c>
      <c r="C86" s="504"/>
      <c r="D86" s="505"/>
      <c r="E86" s="505">
        <f>E87-E85</f>
        <v>55826180</v>
      </c>
      <c r="F86" s="506"/>
      <c r="G86" s="506"/>
      <c r="H86" s="506"/>
      <c r="I86" s="507"/>
      <c r="J86" s="507"/>
      <c r="K86" s="506"/>
      <c r="L86" s="508"/>
      <c r="M86" s="508">
        <f t="shared" si="0"/>
        <v>55826180</v>
      </c>
    </row>
    <row r="87" spans="1:13" s="84" customFormat="1" ht="47.25" customHeight="1" x14ac:dyDescent="0.35">
      <c r="A87" s="502" t="s">
        <v>936</v>
      </c>
      <c r="B87" s="509" t="s">
        <v>859</v>
      </c>
      <c r="C87" s="510"/>
      <c r="D87" s="511"/>
      <c r="E87" s="511">
        <v>55826180</v>
      </c>
      <c r="F87" s="512"/>
      <c r="G87" s="512"/>
      <c r="H87" s="512"/>
      <c r="I87" s="513"/>
      <c r="J87" s="513"/>
      <c r="K87" s="512"/>
      <c r="L87" s="514"/>
      <c r="M87" s="514">
        <f t="shared" si="0"/>
        <v>55826180</v>
      </c>
    </row>
    <row r="88" spans="1:13" ht="41.25" customHeight="1" x14ac:dyDescent="0.3">
      <c r="A88" s="502" t="s">
        <v>937</v>
      </c>
      <c r="B88" s="503" t="s">
        <v>887</v>
      </c>
      <c r="C88" s="504" t="s">
        <v>888</v>
      </c>
      <c r="D88" s="505"/>
      <c r="E88" s="505"/>
      <c r="F88" s="506"/>
      <c r="G88" s="506"/>
      <c r="H88" s="506"/>
      <c r="I88" s="507"/>
      <c r="J88" s="507"/>
      <c r="K88" s="506"/>
      <c r="L88" s="508"/>
      <c r="M88" s="508">
        <f>SUM(D88:L88)</f>
        <v>0</v>
      </c>
    </row>
    <row r="89" spans="1:13" ht="41.25" customHeight="1" x14ac:dyDescent="0.3">
      <c r="A89" s="502" t="s">
        <v>938</v>
      </c>
      <c r="B89" s="503" t="s">
        <v>860</v>
      </c>
      <c r="C89" s="504"/>
      <c r="D89" s="505"/>
      <c r="E89" s="505"/>
      <c r="F89" s="506">
        <f>F90-F88</f>
        <v>60348839</v>
      </c>
      <c r="G89" s="506"/>
      <c r="H89" s="506"/>
      <c r="I89" s="507"/>
      <c r="J89" s="507"/>
      <c r="K89" s="506"/>
      <c r="L89" s="508"/>
      <c r="M89" s="508">
        <f>SUM(D89:L89)</f>
        <v>60348839</v>
      </c>
    </row>
    <row r="90" spans="1:13" s="84" customFormat="1" ht="41.25" customHeight="1" x14ac:dyDescent="0.35">
      <c r="A90" s="502" t="s">
        <v>939</v>
      </c>
      <c r="B90" s="509" t="s">
        <v>859</v>
      </c>
      <c r="C90" s="510"/>
      <c r="D90" s="511"/>
      <c r="E90" s="511"/>
      <c r="F90" s="512">
        <v>60348839</v>
      </c>
      <c r="G90" s="512"/>
      <c r="H90" s="512"/>
      <c r="I90" s="513"/>
      <c r="J90" s="513"/>
      <c r="K90" s="512"/>
      <c r="L90" s="514"/>
      <c r="M90" s="508">
        <f>SUM(D90:L90)</f>
        <v>60348839</v>
      </c>
    </row>
    <row r="91" spans="1:13" ht="41.25" customHeight="1" x14ac:dyDescent="0.3">
      <c r="A91" s="502" t="s">
        <v>940</v>
      </c>
      <c r="B91" s="503" t="s">
        <v>889</v>
      </c>
      <c r="C91" s="504" t="s">
        <v>811</v>
      </c>
      <c r="D91" s="505"/>
      <c r="E91" s="505"/>
      <c r="F91" s="506"/>
      <c r="G91" s="506"/>
      <c r="H91" s="506"/>
      <c r="I91" s="507"/>
      <c r="J91" s="507"/>
      <c r="K91" s="506"/>
      <c r="L91" s="508"/>
      <c r="M91" s="508">
        <f t="shared" ref="M91:M93" si="11">SUM(D91:L91)</f>
        <v>0</v>
      </c>
    </row>
    <row r="92" spans="1:13" ht="41.25" customHeight="1" x14ac:dyDescent="0.3">
      <c r="A92" s="502" t="s">
        <v>941</v>
      </c>
      <c r="B92" s="503" t="s">
        <v>860</v>
      </c>
      <c r="C92" s="504"/>
      <c r="D92" s="505"/>
      <c r="E92" s="505"/>
      <c r="F92" s="506"/>
      <c r="G92" s="506"/>
      <c r="H92" s="506"/>
      <c r="I92" s="507"/>
      <c r="J92" s="507"/>
      <c r="K92" s="506">
        <f>K93-K91</f>
        <v>10000</v>
      </c>
      <c r="L92" s="508"/>
      <c r="M92" s="508">
        <f t="shared" si="11"/>
        <v>10000</v>
      </c>
    </row>
    <row r="93" spans="1:13" s="84" customFormat="1" ht="41.25" customHeight="1" x14ac:dyDescent="0.35">
      <c r="A93" s="502" t="s">
        <v>942</v>
      </c>
      <c r="B93" s="509" t="s">
        <v>859</v>
      </c>
      <c r="C93" s="510"/>
      <c r="D93" s="511"/>
      <c r="E93" s="511"/>
      <c r="F93" s="512"/>
      <c r="G93" s="512"/>
      <c r="H93" s="512"/>
      <c r="I93" s="513"/>
      <c r="J93" s="513"/>
      <c r="K93" s="512">
        <v>10000</v>
      </c>
      <c r="L93" s="514"/>
      <c r="M93" s="508">
        <f t="shared" si="11"/>
        <v>10000</v>
      </c>
    </row>
    <row r="94" spans="1:13" ht="41.25" customHeight="1" x14ac:dyDescent="0.3">
      <c r="A94" s="502" t="s">
        <v>943</v>
      </c>
      <c r="B94" s="503" t="s">
        <v>773</v>
      </c>
      <c r="C94" s="504" t="s">
        <v>772</v>
      </c>
      <c r="D94" s="505"/>
      <c r="E94" s="505"/>
      <c r="F94" s="506"/>
      <c r="G94" s="506">
        <f>'9.sz.mell.'!D45</f>
        <v>751000000</v>
      </c>
      <c r="H94" s="506"/>
      <c r="I94" s="507"/>
      <c r="J94" s="507"/>
      <c r="K94" s="506"/>
      <c r="L94" s="508"/>
      <c r="M94" s="508">
        <f t="shared" si="0"/>
        <v>751000000</v>
      </c>
    </row>
    <row r="95" spans="1:13" ht="41.25" customHeight="1" x14ac:dyDescent="0.3">
      <c r="A95" s="502" t="s">
        <v>944</v>
      </c>
      <c r="B95" s="503" t="s">
        <v>860</v>
      </c>
      <c r="C95" s="504"/>
      <c r="D95" s="505"/>
      <c r="E95" s="505"/>
      <c r="F95" s="506"/>
      <c r="G95" s="506">
        <f>G96-G94</f>
        <v>1263353</v>
      </c>
      <c r="H95" s="506" t="s">
        <v>865</v>
      </c>
      <c r="I95" s="506" t="s">
        <v>865</v>
      </c>
      <c r="J95" s="506" t="s">
        <v>865</v>
      </c>
      <c r="K95" s="506">
        <f t="shared" ref="K95" si="12">K96-K94</f>
        <v>370549</v>
      </c>
      <c r="L95" s="508"/>
      <c r="M95" s="508">
        <f t="shared" si="0"/>
        <v>1633902</v>
      </c>
    </row>
    <row r="96" spans="1:13" s="84" customFormat="1" ht="41.25" customHeight="1" x14ac:dyDescent="0.35">
      <c r="A96" s="502" t="s">
        <v>945</v>
      </c>
      <c r="B96" s="509" t="s">
        <v>859</v>
      </c>
      <c r="C96" s="510"/>
      <c r="D96" s="511"/>
      <c r="E96" s="511"/>
      <c r="F96" s="512"/>
      <c r="G96" s="512">
        <v>752263353</v>
      </c>
      <c r="H96" s="512"/>
      <c r="I96" s="513"/>
      <c r="J96" s="513"/>
      <c r="K96" s="512">
        <v>370549</v>
      </c>
      <c r="L96" s="514"/>
      <c r="M96" s="514">
        <f t="shared" si="0"/>
        <v>752633902</v>
      </c>
    </row>
    <row r="97" spans="1:13" ht="41.25" customHeight="1" x14ac:dyDescent="0.3">
      <c r="A97" s="502" t="s">
        <v>946</v>
      </c>
      <c r="B97" s="503" t="s">
        <v>767</v>
      </c>
      <c r="C97" s="504" t="s">
        <v>766</v>
      </c>
      <c r="D97" s="505"/>
      <c r="E97" s="505">
        <v>15049000</v>
      </c>
      <c r="F97" s="506"/>
      <c r="G97" s="506"/>
      <c r="H97" s="506">
        <v>49587039</v>
      </c>
      <c r="I97" s="507"/>
      <c r="J97" s="507"/>
      <c r="K97" s="506"/>
      <c r="L97" s="508">
        <v>30000000</v>
      </c>
      <c r="M97" s="508">
        <f t="shared" si="0"/>
        <v>94636039</v>
      </c>
    </row>
    <row r="98" spans="1:13" ht="41.25" customHeight="1" x14ac:dyDescent="0.3">
      <c r="A98" s="502" t="s">
        <v>947</v>
      </c>
      <c r="B98" s="503" t="s">
        <v>860</v>
      </c>
      <c r="C98" s="504"/>
      <c r="D98" s="505"/>
      <c r="E98" s="505"/>
      <c r="F98" s="506"/>
      <c r="G98" s="506"/>
      <c r="H98" s="506">
        <f>H99-H97</f>
        <v>236800</v>
      </c>
      <c r="I98" s="506" t="s">
        <v>865</v>
      </c>
      <c r="J98" s="506" t="s">
        <v>865</v>
      </c>
      <c r="K98" s="506" t="s">
        <v>865</v>
      </c>
      <c r="L98" s="506">
        <f t="shared" ref="L98" si="13">L99-L97</f>
        <v>6074310</v>
      </c>
      <c r="M98" s="508">
        <f t="shared" si="0"/>
        <v>6311110</v>
      </c>
    </row>
    <row r="99" spans="1:13" s="84" customFormat="1" ht="41.25" customHeight="1" x14ac:dyDescent="0.35">
      <c r="A99" s="502" t="s">
        <v>948</v>
      </c>
      <c r="B99" s="509" t="s">
        <v>859</v>
      </c>
      <c r="C99" s="510"/>
      <c r="D99" s="511"/>
      <c r="E99" s="511">
        <v>15049000</v>
      </c>
      <c r="F99" s="512"/>
      <c r="G99" s="512"/>
      <c r="H99" s="512">
        <v>49823839</v>
      </c>
      <c r="I99" s="513"/>
      <c r="J99" s="513"/>
      <c r="K99" s="512"/>
      <c r="L99" s="514">
        <v>36074310</v>
      </c>
      <c r="M99" s="508">
        <f t="shared" si="0"/>
        <v>100947149</v>
      </c>
    </row>
    <row r="100" spans="1:13" s="84" customFormat="1" ht="33" customHeight="1" x14ac:dyDescent="0.35">
      <c r="A100" s="502" t="s">
        <v>949</v>
      </c>
      <c r="B100" s="517" t="s">
        <v>408</v>
      </c>
      <c r="C100" s="518"/>
      <c r="D100" s="511">
        <f>D6+D9+D12+D15+D18+D21+D24+D27+D30+D36+D39+D42+D45+D48+D51+D54+D57+D60+D63+D66+D69+D72+D75+D78+D81+D84+D87+D90+D93+D96+D99+D33</f>
        <v>878180094</v>
      </c>
      <c r="E100" s="511">
        <f t="shared" ref="E100:M100" si="14">E6+E9+E12+E15+E18+E21+E24+E27+E30+E36+E39+E42+E45+E48+E51+E54+E57+E60+E63+E66+E69+E72+E75+E78+E81+E84+E87+E90+E93+E96+E99+E33</f>
        <v>382681283</v>
      </c>
      <c r="F100" s="511">
        <f t="shared" si="14"/>
        <v>1207803187</v>
      </c>
      <c r="G100" s="511">
        <f t="shared" si="14"/>
        <v>752263353</v>
      </c>
      <c r="H100" s="511">
        <v>182032446</v>
      </c>
      <c r="I100" s="511">
        <f t="shared" si="14"/>
        <v>6223211</v>
      </c>
      <c r="J100" s="511">
        <f t="shared" si="14"/>
        <v>2313497</v>
      </c>
      <c r="K100" s="511">
        <f t="shared" si="14"/>
        <v>926787</v>
      </c>
      <c r="L100" s="511">
        <f t="shared" si="14"/>
        <v>409654408</v>
      </c>
      <c r="M100" s="511">
        <f t="shared" si="14"/>
        <v>3822078266</v>
      </c>
    </row>
    <row r="101" spans="1:13" ht="21" customHeight="1" x14ac:dyDescent="0.3">
      <c r="A101" s="519" t="s">
        <v>865</v>
      </c>
      <c r="B101" s="86"/>
      <c r="C101" s="86"/>
      <c r="D101" s="87"/>
      <c r="E101" s="87" t="s">
        <v>865</v>
      </c>
      <c r="F101" s="88" t="s">
        <v>865</v>
      </c>
      <c r="G101" s="88"/>
      <c r="H101" s="87" t="s">
        <v>865</v>
      </c>
      <c r="I101" s="87"/>
      <c r="J101" s="87"/>
      <c r="K101" s="89"/>
    </row>
    <row r="102" spans="1:13" ht="42" customHeight="1" x14ac:dyDescent="0.3">
      <c r="A102" s="85"/>
      <c r="B102" s="90"/>
      <c r="C102" s="91"/>
      <c r="D102" s="92"/>
      <c r="E102" s="92"/>
      <c r="F102" s="88"/>
      <c r="G102" s="88"/>
      <c r="H102" s="88" t="s">
        <v>865</v>
      </c>
      <c r="I102" s="87"/>
      <c r="J102" s="87"/>
      <c r="K102" s="87"/>
    </row>
    <row r="103" spans="1:13" ht="42" customHeight="1" x14ac:dyDescent="0.3">
      <c r="A103" s="85"/>
      <c r="B103" s="94"/>
      <c r="C103" s="95"/>
      <c r="D103" s="96"/>
      <c r="E103" s="96"/>
      <c r="F103" s="78"/>
      <c r="G103" s="78"/>
      <c r="H103" s="78"/>
      <c r="I103" s="79"/>
      <c r="J103" s="79"/>
      <c r="K103" s="79"/>
    </row>
    <row r="104" spans="1:13" ht="14" x14ac:dyDescent="0.3">
      <c r="A104" s="93"/>
      <c r="B104" s="76"/>
      <c r="C104" s="76"/>
      <c r="D104" s="77"/>
      <c r="E104" s="77"/>
      <c r="F104" s="77"/>
      <c r="G104" s="77"/>
      <c r="H104" s="77"/>
      <c r="I104" s="77"/>
      <c r="J104" s="77"/>
      <c r="K104" s="77"/>
    </row>
    <row r="105" spans="1:13" s="98" customFormat="1" ht="14" x14ac:dyDescent="0.3">
      <c r="A105" s="75"/>
      <c r="B105" s="76"/>
      <c r="C105" s="76"/>
      <c r="D105" s="77"/>
      <c r="E105" s="77"/>
      <c r="F105" s="78"/>
      <c r="G105" s="78"/>
      <c r="H105" s="97"/>
      <c r="I105" s="97"/>
      <c r="J105" s="97"/>
      <c r="K105" s="97"/>
    </row>
    <row r="106" spans="1:13" ht="14" x14ac:dyDescent="0.3">
      <c r="A106" s="75"/>
    </row>
  </sheetData>
  <mergeCells count="1">
    <mergeCell ref="A1:M1"/>
  </mergeCells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16/2017. (IX.04.)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view="pageLayout" topLeftCell="C1" zoomScaleNormal="100" workbookViewId="0">
      <selection sqref="A1:M1"/>
    </sheetView>
  </sheetViews>
  <sheetFormatPr defaultRowHeight="13" x14ac:dyDescent="0.3"/>
  <cols>
    <col min="1" max="1" width="6" style="247" customWidth="1"/>
    <col min="2" max="2" width="22.296875" style="249" customWidth="1"/>
    <col min="3" max="3" width="12.5" style="254" customWidth="1"/>
    <col min="4" max="4" width="12.69921875" style="248" customWidth="1"/>
    <col min="5" max="5" width="14.296875" style="248" customWidth="1"/>
    <col min="6" max="6" width="14.5" style="248" customWidth="1"/>
    <col min="7" max="7" width="13.296875" style="248" customWidth="1"/>
    <col min="8" max="8" width="15.19921875" style="248" bestFit="1" customWidth="1"/>
    <col min="9" max="9" width="14" style="248" customWidth="1"/>
    <col min="10" max="10" width="13.296875" style="254" customWidth="1"/>
    <col min="11" max="11" width="12.296875" style="254" customWidth="1"/>
    <col min="12" max="12" width="14.19921875" style="254" bestFit="1" customWidth="1"/>
    <col min="13" max="13" width="15.19921875" style="254" customWidth="1"/>
    <col min="14" max="256" width="9.296875" style="254"/>
    <col min="257" max="257" width="5.796875" style="254" customWidth="1"/>
    <col min="258" max="258" width="22.296875" style="254" customWidth="1"/>
    <col min="259" max="259" width="13" style="254" customWidth="1"/>
    <col min="260" max="260" width="11" style="254" customWidth="1"/>
    <col min="261" max="261" width="15.5" style="254" customWidth="1"/>
    <col min="262" max="262" width="11.19921875" style="254" customWidth="1"/>
    <col min="263" max="263" width="13.296875" style="254" customWidth="1"/>
    <col min="264" max="265" width="14" style="254" customWidth="1"/>
    <col min="266" max="266" width="13.296875" style="254" customWidth="1"/>
    <col min="267" max="267" width="12.296875" style="254" customWidth="1"/>
    <col min="268" max="268" width="14.296875" style="254" customWidth="1"/>
    <col min="269" max="269" width="15.19921875" style="254" customWidth="1"/>
    <col min="270" max="512" width="9.296875" style="254"/>
    <col min="513" max="513" width="5.796875" style="254" customWidth="1"/>
    <col min="514" max="514" width="22.296875" style="254" customWidth="1"/>
    <col min="515" max="515" width="13" style="254" customWidth="1"/>
    <col min="516" max="516" width="11" style="254" customWidth="1"/>
    <col min="517" max="517" width="15.5" style="254" customWidth="1"/>
    <col min="518" max="518" width="11.19921875" style="254" customWidth="1"/>
    <col min="519" max="519" width="13.296875" style="254" customWidth="1"/>
    <col min="520" max="521" width="14" style="254" customWidth="1"/>
    <col min="522" max="522" width="13.296875" style="254" customWidth="1"/>
    <col min="523" max="523" width="12.296875" style="254" customWidth="1"/>
    <col min="524" max="524" width="14.296875" style="254" customWidth="1"/>
    <col min="525" max="525" width="15.19921875" style="254" customWidth="1"/>
    <col min="526" max="768" width="9.296875" style="254"/>
    <col min="769" max="769" width="5.796875" style="254" customWidth="1"/>
    <col min="770" max="770" width="22.296875" style="254" customWidth="1"/>
    <col min="771" max="771" width="13" style="254" customWidth="1"/>
    <col min="772" max="772" width="11" style="254" customWidth="1"/>
    <col min="773" max="773" width="15.5" style="254" customWidth="1"/>
    <col min="774" max="774" width="11.19921875" style="254" customWidth="1"/>
    <col min="775" max="775" width="13.296875" style="254" customWidth="1"/>
    <col min="776" max="777" width="14" style="254" customWidth="1"/>
    <col min="778" max="778" width="13.296875" style="254" customWidth="1"/>
    <col min="779" max="779" width="12.296875" style="254" customWidth="1"/>
    <col min="780" max="780" width="14.296875" style="254" customWidth="1"/>
    <col min="781" max="781" width="15.19921875" style="254" customWidth="1"/>
    <col min="782" max="1024" width="9.296875" style="254"/>
    <col min="1025" max="1025" width="5.796875" style="254" customWidth="1"/>
    <col min="1026" max="1026" width="22.296875" style="254" customWidth="1"/>
    <col min="1027" max="1027" width="13" style="254" customWidth="1"/>
    <col min="1028" max="1028" width="11" style="254" customWidth="1"/>
    <col min="1029" max="1029" width="15.5" style="254" customWidth="1"/>
    <col min="1030" max="1030" width="11.19921875" style="254" customWidth="1"/>
    <col min="1031" max="1031" width="13.296875" style="254" customWidth="1"/>
    <col min="1032" max="1033" width="14" style="254" customWidth="1"/>
    <col min="1034" max="1034" width="13.296875" style="254" customWidth="1"/>
    <col min="1035" max="1035" width="12.296875" style="254" customWidth="1"/>
    <col min="1036" max="1036" width="14.296875" style="254" customWidth="1"/>
    <col min="1037" max="1037" width="15.19921875" style="254" customWidth="1"/>
    <col min="1038" max="1280" width="9.296875" style="254"/>
    <col min="1281" max="1281" width="5.796875" style="254" customWidth="1"/>
    <col min="1282" max="1282" width="22.296875" style="254" customWidth="1"/>
    <col min="1283" max="1283" width="13" style="254" customWidth="1"/>
    <col min="1284" max="1284" width="11" style="254" customWidth="1"/>
    <col min="1285" max="1285" width="15.5" style="254" customWidth="1"/>
    <col min="1286" max="1286" width="11.19921875" style="254" customWidth="1"/>
    <col min="1287" max="1287" width="13.296875" style="254" customWidth="1"/>
    <col min="1288" max="1289" width="14" style="254" customWidth="1"/>
    <col min="1290" max="1290" width="13.296875" style="254" customWidth="1"/>
    <col min="1291" max="1291" width="12.296875" style="254" customWidth="1"/>
    <col min="1292" max="1292" width="14.296875" style="254" customWidth="1"/>
    <col min="1293" max="1293" width="15.19921875" style="254" customWidth="1"/>
    <col min="1294" max="1536" width="9.296875" style="254"/>
    <col min="1537" max="1537" width="5.796875" style="254" customWidth="1"/>
    <col min="1538" max="1538" width="22.296875" style="254" customWidth="1"/>
    <col min="1539" max="1539" width="13" style="254" customWidth="1"/>
    <col min="1540" max="1540" width="11" style="254" customWidth="1"/>
    <col min="1541" max="1541" width="15.5" style="254" customWidth="1"/>
    <col min="1542" max="1542" width="11.19921875" style="254" customWidth="1"/>
    <col min="1543" max="1543" width="13.296875" style="254" customWidth="1"/>
    <col min="1544" max="1545" width="14" style="254" customWidth="1"/>
    <col min="1546" max="1546" width="13.296875" style="254" customWidth="1"/>
    <col min="1547" max="1547" width="12.296875" style="254" customWidth="1"/>
    <col min="1548" max="1548" width="14.296875" style="254" customWidth="1"/>
    <col min="1549" max="1549" width="15.19921875" style="254" customWidth="1"/>
    <col min="1550" max="1792" width="9.296875" style="254"/>
    <col min="1793" max="1793" width="5.796875" style="254" customWidth="1"/>
    <col min="1794" max="1794" width="22.296875" style="254" customWidth="1"/>
    <col min="1795" max="1795" width="13" style="254" customWidth="1"/>
    <col min="1796" max="1796" width="11" style="254" customWidth="1"/>
    <col min="1797" max="1797" width="15.5" style="254" customWidth="1"/>
    <col min="1798" max="1798" width="11.19921875" style="254" customWidth="1"/>
    <col min="1799" max="1799" width="13.296875" style="254" customWidth="1"/>
    <col min="1800" max="1801" width="14" style="254" customWidth="1"/>
    <col min="1802" max="1802" width="13.296875" style="254" customWidth="1"/>
    <col min="1803" max="1803" width="12.296875" style="254" customWidth="1"/>
    <col min="1804" max="1804" width="14.296875" style="254" customWidth="1"/>
    <col min="1805" max="1805" width="15.19921875" style="254" customWidth="1"/>
    <col min="1806" max="2048" width="9.296875" style="254"/>
    <col min="2049" max="2049" width="5.796875" style="254" customWidth="1"/>
    <col min="2050" max="2050" width="22.296875" style="254" customWidth="1"/>
    <col min="2051" max="2051" width="13" style="254" customWidth="1"/>
    <col min="2052" max="2052" width="11" style="254" customWidth="1"/>
    <col min="2053" max="2053" width="15.5" style="254" customWidth="1"/>
    <col min="2054" max="2054" width="11.19921875" style="254" customWidth="1"/>
    <col min="2055" max="2055" width="13.296875" style="254" customWidth="1"/>
    <col min="2056" max="2057" width="14" style="254" customWidth="1"/>
    <col min="2058" max="2058" width="13.296875" style="254" customWidth="1"/>
    <col min="2059" max="2059" width="12.296875" style="254" customWidth="1"/>
    <col min="2060" max="2060" width="14.296875" style="254" customWidth="1"/>
    <col min="2061" max="2061" width="15.19921875" style="254" customWidth="1"/>
    <col min="2062" max="2304" width="9.296875" style="254"/>
    <col min="2305" max="2305" width="5.796875" style="254" customWidth="1"/>
    <col min="2306" max="2306" width="22.296875" style="254" customWidth="1"/>
    <col min="2307" max="2307" width="13" style="254" customWidth="1"/>
    <col min="2308" max="2308" width="11" style="254" customWidth="1"/>
    <col min="2309" max="2309" width="15.5" style="254" customWidth="1"/>
    <col min="2310" max="2310" width="11.19921875" style="254" customWidth="1"/>
    <col min="2311" max="2311" width="13.296875" style="254" customWidth="1"/>
    <col min="2312" max="2313" width="14" style="254" customWidth="1"/>
    <col min="2314" max="2314" width="13.296875" style="254" customWidth="1"/>
    <col min="2315" max="2315" width="12.296875" style="254" customWidth="1"/>
    <col min="2316" max="2316" width="14.296875" style="254" customWidth="1"/>
    <col min="2317" max="2317" width="15.19921875" style="254" customWidth="1"/>
    <col min="2318" max="2560" width="9.296875" style="254"/>
    <col min="2561" max="2561" width="5.796875" style="254" customWidth="1"/>
    <col min="2562" max="2562" width="22.296875" style="254" customWidth="1"/>
    <col min="2563" max="2563" width="13" style="254" customWidth="1"/>
    <col min="2564" max="2564" width="11" style="254" customWidth="1"/>
    <col min="2565" max="2565" width="15.5" style="254" customWidth="1"/>
    <col min="2566" max="2566" width="11.19921875" style="254" customWidth="1"/>
    <col min="2567" max="2567" width="13.296875" style="254" customWidth="1"/>
    <col min="2568" max="2569" width="14" style="254" customWidth="1"/>
    <col min="2570" max="2570" width="13.296875" style="254" customWidth="1"/>
    <col min="2571" max="2571" width="12.296875" style="254" customWidth="1"/>
    <col min="2572" max="2572" width="14.296875" style="254" customWidth="1"/>
    <col min="2573" max="2573" width="15.19921875" style="254" customWidth="1"/>
    <col min="2574" max="2816" width="9.296875" style="254"/>
    <col min="2817" max="2817" width="5.796875" style="254" customWidth="1"/>
    <col min="2818" max="2818" width="22.296875" style="254" customWidth="1"/>
    <col min="2819" max="2819" width="13" style="254" customWidth="1"/>
    <col min="2820" max="2820" width="11" style="254" customWidth="1"/>
    <col min="2821" max="2821" width="15.5" style="254" customWidth="1"/>
    <col min="2822" max="2822" width="11.19921875" style="254" customWidth="1"/>
    <col min="2823" max="2823" width="13.296875" style="254" customWidth="1"/>
    <col min="2824" max="2825" width="14" style="254" customWidth="1"/>
    <col min="2826" max="2826" width="13.296875" style="254" customWidth="1"/>
    <col min="2827" max="2827" width="12.296875" style="254" customWidth="1"/>
    <col min="2828" max="2828" width="14.296875" style="254" customWidth="1"/>
    <col min="2829" max="2829" width="15.19921875" style="254" customWidth="1"/>
    <col min="2830" max="3072" width="9.296875" style="254"/>
    <col min="3073" max="3073" width="5.796875" style="254" customWidth="1"/>
    <col min="3074" max="3074" width="22.296875" style="254" customWidth="1"/>
    <col min="3075" max="3075" width="13" style="254" customWidth="1"/>
    <col min="3076" max="3076" width="11" style="254" customWidth="1"/>
    <col min="3077" max="3077" width="15.5" style="254" customWidth="1"/>
    <col min="3078" max="3078" width="11.19921875" style="254" customWidth="1"/>
    <col min="3079" max="3079" width="13.296875" style="254" customWidth="1"/>
    <col min="3080" max="3081" width="14" style="254" customWidth="1"/>
    <col min="3082" max="3082" width="13.296875" style="254" customWidth="1"/>
    <col min="3083" max="3083" width="12.296875" style="254" customWidth="1"/>
    <col min="3084" max="3084" width="14.296875" style="254" customWidth="1"/>
    <col min="3085" max="3085" width="15.19921875" style="254" customWidth="1"/>
    <col min="3086" max="3328" width="9.296875" style="254"/>
    <col min="3329" max="3329" width="5.796875" style="254" customWidth="1"/>
    <col min="3330" max="3330" width="22.296875" style="254" customWidth="1"/>
    <col min="3331" max="3331" width="13" style="254" customWidth="1"/>
    <col min="3332" max="3332" width="11" style="254" customWidth="1"/>
    <col min="3333" max="3333" width="15.5" style="254" customWidth="1"/>
    <col min="3334" max="3334" width="11.19921875" style="254" customWidth="1"/>
    <col min="3335" max="3335" width="13.296875" style="254" customWidth="1"/>
    <col min="3336" max="3337" width="14" style="254" customWidth="1"/>
    <col min="3338" max="3338" width="13.296875" style="254" customWidth="1"/>
    <col min="3339" max="3339" width="12.296875" style="254" customWidth="1"/>
    <col min="3340" max="3340" width="14.296875" style="254" customWidth="1"/>
    <col min="3341" max="3341" width="15.19921875" style="254" customWidth="1"/>
    <col min="3342" max="3584" width="9.296875" style="254"/>
    <col min="3585" max="3585" width="5.796875" style="254" customWidth="1"/>
    <col min="3586" max="3586" width="22.296875" style="254" customWidth="1"/>
    <col min="3587" max="3587" width="13" style="254" customWidth="1"/>
    <col min="3588" max="3588" width="11" style="254" customWidth="1"/>
    <col min="3589" max="3589" width="15.5" style="254" customWidth="1"/>
    <col min="3590" max="3590" width="11.19921875" style="254" customWidth="1"/>
    <col min="3591" max="3591" width="13.296875" style="254" customWidth="1"/>
    <col min="3592" max="3593" width="14" style="254" customWidth="1"/>
    <col min="3594" max="3594" width="13.296875" style="254" customWidth="1"/>
    <col min="3595" max="3595" width="12.296875" style="254" customWidth="1"/>
    <col min="3596" max="3596" width="14.296875" style="254" customWidth="1"/>
    <col min="3597" max="3597" width="15.19921875" style="254" customWidth="1"/>
    <col min="3598" max="3840" width="9.296875" style="254"/>
    <col min="3841" max="3841" width="5.796875" style="254" customWidth="1"/>
    <col min="3842" max="3842" width="22.296875" style="254" customWidth="1"/>
    <col min="3843" max="3843" width="13" style="254" customWidth="1"/>
    <col min="3844" max="3844" width="11" style="254" customWidth="1"/>
    <col min="3845" max="3845" width="15.5" style="254" customWidth="1"/>
    <col min="3846" max="3846" width="11.19921875" style="254" customWidth="1"/>
    <col min="3847" max="3847" width="13.296875" style="254" customWidth="1"/>
    <col min="3848" max="3849" width="14" style="254" customWidth="1"/>
    <col min="3850" max="3850" width="13.296875" style="254" customWidth="1"/>
    <col min="3851" max="3851" width="12.296875" style="254" customWidth="1"/>
    <col min="3852" max="3852" width="14.296875" style="254" customWidth="1"/>
    <col min="3853" max="3853" width="15.19921875" style="254" customWidth="1"/>
    <col min="3854" max="4096" width="9.296875" style="254"/>
    <col min="4097" max="4097" width="5.796875" style="254" customWidth="1"/>
    <col min="4098" max="4098" width="22.296875" style="254" customWidth="1"/>
    <col min="4099" max="4099" width="13" style="254" customWidth="1"/>
    <col min="4100" max="4100" width="11" style="254" customWidth="1"/>
    <col min="4101" max="4101" width="15.5" style="254" customWidth="1"/>
    <col min="4102" max="4102" width="11.19921875" style="254" customWidth="1"/>
    <col min="4103" max="4103" width="13.296875" style="254" customWidth="1"/>
    <col min="4104" max="4105" width="14" style="254" customWidth="1"/>
    <col min="4106" max="4106" width="13.296875" style="254" customWidth="1"/>
    <col min="4107" max="4107" width="12.296875" style="254" customWidth="1"/>
    <col min="4108" max="4108" width="14.296875" style="254" customWidth="1"/>
    <col min="4109" max="4109" width="15.19921875" style="254" customWidth="1"/>
    <col min="4110" max="4352" width="9.296875" style="254"/>
    <col min="4353" max="4353" width="5.796875" style="254" customWidth="1"/>
    <col min="4354" max="4354" width="22.296875" style="254" customWidth="1"/>
    <col min="4355" max="4355" width="13" style="254" customWidth="1"/>
    <col min="4356" max="4356" width="11" style="254" customWidth="1"/>
    <col min="4357" max="4357" width="15.5" style="254" customWidth="1"/>
    <col min="4358" max="4358" width="11.19921875" style="254" customWidth="1"/>
    <col min="4359" max="4359" width="13.296875" style="254" customWidth="1"/>
    <col min="4360" max="4361" width="14" style="254" customWidth="1"/>
    <col min="4362" max="4362" width="13.296875" style="254" customWidth="1"/>
    <col min="4363" max="4363" width="12.296875" style="254" customWidth="1"/>
    <col min="4364" max="4364" width="14.296875" style="254" customWidth="1"/>
    <col min="4365" max="4365" width="15.19921875" style="254" customWidth="1"/>
    <col min="4366" max="4608" width="9.296875" style="254"/>
    <col min="4609" max="4609" width="5.796875" style="254" customWidth="1"/>
    <col min="4610" max="4610" width="22.296875" style="254" customWidth="1"/>
    <col min="4611" max="4611" width="13" style="254" customWidth="1"/>
    <col min="4612" max="4612" width="11" style="254" customWidth="1"/>
    <col min="4613" max="4613" width="15.5" style="254" customWidth="1"/>
    <col min="4614" max="4614" width="11.19921875" style="254" customWidth="1"/>
    <col min="4615" max="4615" width="13.296875" style="254" customWidth="1"/>
    <col min="4616" max="4617" width="14" style="254" customWidth="1"/>
    <col min="4618" max="4618" width="13.296875" style="254" customWidth="1"/>
    <col min="4619" max="4619" width="12.296875" style="254" customWidth="1"/>
    <col min="4620" max="4620" width="14.296875" style="254" customWidth="1"/>
    <col min="4621" max="4621" width="15.19921875" style="254" customWidth="1"/>
    <col min="4622" max="4864" width="9.296875" style="254"/>
    <col min="4865" max="4865" width="5.796875" style="254" customWidth="1"/>
    <col min="4866" max="4866" width="22.296875" style="254" customWidth="1"/>
    <col min="4867" max="4867" width="13" style="254" customWidth="1"/>
    <col min="4868" max="4868" width="11" style="254" customWidth="1"/>
    <col min="4869" max="4869" width="15.5" style="254" customWidth="1"/>
    <col min="4870" max="4870" width="11.19921875" style="254" customWidth="1"/>
    <col min="4871" max="4871" width="13.296875" style="254" customWidth="1"/>
    <col min="4872" max="4873" width="14" style="254" customWidth="1"/>
    <col min="4874" max="4874" width="13.296875" style="254" customWidth="1"/>
    <col min="4875" max="4875" width="12.296875" style="254" customWidth="1"/>
    <col min="4876" max="4876" width="14.296875" style="254" customWidth="1"/>
    <col min="4877" max="4877" width="15.19921875" style="254" customWidth="1"/>
    <col min="4878" max="5120" width="9.296875" style="254"/>
    <col min="5121" max="5121" width="5.796875" style="254" customWidth="1"/>
    <col min="5122" max="5122" width="22.296875" style="254" customWidth="1"/>
    <col min="5123" max="5123" width="13" style="254" customWidth="1"/>
    <col min="5124" max="5124" width="11" style="254" customWidth="1"/>
    <col min="5125" max="5125" width="15.5" style="254" customWidth="1"/>
    <col min="5126" max="5126" width="11.19921875" style="254" customWidth="1"/>
    <col min="5127" max="5127" width="13.296875" style="254" customWidth="1"/>
    <col min="5128" max="5129" width="14" style="254" customWidth="1"/>
    <col min="5130" max="5130" width="13.296875" style="254" customWidth="1"/>
    <col min="5131" max="5131" width="12.296875" style="254" customWidth="1"/>
    <col min="5132" max="5132" width="14.296875" style="254" customWidth="1"/>
    <col min="5133" max="5133" width="15.19921875" style="254" customWidth="1"/>
    <col min="5134" max="5376" width="9.296875" style="254"/>
    <col min="5377" max="5377" width="5.796875" style="254" customWidth="1"/>
    <col min="5378" max="5378" width="22.296875" style="254" customWidth="1"/>
    <col min="5379" max="5379" width="13" style="254" customWidth="1"/>
    <col min="5380" max="5380" width="11" style="254" customWidth="1"/>
    <col min="5381" max="5381" width="15.5" style="254" customWidth="1"/>
    <col min="5382" max="5382" width="11.19921875" style="254" customWidth="1"/>
    <col min="5383" max="5383" width="13.296875" style="254" customWidth="1"/>
    <col min="5384" max="5385" width="14" style="254" customWidth="1"/>
    <col min="5386" max="5386" width="13.296875" style="254" customWidth="1"/>
    <col min="5387" max="5387" width="12.296875" style="254" customWidth="1"/>
    <col min="5388" max="5388" width="14.296875" style="254" customWidth="1"/>
    <col min="5389" max="5389" width="15.19921875" style="254" customWidth="1"/>
    <col min="5390" max="5632" width="9.296875" style="254"/>
    <col min="5633" max="5633" width="5.796875" style="254" customWidth="1"/>
    <col min="5634" max="5634" width="22.296875" style="254" customWidth="1"/>
    <col min="5635" max="5635" width="13" style="254" customWidth="1"/>
    <col min="5636" max="5636" width="11" style="254" customWidth="1"/>
    <col min="5637" max="5637" width="15.5" style="254" customWidth="1"/>
    <col min="5638" max="5638" width="11.19921875" style="254" customWidth="1"/>
    <col min="5639" max="5639" width="13.296875" style="254" customWidth="1"/>
    <col min="5640" max="5641" width="14" style="254" customWidth="1"/>
    <col min="5642" max="5642" width="13.296875" style="254" customWidth="1"/>
    <col min="5643" max="5643" width="12.296875" style="254" customWidth="1"/>
    <col min="5644" max="5644" width="14.296875" style="254" customWidth="1"/>
    <col min="5645" max="5645" width="15.19921875" style="254" customWidth="1"/>
    <col min="5646" max="5888" width="9.296875" style="254"/>
    <col min="5889" max="5889" width="5.796875" style="254" customWidth="1"/>
    <col min="5890" max="5890" width="22.296875" style="254" customWidth="1"/>
    <col min="5891" max="5891" width="13" style="254" customWidth="1"/>
    <col min="5892" max="5892" width="11" style="254" customWidth="1"/>
    <col min="5893" max="5893" width="15.5" style="254" customWidth="1"/>
    <col min="5894" max="5894" width="11.19921875" style="254" customWidth="1"/>
    <col min="5895" max="5895" width="13.296875" style="254" customWidth="1"/>
    <col min="5896" max="5897" width="14" style="254" customWidth="1"/>
    <col min="5898" max="5898" width="13.296875" style="254" customWidth="1"/>
    <col min="5899" max="5899" width="12.296875" style="254" customWidth="1"/>
    <col min="5900" max="5900" width="14.296875" style="254" customWidth="1"/>
    <col min="5901" max="5901" width="15.19921875" style="254" customWidth="1"/>
    <col min="5902" max="6144" width="9.296875" style="254"/>
    <col min="6145" max="6145" width="5.796875" style="254" customWidth="1"/>
    <col min="6146" max="6146" width="22.296875" style="254" customWidth="1"/>
    <col min="6147" max="6147" width="13" style="254" customWidth="1"/>
    <col min="6148" max="6148" width="11" style="254" customWidth="1"/>
    <col min="6149" max="6149" width="15.5" style="254" customWidth="1"/>
    <col min="6150" max="6150" width="11.19921875" style="254" customWidth="1"/>
    <col min="6151" max="6151" width="13.296875" style="254" customWidth="1"/>
    <col min="6152" max="6153" width="14" style="254" customWidth="1"/>
    <col min="6154" max="6154" width="13.296875" style="254" customWidth="1"/>
    <col min="6155" max="6155" width="12.296875" style="254" customWidth="1"/>
    <col min="6156" max="6156" width="14.296875" style="254" customWidth="1"/>
    <col min="6157" max="6157" width="15.19921875" style="254" customWidth="1"/>
    <col min="6158" max="6400" width="9.296875" style="254"/>
    <col min="6401" max="6401" width="5.796875" style="254" customWidth="1"/>
    <col min="6402" max="6402" width="22.296875" style="254" customWidth="1"/>
    <col min="6403" max="6403" width="13" style="254" customWidth="1"/>
    <col min="6404" max="6404" width="11" style="254" customWidth="1"/>
    <col min="6405" max="6405" width="15.5" style="254" customWidth="1"/>
    <col min="6406" max="6406" width="11.19921875" style="254" customWidth="1"/>
    <col min="6407" max="6407" width="13.296875" style="254" customWidth="1"/>
    <col min="6408" max="6409" width="14" style="254" customWidth="1"/>
    <col min="6410" max="6410" width="13.296875" style="254" customWidth="1"/>
    <col min="6411" max="6411" width="12.296875" style="254" customWidth="1"/>
    <col min="6412" max="6412" width="14.296875" style="254" customWidth="1"/>
    <col min="6413" max="6413" width="15.19921875" style="254" customWidth="1"/>
    <col min="6414" max="6656" width="9.296875" style="254"/>
    <col min="6657" max="6657" width="5.796875" style="254" customWidth="1"/>
    <col min="6658" max="6658" width="22.296875" style="254" customWidth="1"/>
    <col min="6659" max="6659" width="13" style="254" customWidth="1"/>
    <col min="6660" max="6660" width="11" style="254" customWidth="1"/>
    <col min="6661" max="6661" width="15.5" style="254" customWidth="1"/>
    <col min="6662" max="6662" width="11.19921875" style="254" customWidth="1"/>
    <col min="6663" max="6663" width="13.296875" style="254" customWidth="1"/>
    <col min="6664" max="6665" width="14" style="254" customWidth="1"/>
    <col min="6666" max="6666" width="13.296875" style="254" customWidth="1"/>
    <col min="6667" max="6667" width="12.296875" style="254" customWidth="1"/>
    <col min="6668" max="6668" width="14.296875" style="254" customWidth="1"/>
    <col min="6669" max="6669" width="15.19921875" style="254" customWidth="1"/>
    <col min="6670" max="6912" width="9.296875" style="254"/>
    <col min="6913" max="6913" width="5.796875" style="254" customWidth="1"/>
    <col min="6914" max="6914" width="22.296875" style="254" customWidth="1"/>
    <col min="6915" max="6915" width="13" style="254" customWidth="1"/>
    <col min="6916" max="6916" width="11" style="254" customWidth="1"/>
    <col min="6917" max="6917" width="15.5" style="254" customWidth="1"/>
    <col min="6918" max="6918" width="11.19921875" style="254" customWidth="1"/>
    <col min="6919" max="6919" width="13.296875" style="254" customWidth="1"/>
    <col min="6920" max="6921" width="14" style="254" customWidth="1"/>
    <col min="6922" max="6922" width="13.296875" style="254" customWidth="1"/>
    <col min="6923" max="6923" width="12.296875" style="254" customWidth="1"/>
    <col min="6924" max="6924" width="14.296875" style="254" customWidth="1"/>
    <col min="6925" max="6925" width="15.19921875" style="254" customWidth="1"/>
    <col min="6926" max="7168" width="9.296875" style="254"/>
    <col min="7169" max="7169" width="5.796875" style="254" customWidth="1"/>
    <col min="7170" max="7170" width="22.296875" style="254" customWidth="1"/>
    <col min="7171" max="7171" width="13" style="254" customWidth="1"/>
    <col min="7172" max="7172" width="11" style="254" customWidth="1"/>
    <col min="7173" max="7173" width="15.5" style="254" customWidth="1"/>
    <col min="7174" max="7174" width="11.19921875" style="254" customWidth="1"/>
    <col min="7175" max="7175" width="13.296875" style="254" customWidth="1"/>
    <col min="7176" max="7177" width="14" style="254" customWidth="1"/>
    <col min="7178" max="7178" width="13.296875" style="254" customWidth="1"/>
    <col min="7179" max="7179" width="12.296875" style="254" customWidth="1"/>
    <col min="7180" max="7180" width="14.296875" style="254" customWidth="1"/>
    <col min="7181" max="7181" width="15.19921875" style="254" customWidth="1"/>
    <col min="7182" max="7424" width="9.296875" style="254"/>
    <col min="7425" max="7425" width="5.796875" style="254" customWidth="1"/>
    <col min="7426" max="7426" width="22.296875" style="254" customWidth="1"/>
    <col min="7427" max="7427" width="13" style="254" customWidth="1"/>
    <col min="7428" max="7428" width="11" style="254" customWidth="1"/>
    <col min="7429" max="7429" width="15.5" style="254" customWidth="1"/>
    <col min="7430" max="7430" width="11.19921875" style="254" customWidth="1"/>
    <col min="7431" max="7431" width="13.296875" style="254" customWidth="1"/>
    <col min="7432" max="7433" width="14" style="254" customWidth="1"/>
    <col min="7434" max="7434" width="13.296875" style="254" customWidth="1"/>
    <col min="7435" max="7435" width="12.296875" style="254" customWidth="1"/>
    <col min="7436" max="7436" width="14.296875" style="254" customWidth="1"/>
    <col min="7437" max="7437" width="15.19921875" style="254" customWidth="1"/>
    <col min="7438" max="7680" width="9.296875" style="254"/>
    <col min="7681" max="7681" width="5.796875" style="254" customWidth="1"/>
    <col min="7682" max="7682" width="22.296875" style="254" customWidth="1"/>
    <col min="7683" max="7683" width="13" style="254" customWidth="1"/>
    <col min="7684" max="7684" width="11" style="254" customWidth="1"/>
    <col min="7685" max="7685" width="15.5" style="254" customWidth="1"/>
    <col min="7686" max="7686" width="11.19921875" style="254" customWidth="1"/>
    <col min="7687" max="7687" width="13.296875" style="254" customWidth="1"/>
    <col min="7688" max="7689" width="14" style="254" customWidth="1"/>
    <col min="7690" max="7690" width="13.296875" style="254" customWidth="1"/>
    <col min="7691" max="7691" width="12.296875" style="254" customWidth="1"/>
    <col min="7692" max="7692" width="14.296875" style="254" customWidth="1"/>
    <col min="7693" max="7693" width="15.19921875" style="254" customWidth="1"/>
    <col min="7694" max="7936" width="9.296875" style="254"/>
    <col min="7937" max="7937" width="5.796875" style="254" customWidth="1"/>
    <col min="7938" max="7938" width="22.296875" style="254" customWidth="1"/>
    <col min="7939" max="7939" width="13" style="254" customWidth="1"/>
    <col min="7940" max="7940" width="11" style="254" customWidth="1"/>
    <col min="7941" max="7941" width="15.5" style="254" customWidth="1"/>
    <col min="7942" max="7942" width="11.19921875" style="254" customWidth="1"/>
    <col min="7943" max="7943" width="13.296875" style="254" customWidth="1"/>
    <col min="7944" max="7945" width="14" style="254" customWidth="1"/>
    <col min="7946" max="7946" width="13.296875" style="254" customWidth="1"/>
    <col min="7947" max="7947" width="12.296875" style="254" customWidth="1"/>
    <col min="7948" max="7948" width="14.296875" style="254" customWidth="1"/>
    <col min="7949" max="7949" width="15.19921875" style="254" customWidth="1"/>
    <col min="7950" max="8192" width="9.296875" style="254"/>
    <col min="8193" max="8193" width="5.796875" style="254" customWidth="1"/>
    <col min="8194" max="8194" width="22.296875" style="254" customWidth="1"/>
    <col min="8195" max="8195" width="13" style="254" customWidth="1"/>
    <col min="8196" max="8196" width="11" style="254" customWidth="1"/>
    <col min="8197" max="8197" width="15.5" style="254" customWidth="1"/>
    <col min="8198" max="8198" width="11.19921875" style="254" customWidth="1"/>
    <col min="8199" max="8199" width="13.296875" style="254" customWidth="1"/>
    <col min="8200" max="8201" width="14" style="254" customWidth="1"/>
    <col min="8202" max="8202" width="13.296875" style="254" customWidth="1"/>
    <col min="8203" max="8203" width="12.296875" style="254" customWidth="1"/>
    <col min="8204" max="8204" width="14.296875" style="254" customWidth="1"/>
    <col min="8205" max="8205" width="15.19921875" style="254" customWidth="1"/>
    <col min="8206" max="8448" width="9.296875" style="254"/>
    <col min="8449" max="8449" width="5.796875" style="254" customWidth="1"/>
    <col min="8450" max="8450" width="22.296875" style="254" customWidth="1"/>
    <col min="8451" max="8451" width="13" style="254" customWidth="1"/>
    <col min="8452" max="8452" width="11" style="254" customWidth="1"/>
    <col min="8453" max="8453" width="15.5" style="254" customWidth="1"/>
    <col min="8454" max="8454" width="11.19921875" style="254" customWidth="1"/>
    <col min="8455" max="8455" width="13.296875" style="254" customWidth="1"/>
    <col min="8456" max="8457" width="14" style="254" customWidth="1"/>
    <col min="8458" max="8458" width="13.296875" style="254" customWidth="1"/>
    <col min="8459" max="8459" width="12.296875" style="254" customWidth="1"/>
    <col min="8460" max="8460" width="14.296875" style="254" customWidth="1"/>
    <col min="8461" max="8461" width="15.19921875" style="254" customWidth="1"/>
    <col min="8462" max="8704" width="9.296875" style="254"/>
    <col min="8705" max="8705" width="5.796875" style="254" customWidth="1"/>
    <col min="8706" max="8706" width="22.296875" style="254" customWidth="1"/>
    <col min="8707" max="8707" width="13" style="254" customWidth="1"/>
    <col min="8708" max="8708" width="11" style="254" customWidth="1"/>
    <col min="8709" max="8709" width="15.5" style="254" customWidth="1"/>
    <col min="8710" max="8710" width="11.19921875" style="254" customWidth="1"/>
    <col min="8711" max="8711" width="13.296875" style="254" customWidth="1"/>
    <col min="8712" max="8713" width="14" style="254" customWidth="1"/>
    <col min="8714" max="8714" width="13.296875" style="254" customWidth="1"/>
    <col min="8715" max="8715" width="12.296875" style="254" customWidth="1"/>
    <col min="8716" max="8716" width="14.296875" style="254" customWidth="1"/>
    <col min="8717" max="8717" width="15.19921875" style="254" customWidth="1"/>
    <col min="8718" max="8960" width="9.296875" style="254"/>
    <col min="8961" max="8961" width="5.796875" style="254" customWidth="1"/>
    <col min="8962" max="8962" width="22.296875" style="254" customWidth="1"/>
    <col min="8963" max="8963" width="13" style="254" customWidth="1"/>
    <col min="8964" max="8964" width="11" style="254" customWidth="1"/>
    <col min="8965" max="8965" width="15.5" style="254" customWidth="1"/>
    <col min="8966" max="8966" width="11.19921875" style="254" customWidth="1"/>
    <col min="8967" max="8967" width="13.296875" style="254" customWidth="1"/>
    <col min="8968" max="8969" width="14" style="254" customWidth="1"/>
    <col min="8970" max="8970" width="13.296875" style="254" customWidth="1"/>
    <col min="8971" max="8971" width="12.296875" style="254" customWidth="1"/>
    <col min="8972" max="8972" width="14.296875" style="254" customWidth="1"/>
    <col min="8973" max="8973" width="15.19921875" style="254" customWidth="1"/>
    <col min="8974" max="9216" width="9.296875" style="254"/>
    <col min="9217" max="9217" width="5.796875" style="254" customWidth="1"/>
    <col min="9218" max="9218" width="22.296875" style="254" customWidth="1"/>
    <col min="9219" max="9219" width="13" style="254" customWidth="1"/>
    <col min="9220" max="9220" width="11" style="254" customWidth="1"/>
    <col min="9221" max="9221" width="15.5" style="254" customWidth="1"/>
    <col min="9222" max="9222" width="11.19921875" style="254" customWidth="1"/>
    <col min="9223" max="9223" width="13.296875" style="254" customWidth="1"/>
    <col min="9224" max="9225" width="14" style="254" customWidth="1"/>
    <col min="9226" max="9226" width="13.296875" style="254" customWidth="1"/>
    <col min="9227" max="9227" width="12.296875" style="254" customWidth="1"/>
    <col min="9228" max="9228" width="14.296875" style="254" customWidth="1"/>
    <col min="9229" max="9229" width="15.19921875" style="254" customWidth="1"/>
    <col min="9230" max="9472" width="9.296875" style="254"/>
    <col min="9473" max="9473" width="5.796875" style="254" customWidth="1"/>
    <col min="9474" max="9474" width="22.296875" style="254" customWidth="1"/>
    <col min="9475" max="9475" width="13" style="254" customWidth="1"/>
    <col min="9476" max="9476" width="11" style="254" customWidth="1"/>
    <col min="9477" max="9477" width="15.5" style="254" customWidth="1"/>
    <col min="9478" max="9478" width="11.19921875" style="254" customWidth="1"/>
    <col min="9479" max="9479" width="13.296875" style="254" customWidth="1"/>
    <col min="9480" max="9481" width="14" style="254" customWidth="1"/>
    <col min="9482" max="9482" width="13.296875" style="254" customWidth="1"/>
    <col min="9483" max="9483" width="12.296875" style="254" customWidth="1"/>
    <col min="9484" max="9484" width="14.296875" style="254" customWidth="1"/>
    <col min="9485" max="9485" width="15.19921875" style="254" customWidth="1"/>
    <col min="9486" max="9728" width="9.296875" style="254"/>
    <col min="9729" max="9729" width="5.796875" style="254" customWidth="1"/>
    <col min="9730" max="9730" width="22.296875" style="254" customWidth="1"/>
    <col min="9731" max="9731" width="13" style="254" customWidth="1"/>
    <col min="9732" max="9732" width="11" style="254" customWidth="1"/>
    <col min="9733" max="9733" width="15.5" style="254" customWidth="1"/>
    <col min="9734" max="9734" width="11.19921875" style="254" customWidth="1"/>
    <col min="9735" max="9735" width="13.296875" style="254" customWidth="1"/>
    <col min="9736" max="9737" width="14" style="254" customWidth="1"/>
    <col min="9738" max="9738" width="13.296875" style="254" customWidth="1"/>
    <col min="9739" max="9739" width="12.296875" style="254" customWidth="1"/>
    <col min="9740" max="9740" width="14.296875" style="254" customWidth="1"/>
    <col min="9741" max="9741" width="15.19921875" style="254" customWidth="1"/>
    <col min="9742" max="9984" width="9.296875" style="254"/>
    <col min="9985" max="9985" width="5.796875" style="254" customWidth="1"/>
    <col min="9986" max="9986" width="22.296875" style="254" customWidth="1"/>
    <col min="9987" max="9987" width="13" style="254" customWidth="1"/>
    <col min="9988" max="9988" width="11" style="254" customWidth="1"/>
    <col min="9989" max="9989" width="15.5" style="254" customWidth="1"/>
    <col min="9990" max="9990" width="11.19921875" style="254" customWidth="1"/>
    <col min="9991" max="9991" width="13.296875" style="254" customWidth="1"/>
    <col min="9992" max="9993" width="14" style="254" customWidth="1"/>
    <col min="9994" max="9994" width="13.296875" style="254" customWidth="1"/>
    <col min="9995" max="9995" width="12.296875" style="254" customWidth="1"/>
    <col min="9996" max="9996" width="14.296875" style="254" customWidth="1"/>
    <col min="9997" max="9997" width="15.19921875" style="254" customWidth="1"/>
    <col min="9998" max="10240" width="9.296875" style="254"/>
    <col min="10241" max="10241" width="5.796875" style="254" customWidth="1"/>
    <col min="10242" max="10242" width="22.296875" style="254" customWidth="1"/>
    <col min="10243" max="10243" width="13" style="254" customWidth="1"/>
    <col min="10244" max="10244" width="11" style="254" customWidth="1"/>
    <col min="10245" max="10245" width="15.5" style="254" customWidth="1"/>
    <col min="10246" max="10246" width="11.19921875" style="254" customWidth="1"/>
    <col min="10247" max="10247" width="13.296875" style="254" customWidth="1"/>
    <col min="10248" max="10249" width="14" style="254" customWidth="1"/>
    <col min="10250" max="10250" width="13.296875" style="254" customWidth="1"/>
    <col min="10251" max="10251" width="12.296875" style="254" customWidth="1"/>
    <col min="10252" max="10252" width="14.296875" style="254" customWidth="1"/>
    <col min="10253" max="10253" width="15.19921875" style="254" customWidth="1"/>
    <col min="10254" max="10496" width="9.296875" style="254"/>
    <col min="10497" max="10497" width="5.796875" style="254" customWidth="1"/>
    <col min="10498" max="10498" width="22.296875" style="254" customWidth="1"/>
    <col min="10499" max="10499" width="13" style="254" customWidth="1"/>
    <col min="10500" max="10500" width="11" style="254" customWidth="1"/>
    <col min="10501" max="10501" width="15.5" style="254" customWidth="1"/>
    <col min="10502" max="10502" width="11.19921875" style="254" customWidth="1"/>
    <col min="10503" max="10503" width="13.296875" style="254" customWidth="1"/>
    <col min="10504" max="10505" width="14" style="254" customWidth="1"/>
    <col min="10506" max="10506" width="13.296875" style="254" customWidth="1"/>
    <col min="10507" max="10507" width="12.296875" style="254" customWidth="1"/>
    <col min="10508" max="10508" width="14.296875" style="254" customWidth="1"/>
    <col min="10509" max="10509" width="15.19921875" style="254" customWidth="1"/>
    <col min="10510" max="10752" width="9.296875" style="254"/>
    <col min="10753" max="10753" width="5.796875" style="254" customWidth="1"/>
    <col min="10754" max="10754" width="22.296875" style="254" customWidth="1"/>
    <col min="10755" max="10755" width="13" style="254" customWidth="1"/>
    <col min="10756" max="10756" width="11" style="254" customWidth="1"/>
    <col min="10757" max="10757" width="15.5" style="254" customWidth="1"/>
    <col min="10758" max="10758" width="11.19921875" style="254" customWidth="1"/>
    <col min="10759" max="10759" width="13.296875" style="254" customWidth="1"/>
    <col min="10760" max="10761" width="14" style="254" customWidth="1"/>
    <col min="10762" max="10762" width="13.296875" style="254" customWidth="1"/>
    <col min="10763" max="10763" width="12.296875" style="254" customWidth="1"/>
    <col min="10764" max="10764" width="14.296875" style="254" customWidth="1"/>
    <col min="10765" max="10765" width="15.19921875" style="254" customWidth="1"/>
    <col min="10766" max="11008" width="9.296875" style="254"/>
    <col min="11009" max="11009" width="5.796875" style="254" customWidth="1"/>
    <col min="11010" max="11010" width="22.296875" style="254" customWidth="1"/>
    <col min="11011" max="11011" width="13" style="254" customWidth="1"/>
    <col min="11012" max="11012" width="11" style="254" customWidth="1"/>
    <col min="11013" max="11013" width="15.5" style="254" customWidth="1"/>
    <col min="11014" max="11014" width="11.19921875" style="254" customWidth="1"/>
    <col min="11015" max="11015" width="13.296875" style="254" customWidth="1"/>
    <col min="11016" max="11017" width="14" style="254" customWidth="1"/>
    <col min="11018" max="11018" width="13.296875" style="254" customWidth="1"/>
    <col min="11019" max="11019" width="12.296875" style="254" customWidth="1"/>
    <col min="11020" max="11020" width="14.296875" style="254" customWidth="1"/>
    <col min="11021" max="11021" width="15.19921875" style="254" customWidth="1"/>
    <col min="11022" max="11264" width="9.296875" style="254"/>
    <col min="11265" max="11265" width="5.796875" style="254" customWidth="1"/>
    <col min="11266" max="11266" width="22.296875" style="254" customWidth="1"/>
    <col min="11267" max="11267" width="13" style="254" customWidth="1"/>
    <col min="11268" max="11268" width="11" style="254" customWidth="1"/>
    <col min="11269" max="11269" width="15.5" style="254" customWidth="1"/>
    <col min="11270" max="11270" width="11.19921875" style="254" customWidth="1"/>
    <col min="11271" max="11271" width="13.296875" style="254" customWidth="1"/>
    <col min="11272" max="11273" width="14" style="254" customWidth="1"/>
    <col min="11274" max="11274" width="13.296875" style="254" customWidth="1"/>
    <col min="11275" max="11275" width="12.296875" style="254" customWidth="1"/>
    <col min="11276" max="11276" width="14.296875" style="254" customWidth="1"/>
    <col min="11277" max="11277" width="15.19921875" style="254" customWidth="1"/>
    <col min="11278" max="11520" width="9.296875" style="254"/>
    <col min="11521" max="11521" width="5.796875" style="254" customWidth="1"/>
    <col min="11522" max="11522" width="22.296875" style="254" customWidth="1"/>
    <col min="11523" max="11523" width="13" style="254" customWidth="1"/>
    <col min="11524" max="11524" width="11" style="254" customWidth="1"/>
    <col min="11525" max="11525" width="15.5" style="254" customWidth="1"/>
    <col min="11526" max="11526" width="11.19921875" style="254" customWidth="1"/>
    <col min="11527" max="11527" width="13.296875" style="254" customWidth="1"/>
    <col min="11528" max="11529" width="14" style="254" customWidth="1"/>
    <col min="11530" max="11530" width="13.296875" style="254" customWidth="1"/>
    <col min="11531" max="11531" width="12.296875" style="254" customWidth="1"/>
    <col min="11532" max="11532" width="14.296875" style="254" customWidth="1"/>
    <col min="11533" max="11533" width="15.19921875" style="254" customWidth="1"/>
    <col min="11534" max="11776" width="9.296875" style="254"/>
    <col min="11777" max="11777" width="5.796875" style="254" customWidth="1"/>
    <col min="11778" max="11778" width="22.296875" style="254" customWidth="1"/>
    <col min="11779" max="11779" width="13" style="254" customWidth="1"/>
    <col min="11780" max="11780" width="11" style="254" customWidth="1"/>
    <col min="11781" max="11781" width="15.5" style="254" customWidth="1"/>
    <col min="11782" max="11782" width="11.19921875" style="254" customWidth="1"/>
    <col min="11783" max="11783" width="13.296875" style="254" customWidth="1"/>
    <col min="11784" max="11785" width="14" style="254" customWidth="1"/>
    <col min="11786" max="11786" width="13.296875" style="254" customWidth="1"/>
    <col min="11787" max="11787" width="12.296875" style="254" customWidth="1"/>
    <col min="11788" max="11788" width="14.296875" style="254" customWidth="1"/>
    <col min="11789" max="11789" width="15.19921875" style="254" customWidth="1"/>
    <col min="11790" max="12032" width="9.296875" style="254"/>
    <col min="12033" max="12033" width="5.796875" style="254" customWidth="1"/>
    <col min="12034" max="12034" width="22.296875" style="254" customWidth="1"/>
    <col min="12035" max="12035" width="13" style="254" customWidth="1"/>
    <col min="12036" max="12036" width="11" style="254" customWidth="1"/>
    <col min="12037" max="12037" width="15.5" style="254" customWidth="1"/>
    <col min="12038" max="12038" width="11.19921875" style="254" customWidth="1"/>
    <col min="12039" max="12039" width="13.296875" style="254" customWidth="1"/>
    <col min="12040" max="12041" width="14" style="254" customWidth="1"/>
    <col min="12042" max="12042" width="13.296875" style="254" customWidth="1"/>
    <col min="12043" max="12043" width="12.296875" style="254" customWidth="1"/>
    <col min="12044" max="12044" width="14.296875" style="254" customWidth="1"/>
    <col min="12045" max="12045" width="15.19921875" style="254" customWidth="1"/>
    <col min="12046" max="12288" width="9.296875" style="254"/>
    <col min="12289" max="12289" width="5.796875" style="254" customWidth="1"/>
    <col min="12290" max="12290" width="22.296875" style="254" customWidth="1"/>
    <col min="12291" max="12291" width="13" style="254" customWidth="1"/>
    <col min="12292" max="12292" width="11" style="254" customWidth="1"/>
    <col min="12293" max="12293" width="15.5" style="254" customWidth="1"/>
    <col min="12294" max="12294" width="11.19921875" style="254" customWidth="1"/>
    <col min="12295" max="12295" width="13.296875" style="254" customWidth="1"/>
    <col min="12296" max="12297" width="14" style="254" customWidth="1"/>
    <col min="12298" max="12298" width="13.296875" style="254" customWidth="1"/>
    <col min="12299" max="12299" width="12.296875" style="254" customWidth="1"/>
    <col min="12300" max="12300" width="14.296875" style="254" customWidth="1"/>
    <col min="12301" max="12301" width="15.19921875" style="254" customWidth="1"/>
    <col min="12302" max="12544" width="9.296875" style="254"/>
    <col min="12545" max="12545" width="5.796875" style="254" customWidth="1"/>
    <col min="12546" max="12546" width="22.296875" style="254" customWidth="1"/>
    <col min="12547" max="12547" width="13" style="254" customWidth="1"/>
    <col min="12548" max="12548" width="11" style="254" customWidth="1"/>
    <col min="12549" max="12549" width="15.5" style="254" customWidth="1"/>
    <col min="12550" max="12550" width="11.19921875" style="254" customWidth="1"/>
    <col min="12551" max="12551" width="13.296875" style="254" customWidth="1"/>
    <col min="12552" max="12553" width="14" style="254" customWidth="1"/>
    <col min="12554" max="12554" width="13.296875" style="254" customWidth="1"/>
    <col min="12555" max="12555" width="12.296875" style="254" customWidth="1"/>
    <col min="12556" max="12556" width="14.296875" style="254" customWidth="1"/>
    <col min="12557" max="12557" width="15.19921875" style="254" customWidth="1"/>
    <col min="12558" max="12800" width="9.296875" style="254"/>
    <col min="12801" max="12801" width="5.796875" style="254" customWidth="1"/>
    <col min="12802" max="12802" width="22.296875" style="254" customWidth="1"/>
    <col min="12803" max="12803" width="13" style="254" customWidth="1"/>
    <col min="12804" max="12804" width="11" style="254" customWidth="1"/>
    <col min="12805" max="12805" width="15.5" style="254" customWidth="1"/>
    <col min="12806" max="12806" width="11.19921875" style="254" customWidth="1"/>
    <col min="12807" max="12807" width="13.296875" style="254" customWidth="1"/>
    <col min="12808" max="12809" width="14" style="254" customWidth="1"/>
    <col min="12810" max="12810" width="13.296875" style="254" customWidth="1"/>
    <col min="12811" max="12811" width="12.296875" style="254" customWidth="1"/>
    <col min="12812" max="12812" width="14.296875" style="254" customWidth="1"/>
    <col min="12813" max="12813" width="15.19921875" style="254" customWidth="1"/>
    <col min="12814" max="13056" width="9.296875" style="254"/>
    <col min="13057" max="13057" width="5.796875" style="254" customWidth="1"/>
    <col min="13058" max="13058" width="22.296875" style="254" customWidth="1"/>
    <col min="13059" max="13059" width="13" style="254" customWidth="1"/>
    <col min="13060" max="13060" width="11" style="254" customWidth="1"/>
    <col min="13061" max="13061" width="15.5" style="254" customWidth="1"/>
    <col min="13062" max="13062" width="11.19921875" style="254" customWidth="1"/>
    <col min="13063" max="13063" width="13.296875" style="254" customWidth="1"/>
    <col min="13064" max="13065" width="14" style="254" customWidth="1"/>
    <col min="13066" max="13066" width="13.296875" style="254" customWidth="1"/>
    <col min="13067" max="13067" width="12.296875" style="254" customWidth="1"/>
    <col min="13068" max="13068" width="14.296875" style="254" customWidth="1"/>
    <col min="13069" max="13069" width="15.19921875" style="254" customWidth="1"/>
    <col min="13070" max="13312" width="9.296875" style="254"/>
    <col min="13313" max="13313" width="5.796875" style="254" customWidth="1"/>
    <col min="13314" max="13314" width="22.296875" style="254" customWidth="1"/>
    <col min="13315" max="13315" width="13" style="254" customWidth="1"/>
    <col min="13316" max="13316" width="11" style="254" customWidth="1"/>
    <col min="13317" max="13317" width="15.5" style="254" customWidth="1"/>
    <col min="13318" max="13318" width="11.19921875" style="254" customWidth="1"/>
    <col min="13319" max="13319" width="13.296875" style="254" customWidth="1"/>
    <col min="13320" max="13321" width="14" style="254" customWidth="1"/>
    <col min="13322" max="13322" width="13.296875" style="254" customWidth="1"/>
    <col min="13323" max="13323" width="12.296875" style="254" customWidth="1"/>
    <col min="13324" max="13324" width="14.296875" style="254" customWidth="1"/>
    <col min="13325" max="13325" width="15.19921875" style="254" customWidth="1"/>
    <col min="13326" max="13568" width="9.296875" style="254"/>
    <col min="13569" max="13569" width="5.796875" style="254" customWidth="1"/>
    <col min="13570" max="13570" width="22.296875" style="254" customWidth="1"/>
    <col min="13571" max="13571" width="13" style="254" customWidth="1"/>
    <col min="13572" max="13572" width="11" style="254" customWidth="1"/>
    <col min="13573" max="13573" width="15.5" style="254" customWidth="1"/>
    <col min="13574" max="13574" width="11.19921875" style="254" customWidth="1"/>
    <col min="13575" max="13575" width="13.296875" style="254" customWidth="1"/>
    <col min="13576" max="13577" width="14" style="254" customWidth="1"/>
    <col min="13578" max="13578" width="13.296875" style="254" customWidth="1"/>
    <col min="13579" max="13579" width="12.296875" style="254" customWidth="1"/>
    <col min="13580" max="13580" width="14.296875" style="254" customWidth="1"/>
    <col min="13581" max="13581" width="15.19921875" style="254" customWidth="1"/>
    <col min="13582" max="13824" width="9.296875" style="254"/>
    <col min="13825" max="13825" width="5.796875" style="254" customWidth="1"/>
    <col min="13826" max="13826" width="22.296875" style="254" customWidth="1"/>
    <col min="13827" max="13827" width="13" style="254" customWidth="1"/>
    <col min="13828" max="13828" width="11" style="254" customWidth="1"/>
    <col min="13829" max="13829" width="15.5" style="254" customWidth="1"/>
    <col min="13830" max="13830" width="11.19921875" style="254" customWidth="1"/>
    <col min="13831" max="13831" width="13.296875" style="254" customWidth="1"/>
    <col min="13832" max="13833" width="14" style="254" customWidth="1"/>
    <col min="13834" max="13834" width="13.296875" style="254" customWidth="1"/>
    <col min="13835" max="13835" width="12.296875" style="254" customWidth="1"/>
    <col min="13836" max="13836" width="14.296875" style="254" customWidth="1"/>
    <col min="13837" max="13837" width="15.19921875" style="254" customWidth="1"/>
    <col min="13838" max="14080" width="9.296875" style="254"/>
    <col min="14081" max="14081" width="5.796875" style="254" customWidth="1"/>
    <col min="14082" max="14082" width="22.296875" style="254" customWidth="1"/>
    <col min="14083" max="14083" width="13" style="254" customWidth="1"/>
    <col min="14084" max="14084" width="11" style="254" customWidth="1"/>
    <col min="14085" max="14085" width="15.5" style="254" customWidth="1"/>
    <col min="14086" max="14086" width="11.19921875" style="254" customWidth="1"/>
    <col min="14087" max="14087" width="13.296875" style="254" customWidth="1"/>
    <col min="14088" max="14089" width="14" style="254" customWidth="1"/>
    <col min="14090" max="14090" width="13.296875" style="254" customWidth="1"/>
    <col min="14091" max="14091" width="12.296875" style="254" customWidth="1"/>
    <col min="14092" max="14092" width="14.296875" style="254" customWidth="1"/>
    <col min="14093" max="14093" width="15.19921875" style="254" customWidth="1"/>
    <col min="14094" max="14336" width="9.296875" style="254"/>
    <col min="14337" max="14337" width="5.796875" style="254" customWidth="1"/>
    <col min="14338" max="14338" width="22.296875" style="254" customWidth="1"/>
    <col min="14339" max="14339" width="13" style="254" customWidth="1"/>
    <col min="14340" max="14340" width="11" style="254" customWidth="1"/>
    <col min="14341" max="14341" width="15.5" style="254" customWidth="1"/>
    <col min="14342" max="14342" width="11.19921875" style="254" customWidth="1"/>
    <col min="14343" max="14343" width="13.296875" style="254" customWidth="1"/>
    <col min="14344" max="14345" width="14" style="254" customWidth="1"/>
    <col min="14346" max="14346" width="13.296875" style="254" customWidth="1"/>
    <col min="14347" max="14347" width="12.296875" style="254" customWidth="1"/>
    <col min="14348" max="14348" width="14.296875" style="254" customWidth="1"/>
    <col min="14349" max="14349" width="15.19921875" style="254" customWidth="1"/>
    <col min="14350" max="14592" width="9.296875" style="254"/>
    <col min="14593" max="14593" width="5.796875" style="254" customWidth="1"/>
    <col min="14594" max="14594" width="22.296875" style="254" customWidth="1"/>
    <col min="14595" max="14595" width="13" style="254" customWidth="1"/>
    <col min="14596" max="14596" width="11" style="254" customWidth="1"/>
    <col min="14597" max="14597" width="15.5" style="254" customWidth="1"/>
    <col min="14598" max="14598" width="11.19921875" style="254" customWidth="1"/>
    <col min="14599" max="14599" width="13.296875" style="254" customWidth="1"/>
    <col min="14600" max="14601" width="14" style="254" customWidth="1"/>
    <col min="14602" max="14602" width="13.296875" style="254" customWidth="1"/>
    <col min="14603" max="14603" width="12.296875" style="254" customWidth="1"/>
    <col min="14604" max="14604" width="14.296875" style="254" customWidth="1"/>
    <col min="14605" max="14605" width="15.19921875" style="254" customWidth="1"/>
    <col min="14606" max="14848" width="9.296875" style="254"/>
    <col min="14849" max="14849" width="5.796875" style="254" customWidth="1"/>
    <col min="14850" max="14850" width="22.296875" style="254" customWidth="1"/>
    <col min="14851" max="14851" width="13" style="254" customWidth="1"/>
    <col min="14852" max="14852" width="11" style="254" customWidth="1"/>
    <col min="14853" max="14853" width="15.5" style="254" customWidth="1"/>
    <col min="14854" max="14854" width="11.19921875" style="254" customWidth="1"/>
    <col min="14855" max="14855" width="13.296875" style="254" customWidth="1"/>
    <col min="14856" max="14857" width="14" style="254" customWidth="1"/>
    <col min="14858" max="14858" width="13.296875" style="254" customWidth="1"/>
    <col min="14859" max="14859" width="12.296875" style="254" customWidth="1"/>
    <col min="14860" max="14860" width="14.296875" style="254" customWidth="1"/>
    <col min="14861" max="14861" width="15.19921875" style="254" customWidth="1"/>
    <col min="14862" max="15104" width="9.296875" style="254"/>
    <col min="15105" max="15105" width="5.796875" style="254" customWidth="1"/>
    <col min="15106" max="15106" width="22.296875" style="254" customWidth="1"/>
    <col min="15107" max="15107" width="13" style="254" customWidth="1"/>
    <col min="15108" max="15108" width="11" style="254" customWidth="1"/>
    <col min="15109" max="15109" width="15.5" style="254" customWidth="1"/>
    <col min="15110" max="15110" width="11.19921875" style="254" customWidth="1"/>
    <col min="15111" max="15111" width="13.296875" style="254" customWidth="1"/>
    <col min="15112" max="15113" width="14" style="254" customWidth="1"/>
    <col min="15114" max="15114" width="13.296875" style="254" customWidth="1"/>
    <col min="15115" max="15115" width="12.296875" style="254" customWidth="1"/>
    <col min="15116" max="15116" width="14.296875" style="254" customWidth="1"/>
    <col min="15117" max="15117" width="15.19921875" style="254" customWidth="1"/>
    <col min="15118" max="15360" width="9.296875" style="254"/>
    <col min="15361" max="15361" width="5.796875" style="254" customWidth="1"/>
    <col min="15362" max="15362" width="22.296875" style="254" customWidth="1"/>
    <col min="15363" max="15363" width="13" style="254" customWidth="1"/>
    <col min="15364" max="15364" width="11" style="254" customWidth="1"/>
    <col min="15365" max="15365" width="15.5" style="254" customWidth="1"/>
    <col min="15366" max="15366" width="11.19921875" style="254" customWidth="1"/>
    <col min="15367" max="15367" width="13.296875" style="254" customWidth="1"/>
    <col min="15368" max="15369" width="14" style="254" customWidth="1"/>
    <col min="15370" max="15370" width="13.296875" style="254" customWidth="1"/>
    <col min="15371" max="15371" width="12.296875" style="254" customWidth="1"/>
    <col min="15372" max="15372" width="14.296875" style="254" customWidth="1"/>
    <col min="15373" max="15373" width="15.19921875" style="254" customWidth="1"/>
    <col min="15374" max="15616" width="9.296875" style="254"/>
    <col min="15617" max="15617" width="5.796875" style="254" customWidth="1"/>
    <col min="15618" max="15618" width="22.296875" style="254" customWidth="1"/>
    <col min="15619" max="15619" width="13" style="254" customWidth="1"/>
    <col min="15620" max="15620" width="11" style="254" customWidth="1"/>
    <col min="15621" max="15621" width="15.5" style="254" customWidth="1"/>
    <col min="15622" max="15622" width="11.19921875" style="254" customWidth="1"/>
    <col min="15623" max="15623" width="13.296875" style="254" customWidth="1"/>
    <col min="15624" max="15625" width="14" style="254" customWidth="1"/>
    <col min="15626" max="15626" width="13.296875" style="254" customWidth="1"/>
    <col min="15627" max="15627" width="12.296875" style="254" customWidth="1"/>
    <col min="15628" max="15628" width="14.296875" style="254" customWidth="1"/>
    <col min="15629" max="15629" width="15.19921875" style="254" customWidth="1"/>
    <col min="15630" max="15872" width="9.296875" style="254"/>
    <col min="15873" max="15873" width="5.796875" style="254" customWidth="1"/>
    <col min="15874" max="15874" width="22.296875" style="254" customWidth="1"/>
    <col min="15875" max="15875" width="13" style="254" customWidth="1"/>
    <col min="15876" max="15876" width="11" style="254" customWidth="1"/>
    <col min="15877" max="15877" width="15.5" style="254" customWidth="1"/>
    <col min="15878" max="15878" width="11.19921875" style="254" customWidth="1"/>
    <col min="15879" max="15879" width="13.296875" style="254" customWidth="1"/>
    <col min="15880" max="15881" width="14" style="254" customWidth="1"/>
    <col min="15882" max="15882" width="13.296875" style="254" customWidth="1"/>
    <col min="15883" max="15883" width="12.296875" style="254" customWidth="1"/>
    <col min="15884" max="15884" width="14.296875" style="254" customWidth="1"/>
    <col min="15885" max="15885" width="15.19921875" style="254" customWidth="1"/>
    <col min="15886" max="16128" width="9.296875" style="254"/>
    <col min="16129" max="16129" width="5.796875" style="254" customWidth="1"/>
    <col min="16130" max="16130" width="22.296875" style="254" customWidth="1"/>
    <col min="16131" max="16131" width="13" style="254" customWidth="1"/>
    <col min="16132" max="16132" width="11" style="254" customWidth="1"/>
    <col min="16133" max="16133" width="15.5" style="254" customWidth="1"/>
    <col min="16134" max="16134" width="11.19921875" style="254" customWidth="1"/>
    <col min="16135" max="16135" width="13.296875" style="254" customWidth="1"/>
    <col min="16136" max="16137" width="14" style="254" customWidth="1"/>
    <col min="16138" max="16138" width="13.296875" style="254" customWidth="1"/>
    <col min="16139" max="16139" width="12.296875" style="254" customWidth="1"/>
    <col min="16140" max="16140" width="14.296875" style="254" customWidth="1"/>
    <col min="16141" max="16141" width="15.19921875" style="254" customWidth="1"/>
    <col min="16142" max="16384" width="9.296875" style="254"/>
  </cols>
  <sheetData>
    <row r="1" spans="1:13" ht="41.25" customHeight="1" x14ac:dyDescent="0.3">
      <c r="A1" s="757" t="s">
        <v>474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</row>
    <row r="2" spans="1:13" ht="14" x14ac:dyDescent="0.3">
      <c r="A2" s="255"/>
      <c r="B2" s="253"/>
      <c r="C2" s="257"/>
      <c r="D2" s="258" t="s">
        <v>205</v>
      </c>
      <c r="E2" s="256" t="s">
        <v>207</v>
      </c>
      <c r="F2" s="256" t="s">
        <v>209</v>
      </c>
      <c r="G2" s="256" t="s">
        <v>211</v>
      </c>
      <c r="H2" s="256" t="s">
        <v>213</v>
      </c>
      <c r="I2" s="256" t="s">
        <v>232</v>
      </c>
      <c r="J2" s="254" t="s">
        <v>234</v>
      </c>
      <c r="K2" s="759" t="s">
        <v>1</v>
      </c>
      <c r="L2" s="759"/>
      <c r="M2" s="759"/>
    </row>
    <row r="3" spans="1:13" s="251" customFormat="1" ht="75.75" customHeight="1" x14ac:dyDescent="0.3">
      <c r="A3" s="499" t="s">
        <v>407</v>
      </c>
      <c r="B3" s="499" t="s">
        <v>454</v>
      </c>
      <c r="C3" s="499" t="s">
        <v>455</v>
      </c>
      <c r="D3" s="499" t="s">
        <v>465</v>
      </c>
      <c r="E3" s="499" t="s">
        <v>206</v>
      </c>
      <c r="F3" s="499" t="s">
        <v>466</v>
      </c>
      <c r="G3" s="500" t="s">
        <v>210</v>
      </c>
      <c r="H3" s="500" t="s">
        <v>467</v>
      </c>
      <c r="I3" s="500" t="s">
        <v>231</v>
      </c>
      <c r="J3" s="523" t="s">
        <v>233</v>
      </c>
      <c r="K3" s="259" t="s">
        <v>235</v>
      </c>
      <c r="L3" s="523" t="s">
        <v>468</v>
      </c>
      <c r="M3" s="259" t="s">
        <v>469</v>
      </c>
    </row>
    <row r="4" spans="1:13" ht="65.25" customHeight="1" x14ac:dyDescent="0.3">
      <c r="A4" s="502" t="s">
        <v>10</v>
      </c>
      <c r="B4" s="515" t="s">
        <v>461</v>
      </c>
      <c r="C4" s="504" t="s">
        <v>462</v>
      </c>
      <c r="D4" s="524">
        <v>52821164</v>
      </c>
      <c r="E4" s="525">
        <v>11900245</v>
      </c>
      <c r="F4" s="525">
        <v>67877431</v>
      </c>
      <c r="G4" s="526"/>
      <c r="H4" s="526">
        <v>1300000</v>
      </c>
      <c r="I4" s="525"/>
      <c r="J4" s="527"/>
      <c r="K4" s="527"/>
      <c r="L4" s="527"/>
      <c r="M4" s="528">
        <f>SUM(D4:L4)</f>
        <v>133898840</v>
      </c>
    </row>
    <row r="5" spans="1:13" ht="65.25" customHeight="1" x14ac:dyDescent="0.3">
      <c r="A5" s="502" t="s">
        <v>13</v>
      </c>
      <c r="B5" s="515" t="s">
        <v>860</v>
      </c>
      <c r="C5" s="504"/>
      <c r="D5" s="524">
        <f>D6-D4</f>
        <v>3825843</v>
      </c>
      <c r="E5" s="524">
        <f t="shared" ref="E5:L5" si="0">E6-E4</f>
        <v>798657</v>
      </c>
      <c r="F5" s="524">
        <f t="shared" si="0"/>
        <v>-5388797</v>
      </c>
      <c r="G5" s="524">
        <f t="shared" si="0"/>
        <v>0</v>
      </c>
      <c r="H5" s="524">
        <f t="shared" si="0"/>
        <v>46473259</v>
      </c>
      <c r="I5" s="524">
        <f t="shared" si="0"/>
        <v>2160000</v>
      </c>
      <c r="J5" s="524">
        <f t="shared" si="0"/>
        <v>0</v>
      </c>
      <c r="K5" s="524">
        <f t="shared" si="0"/>
        <v>0</v>
      </c>
      <c r="L5" s="524">
        <f t="shared" si="0"/>
        <v>0</v>
      </c>
      <c r="M5" s="528">
        <f>SUM(D5:L5)</f>
        <v>47868962</v>
      </c>
    </row>
    <row r="6" spans="1:13" s="252" customFormat="1" ht="65.25" customHeight="1" x14ac:dyDescent="0.35">
      <c r="A6" s="499" t="s">
        <v>16</v>
      </c>
      <c r="B6" s="516" t="s">
        <v>859</v>
      </c>
      <c r="C6" s="510"/>
      <c r="D6" s="529">
        <v>56647007</v>
      </c>
      <c r="E6" s="530">
        <v>12698902</v>
      </c>
      <c r="F6" s="530">
        <v>62488634</v>
      </c>
      <c r="G6" s="531"/>
      <c r="H6" s="531">
        <v>47773259</v>
      </c>
      <c r="I6" s="530">
        <v>2160000</v>
      </c>
      <c r="J6" s="532"/>
      <c r="K6" s="532"/>
      <c r="L6" s="532"/>
      <c r="M6" s="533">
        <f>SUM(D6:L6)</f>
        <v>181767802</v>
      </c>
    </row>
    <row r="7" spans="1:13" ht="36.75" customHeight="1" x14ac:dyDescent="0.3">
      <c r="A7" s="502" t="s">
        <v>19</v>
      </c>
      <c r="B7" s="515" t="s">
        <v>813</v>
      </c>
      <c r="C7" s="504" t="s">
        <v>781</v>
      </c>
      <c r="D7" s="524"/>
      <c r="E7" s="525"/>
      <c r="F7" s="525"/>
      <c r="G7" s="526"/>
      <c r="H7" s="526">
        <v>524700</v>
      </c>
      <c r="I7" s="525"/>
      <c r="J7" s="527"/>
      <c r="K7" s="527"/>
      <c r="L7" s="527"/>
      <c r="M7" s="528">
        <f t="shared" ref="M7:M155" si="1">SUM(D7:L7)</f>
        <v>524700</v>
      </c>
    </row>
    <row r="8" spans="1:13" ht="36.75" customHeight="1" x14ac:dyDescent="0.3">
      <c r="A8" s="502" t="s">
        <v>22</v>
      </c>
      <c r="B8" s="515" t="s">
        <v>860</v>
      </c>
      <c r="C8" s="504"/>
      <c r="D8" s="524"/>
      <c r="E8" s="525"/>
      <c r="F8" s="525"/>
      <c r="G8" s="526"/>
      <c r="H8" s="526"/>
      <c r="I8" s="525"/>
      <c r="J8" s="527"/>
      <c r="K8" s="527"/>
      <c r="L8" s="527"/>
      <c r="M8" s="528"/>
    </row>
    <row r="9" spans="1:13" s="252" customFormat="1" ht="36.75" customHeight="1" x14ac:dyDescent="0.35">
      <c r="A9" s="499" t="s">
        <v>25</v>
      </c>
      <c r="B9" s="516" t="s">
        <v>859</v>
      </c>
      <c r="C9" s="510"/>
      <c r="D9" s="529"/>
      <c r="E9" s="530"/>
      <c r="F9" s="530"/>
      <c r="G9" s="531"/>
      <c r="H9" s="531">
        <v>524700</v>
      </c>
      <c r="I9" s="530"/>
      <c r="J9" s="532"/>
      <c r="K9" s="532"/>
      <c r="L9" s="532"/>
      <c r="M9" s="533">
        <f>SUM(D9:L9)</f>
        <v>524700</v>
      </c>
    </row>
    <row r="10" spans="1:13" ht="51" customHeight="1" x14ac:dyDescent="0.3">
      <c r="A10" s="502" t="s">
        <v>28</v>
      </c>
      <c r="B10" s="515" t="s">
        <v>759</v>
      </c>
      <c r="C10" s="504" t="s">
        <v>758</v>
      </c>
      <c r="D10" s="524"/>
      <c r="E10" s="525"/>
      <c r="F10" s="525">
        <v>17202450</v>
      </c>
      <c r="G10" s="526"/>
      <c r="H10" s="526"/>
      <c r="I10" s="525">
        <v>42320000</v>
      </c>
      <c r="J10" s="527"/>
      <c r="K10" s="527"/>
      <c r="L10" s="527"/>
      <c r="M10" s="528">
        <f t="shared" si="1"/>
        <v>59522450</v>
      </c>
    </row>
    <row r="11" spans="1:13" ht="51" customHeight="1" x14ac:dyDescent="0.3">
      <c r="A11" s="502" t="s">
        <v>31</v>
      </c>
      <c r="B11" s="515" t="s">
        <v>860</v>
      </c>
      <c r="C11" s="504"/>
      <c r="D11" s="524"/>
      <c r="E11" s="525"/>
      <c r="F11" s="525">
        <f>F12-F10</f>
        <v>-2669917</v>
      </c>
      <c r="G11" s="525">
        <f t="shared" ref="G11:L11" si="2">G12-G10</f>
        <v>0</v>
      </c>
      <c r="H11" s="525">
        <f t="shared" si="2"/>
        <v>2680000</v>
      </c>
      <c r="I11" s="525">
        <f t="shared" si="2"/>
        <v>0</v>
      </c>
      <c r="J11" s="525">
        <f t="shared" si="2"/>
        <v>0</v>
      </c>
      <c r="K11" s="525">
        <f t="shared" si="2"/>
        <v>0</v>
      </c>
      <c r="L11" s="525">
        <f t="shared" si="2"/>
        <v>0</v>
      </c>
      <c r="M11" s="528">
        <f t="shared" si="1"/>
        <v>10083</v>
      </c>
    </row>
    <row r="12" spans="1:13" s="252" customFormat="1" ht="51" customHeight="1" x14ac:dyDescent="0.35">
      <c r="A12" s="499" t="s">
        <v>34</v>
      </c>
      <c r="B12" s="516" t="s">
        <v>859</v>
      </c>
      <c r="C12" s="510"/>
      <c r="D12" s="529"/>
      <c r="E12" s="530"/>
      <c r="F12" s="530">
        <v>14532533</v>
      </c>
      <c r="G12" s="531"/>
      <c r="H12" s="531">
        <v>2680000</v>
      </c>
      <c r="I12" s="530">
        <v>42320000</v>
      </c>
      <c r="J12" s="532"/>
      <c r="K12" s="532"/>
      <c r="L12" s="532"/>
      <c r="M12" s="533">
        <f>SUM(D12:L12)</f>
        <v>59532533</v>
      </c>
    </row>
    <row r="13" spans="1:13" ht="39.75" customHeight="1" x14ac:dyDescent="0.3">
      <c r="A13" s="502" t="s">
        <v>37</v>
      </c>
      <c r="B13" s="515" t="s">
        <v>814</v>
      </c>
      <c r="C13" s="504" t="s">
        <v>782</v>
      </c>
      <c r="D13" s="505">
        <v>4800000</v>
      </c>
      <c r="E13" s="506">
        <v>1544800</v>
      </c>
      <c r="F13" s="506">
        <v>434950</v>
      </c>
      <c r="G13" s="507"/>
      <c r="H13" s="507"/>
      <c r="I13" s="506"/>
      <c r="J13" s="534"/>
      <c r="K13" s="534"/>
      <c r="L13" s="534"/>
      <c r="M13" s="528">
        <f t="shared" si="1"/>
        <v>6779750</v>
      </c>
    </row>
    <row r="14" spans="1:13" ht="39.75" customHeight="1" x14ac:dyDescent="0.3">
      <c r="A14" s="502" t="s">
        <v>39</v>
      </c>
      <c r="B14" s="515" t="s">
        <v>860</v>
      </c>
      <c r="C14" s="504"/>
      <c r="D14" s="505"/>
      <c r="E14" s="506"/>
      <c r="F14" s="506"/>
      <c r="G14" s="507"/>
      <c r="H14" s="507"/>
      <c r="I14" s="506"/>
      <c r="J14" s="534"/>
      <c r="K14" s="534"/>
      <c r="L14" s="534"/>
      <c r="M14" s="528"/>
    </row>
    <row r="15" spans="1:13" s="252" customFormat="1" ht="39.75" customHeight="1" x14ac:dyDescent="0.35">
      <c r="A15" s="499" t="s">
        <v>41</v>
      </c>
      <c r="B15" s="516" t="s">
        <v>859</v>
      </c>
      <c r="C15" s="510"/>
      <c r="D15" s="511">
        <v>4800000</v>
      </c>
      <c r="E15" s="512">
        <v>1544800</v>
      </c>
      <c r="F15" s="512">
        <v>434950</v>
      </c>
      <c r="G15" s="513"/>
      <c r="H15" s="513"/>
      <c r="I15" s="512"/>
      <c r="J15" s="535"/>
      <c r="K15" s="535"/>
      <c r="L15" s="535"/>
      <c r="M15" s="533">
        <f>SUM(D15:L15)</f>
        <v>6779750</v>
      </c>
    </row>
    <row r="16" spans="1:13" ht="39" customHeight="1" x14ac:dyDescent="0.3">
      <c r="A16" s="502" t="s">
        <v>43</v>
      </c>
      <c r="B16" s="515" t="s">
        <v>761</v>
      </c>
      <c r="C16" s="504" t="s">
        <v>760</v>
      </c>
      <c r="D16" s="505"/>
      <c r="E16" s="506"/>
      <c r="F16" s="506"/>
      <c r="G16" s="507"/>
      <c r="H16" s="507">
        <f>'9.sz.mell.'!D86</f>
        <v>11554719</v>
      </c>
      <c r="I16" s="506"/>
      <c r="J16" s="534"/>
      <c r="K16" s="534"/>
      <c r="L16" s="534">
        <f>'9.sz.mell.'!D109</f>
        <v>30364900</v>
      </c>
      <c r="M16" s="528">
        <f t="shared" si="1"/>
        <v>41919619</v>
      </c>
    </row>
    <row r="17" spans="1:13" ht="39" customHeight="1" x14ac:dyDescent="0.3">
      <c r="A17" s="502" t="s">
        <v>45</v>
      </c>
      <c r="B17" s="515" t="s">
        <v>860</v>
      </c>
      <c r="C17" s="504"/>
      <c r="D17" s="505"/>
      <c r="E17" s="506"/>
      <c r="F17" s="506"/>
      <c r="G17" s="507"/>
      <c r="H17" s="507">
        <f>H18-H16</f>
        <v>2887042</v>
      </c>
      <c r="I17" s="506"/>
      <c r="J17" s="534"/>
      <c r="K17" s="534"/>
      <c r="L17" s="534"/>
      <c r="M17" s="528"/>
    </row>
    <row r="18" spans="1:13" s="252" customFormat="1" ht="39" customHeight="1" x14ac:dyDescent="0.35">
      <c r="A18" s="499" t="s">
        <v>47</v>
      </c>
      <c r="B18" s="516" t="s">
        <v>859</v>
      </c>
      <c r="C18" s="510"/>
      <c r="D18" s="511"/>
      <c r="E18" s="512"/>
      <c r="F18" s="512"/>
      <c r="G18" s="513"/>
      <c r="H18" s="513">
        <v>14441761</v>
      </c>
      <c r="I18" s="512"/>
      <c r="J18" s="535"/>
      <c r="K18" s="535"/>
      <c r="L18" s="535">
        <v>30364900</v>
      </c>
      <c r="M18" s="533">
        <f>SUM(D18:L18)</f>
        <v>44806661</v>
      </c>
    </row>
    <row r="19" spans="1:13" ht="34.5" customHeight="1" x14ac:dyDescent="0.3">
      <c r="A19" s="502" t="s">
        <v>49</v>
      </c>
      <c r="B19" s="515" t="s">
        <v>854</v>
      </c>
      <c r="C19" s="504" t="s">
        <v>464</v>
      </c>
      <c r="D19" s="505"/>
      <c r="E19" s="506"/>
      <c r="F19" s="506"/>
      <c r="G19" s="507"/>
      <c r="H19" s="507">
        <f>'9.sz.mell.'!D89</f>
        <v>435516731</v>
      </c>
      <c r="I19" s="506"/>
      <c r="J19" s="534"/>
      <c r="K19" s="534"/>
      <c r="L19" s="534">
        <v>300546462</v>
      </c>
      <c r="M19" s="528">
        <f t="shared" si="1"/>
        <v>736063193</v>
      </c>
    </row>
    <row r="20" spans="1:13" ht="34.5" customHeight="1" x14ac:dyDescent="0.3">
      <c r="A20" s="502" t="s">
        <v>51</v>
      </c>
      <c r="B20" s="515" t="s">
        <v>860</v>
      </c>
      <c r="C20" s="504"/>
      <c r="D20" s="505"/>
      <c r="E20" s="506"/>
      <c r="F20" s="506"/>
      <c r="G20" s="507"/>
      <c r="H20" s="507">
        <f>H21-H19</f>
        <v>25844448</v>
      </c>
      <c r="I20" s="507">
        <f t="shared" ref="I20:K20" si="3">I21-I19</f>
        <v>0</v>
      </c>
      <c r="J20" s="507">
        <f t="shared" si="3"/>
        <v>0</v>
      </c>
      <c r="K20" s="507">
        <f t="shared" si="3"/>
        <v>0</v>
      </c>
      <c r="L20" s="507">
        <v>3148725</v>
      </c>
      <c r="M20" s="528">
        <f t="shared" si="1"/>
        <v>28993173</v>
      </c>
    </row>
    <row r="21" spans="1:13" s="252" customFormat="1" ht="34.5" customHeight="1" x14ac:dyDescent="0.35">
      <c r="A21" s="499" t="s">
        <v>54</v>
      </c>
      <c r="B21" s="516" t="s">
        <v>859</v>
      </c>
      <c r="C21" s="510"/>
      <c r="D21" s="511"/>
      <c r="E21" s="512"/>
      <c r="F21" s="512"/>
      <c r="G21" s="513"/>
      <c r="H21" s="513">
        <v>461361179</v>
      </c>
      <c r="I21" s="512"/>
      <c r="J21" s="535"/>
      <c r="K21" s="535"/>
      <c r="L21" s="535">
        <v>303695187</v>
      </c>
      <c r="M21" s="533">
        <f t="shared" si="1"/>
        <v>765056366</v>
      </c>
    </row>
    <row r="22" spans="1:13" ht="34.5" customHeight="1" x14ac:dyDescent="0.3">
      <c r="A22" s="502" t="s">
        <v>57</v>
      </c>
      <c r="B22" s="503" t="s">
        <v>747</v>
      </c>
      <c r="C22" s="504" t="s">
        <v>746</v>
      </c>
      <c r="D22" s="524">
        <v>19823393</v>
      </c>
      <c r="E22" s="525">
        <v>2180573</v>
      </c>
      <c r="F22" s="525"/>
      <c r="G22" s="526"/>
      <c r="H22" s="526">
        <v>11420528</v>
      </c>
      <c r="I22" s="525"/>
      <c r="J22" s="527"/>
      <c r="K22" s="527"/>
      <c r="L22" s="527"/>
      <c r="M22" s="528">
        <f t="shared" si="1"/>
        <v>33424494</v>
      </c>
    </row>
    <row r="23" spans="1:13" ht="34.5" customHeight="1" x14ac:dyDescent="0.3">
      <c r="A23" s="499" t="s">
        <v>60</v>
      </c>
      <c r="B23" s="503" t="s">
        <v>860</v>
      </c>
      <c r="C23" s="504"/>
      <c r="D23" s="524">
        <f>D24-D22</f>
        <v>12485215</v>
      </c>
      <c r="E23" s="524">
        <f t="shared" ref="E23:L23" si="4">E24-E22</f>
        <v>1372674</v>
      </c>
      <c r="F23" s="524">
        <f t="shared" si="4"/>
        <v>1000</v>
      </c>
      <c r="G23" s="524">
        <f t="shared" si="4"/>
        <v>0</v>
      </c>
      <c r="H23" s="524">
        <f t="shared" si="4"/>
        <v>0</v>
      </c>
      <c r="I23" s="524">
        <f t="shared" si="4"/>
        <v>0</v>
      </c>
      <c r="J23" s="524">
        <f t="shared" si="4"/>
        <v>0</v>
      </c>
      <c r="K23" s="524">
        <f t="shared" si="4"/>
        <v>0</v>
      </c>
      <c r="L23" s="524">
        <f t="shared" si="4"/>
        <v>0</v>
      </c>
      <c r="M23" s="528">
        <f t="shared" si="1"/>
        <v>13858889</v>
      </c>
    </row>
    <row r="24" spans="1:13" s="252" customFormat="1" ht="34.5" customHeight="1" x14ac:dyDescent="0.35">
      <c r="A24" s="502" t="s">
        <v>62</v>
      </c>
      <c r="B24" s="509" t="s">
        <v>859</v>
      </c>
      <c r="C24" s="510"/>
      <c r="D24" s="529">
        <v>32308608</v>
      </c>
      <c r="E24" s="530">
        <v>3553247</v>
      </c>
      <c r="F24" s="530">
        <v>1000</v>
      </c>
      <c r="G24" s="531"/>
      <c r="H24" s="531">
        <v>11420528</v>
      </c>
      <c r="I24" s="530"/>
      <c r="J24" s="532"/>
      <c r="K24" s="532"/>
      <c r="L24" s="532"/>
      <c r="M24" s="533">
        <f>SUM(D24:L24)</f>
        <v>47283383</v>
      </c>
    </row>
    <row r="25" spans="1:13" ht="34.5" customHeight="1" x14ac:dyDescent="0.3">
      <c r="A25" s="499" t="s">
        <v>64</v>
      </c>
      <c r="B25" s="503" t="s">
        <v>763</v>
      </c>
      <c r="C25" s="504" t="s">
        <v>762</v>
      </c>
      <c r="D25" s="524">
        <f>65351496-19823393</f>
        <v>45528103</v>
      </c>
      <c r="E25" s="525">
        <f>12621075-2180573</f>
        <v>10440502</v>
      </c>
      <c r="F25" s="525">
        <v>12918956</v>
      </c>
      <c r="G25" s="526"/>
      <c r="H25" s="526">
        <v>11420529</v>
      </c>
      <c r="I25" s="525"/>
      <c r="J25" s="527"/>
      <c r="K25" s="527"/>
      <c r="L25" s="534"/>
      <c r="M25" s="528">
        <f t="shared" si="1"/>
        <v>80308090</v>
      </c>
    </row>
    <row r="26" spans="1:13" ht="34.5" customHeight="1" x14ac:dyDescent="0.3">
      <c r="A26" s="502" t="s">
        <v>66</v>
      </c>
      <c r="B26" s="503" t="s">
        <v>860</v>
      </c>
      <c r="C26" s="504"/>
      <c r="D26" s="524">
        <f>D27-D25</f>
        <v>155303324</v>
      </c>
      <c r="E26" s="524">
        <f t="shared" ref="E26:L26" si="5">E27-E25</f>
        <v>17083366</v>
      </c>
      <c r="F26" s="524">
        <f t="shared" si="5"/>
        <v>55500795</v>
      </c>
      <c r="G26" s="524">
        <f t="shared" si="5"/>
        <v>0</v>
      </c>
      <c r="H26" s="524">
        <f t="shared" si="5"/>
        <v>0</v>
      </c>
      <c r="I26" s="524">
        <f t="shared" si="5"/>
        <v>16904403</v>
      </c>
      <c r="J26" s="524">
        <f t="shared" si="5"/>
        <v>0</v>
      </c>
      <c r="K26" s="524">
        <f t="shared" si="5"/>
        <v>0</v>
      </c>
      <c r="L26" s="524">
        <f t="shared" si="5"/>
        <v>0</v>
      </c>
      <c r="M26" s="528">
        <f t="shared" si="1"/>
        <v>244791888</v>
      </c>
    </row>
    <row r="27" spans="1:13" s="252" customFormat="1" ht="34.5" customHeight="1" x14ac:dyDescent="0.35">
      <c r="A27" s="499" t="s">
        <v>68</v>
      </c>
      <c r="B27" s="509" t="s">
        <v>859</v>
      </c>
      <c r="C27" s="510"/>
      <c r="D27" s="529">
        <v>200831427</v>
      </c>
      <c r="E27" s="530">
        <v>27523868</v>
      </c>
      <c r="F27" s="530">
        <v>68419751</v>
      </c>
      <c r="G27" s="531"/>
      <c r="H27" s="531">
        <v>11420529</v>
      </c>
      <c r="I27" s="530">
        <v>16904403</v>
      </c>
      <c r="J27" s="532"/>
      <c r="K27" s="532"/>
      <c r="L27" s="532"/>
      <c r="M27" s="533">
        <f>SUM(D27:L27)</f>
        <v>325099978</v>
      </c>
    </row>
    <row r="28" spans="1:13" s="252" customFormat="1" ht="36" customHeight="1" x14ac:dyDescent="0.35">
      <c r="A28" s="502" t="s">
        <v>70</v>
      </c>
      <c r="B28" s="515" t="s">
        <v>815</v>
      </c>
      <c r="C28" s="504" t="s">
        <v>770</v>
      </c>
      <c r="D28" s="524"/>
      <c r="E28" s="524"/>
      <c r="F28" s="524">
        <v>6096000</v>
      </c>
      <c r="G28" s="524"/>
      <c r="H28" s="524"/>
      <c r="I28" s="524"/>
      <c r="J28" s="524">
        <v>50000000</v>
      </c>
      <c r="K28" s="524"/>
      <c r="L28" s="524"/>
      <c r="M28" s="528">
        <f t="shared" si="1"/>
        <v>56096000</v>
      </c>
    </row>
    <row r="29" spans="1:13" ht="34.5" customHeight="1" x14ac:dyDescent="0.3">
      <c r="A29" s="499" t="s">
        <v>72</v>
      </c>
      <c r="B29" s="503" t="s">
        <v>860</v>
      </c>
      <c r="C29" s="504"/>
      <c r="D29" s="524"/>
      <c r="E29" s="525"/>
      <c r="F29" s="525">
        <f>F30-F28</f>
        <v>513497</v>
      </c>
      <c r="G29" s="525">
        <f t="shared" ref="G29:L29" si="6">G30-G28</f>
        <v>0</v>
      </c>
      <c r="H29" s="525">
        <f t="shared" si="6"/>
        <v>0</v>
      </c>
      <c r="I29" s="525">
        <f t="shared" si="6"/>
        <v>5684936</v>
      </c>
      <c r="J29" s="525">
        <f t="shared" si="6"/>
        <v>-3000000</v>
      </c>
      <c r="K29" s="525">
        <f t="shared" si="6"/>
        <v>0</v>
      </c>
      <c r="L29" s="525">
        <f t="shared" si="6"/>
        <v>0</v>
      </c>
      <c r="M29" s="528">
        <f t="shared" si="1"/>
        <v>3198433</v>
      </c>
    </row>
    <row r="30" spans="1:13" s="252" customFormat="1" ht="34.5" customHeight="1" x14ac:dyDescent="0.35">
      <c r="A30" s="502" t="s">
        <v>75</v>
      </c>
      <c r="B30" s="509" t="s">
        <v>859</v>
      </c>
      <c r="C30" s="510"/>
      <c r="D30" s="529"/>
      <c r="E30" s="530"/>
      <c r="F30" s="530">
        <v>6609497</v>
      </c>
      <c r="G30" s="531"/>
      <c r="H30" s="531"/>
      <c r="I30" s="530">
        <v>5684936</v>
      </c>
      <c r="J30" s="532">
        <v>47000000</v>
      </c>
      <c r="K30" s="532"/>
      <c r="L30" s="532"/>
      <c r="M30" s="533">
        <f>SUM(D30:L30)</f>
        <v>59294433</v>
      </c>
    </row>
    <row r="31" spans="1:13" ht="34.5" customHeight="1" x14ac:dyDescent="0.3">
      <c r="A31" s="502" t="s">
        <v>78</v>
      </c>
      <c r="B31" s="503" t="s">
        <v>950</v>
      </c>
      <c r="C31" s="504" t="s">
        <v>873</v>
      </c>
      <c r="D31" s="524"/>
      <c r="E31" s="525"/>
      <c r="F31" s="525"/>
      <c r="G31" s="526"/>
      <c r="H31" s="526"/>
      <c r="I31" s="525"/>
      <c r="J31" s="527"/>
      <c r="K31" s="527"/>
      <c r="L31" s="527"/>
      <c r="M31" s="533">
        <f t="shared" ref="M31:M33" si="7">SUM(D31:L31)</f>
        <v>0</v>
      </c>
    </row>
    <row r="32" spans="1:13" ht="34.5" customHeight="1" x14ac:dyDescent="0.3">
      <c r="A32" s="499" t="s">
        <v>81</v>
      </c>
      <c r="B32" s="503" t="s">
        <v>860</v>
      </c>
      <c r="C32" s="504"/>
      <c r="D32" s="524"/>
      <c r="E32" s="525"/>
      <c r="F32" s="525">
        <v>448010250</v>
      </c>
      <c r="G32" s="526"/>
      <c r="H32" s="526"/>
      <c r="I32" s="525"/>
      <c r="J32" s="527"/>
      <c r="K32" s="527"/>
      <c r="L32" s="527"/>
      <c r="M32" s="528">
        <f t="shared" si="7"/>
        <v>448010250</v>
      </c>
    </row>
    <row r="33" spans="1:13" s="252" customFormat="1" ht="34.5" customHeight="1" x14ac:dyDescent="0.35">
      <c r="A33" s="502" t="s">
        <v>83</v>
      </c>
      <c r="B33" s="509" t="s">
        <v>859</v>
      </c>
      <c r="C33" s="510"/>
      <c r="D33" s="529"/>
      <c r="E33" s="530"/>
      <c r="F33" s="530">
        <v>448010250</v>
      </c>
      <c r="G33" s="531"/>
      <c r="H33" s="531"/>
      <c r="I33" s="530"/>
      <c r="J33" s="532"/>
      <c r="K33" s="532"/>
      <c r="L33" s="532"/>
      <c r="M33" s="533">
        <f t="shared" si="7"/>
        <v>448010250</v>
      </c>
    </row>
    <row r="34" spans="1:13" ht="38.25" customHeight="1" x14ac:dyDescent="0.3">
      <c r="A34" s="502" t="s">
        <v>85</v>
      </c>
      <c r="B34" s="515" t="s">
        <v>816</v>
      </c>
      <c r="C34" s="504" t="s">
        <v>783</v>
      </c>
      <c r="D34" s="524"/>
      <c r="E34" s="524"/>
      <c r="F34" s="524"/>
      <c r="G34" s="524"/>
      <c r="H34" s="524">
        <v>27862750</v>
      </c>
      <c r="I34" s="524"/>
      <c r="J34" s="524"/>
      <c r="K34" s="524"/>
      <c r="L34" s="524"/>
      <c r="M34" s="528">
        <f t="shared" si="1"/>
        <v>27862750</v>
      </c>
    </row>
    <row r="35" spans="1:13" ht="34.5" customHeight="1" x14ac:dyDescent="0.3">
      <c r="A35" s="499" t="s">
        <v>87</v>
      </c>
      <c r="B35" s="503" t="s">
        <v>860</v>
      </c>
      <c r="C35" s="504"/>
      <c r="D35" s="524"/>
      <c r="E35" s="525"/>
      <c r="F35" s="525"/>
      <c r="G35" s="526"/>
      <c r="H35" s="526"/>
      <c r="I35" s="525"/>
      <c r="J35" s="527"/>
      <c r="K35" s="527"/>
      <c r="L35" s="527"/>
      <c r="M35" s="528">
        <f t="shared" si="1"/>
        <v>0</v>
      </c>
    </row>
    <row r="36" spans="1:13" s="252" customFormat="1" ht="34.5" customHeight="1" x14ac:dyDescent="0.35">
      <c r="A36" s="502" t="s">
        <v>90</v>
      </c>
      <c r="B36" s="509" t="s">
        <v>859</v>
      </c>
      <c r="C36" s="510"/>
      <c r="D36" s="529"/>
      <c r="E36" s="530"/>
      <c r="F36" s="530"/>
      <c r="G36" s="531"/>
      <c r="H36" s="531">
        <v>27862750</v>
      </c>
      <c r="I36" s="530"/>
      <c r="J36" s="532"/>
      <c r="K36" s="532"/>
      <c r="L36" s="532"/>
      <c r="M36" s="533">
        <f>SUM(D36:L36)</f>
        <v>27862750</v>
      </c>
    </row>
    <row r="37" spans="1:13" ht="36" customHeight="1" x14ac:dyDescent="0.3">
      <c r="A37" s="502" t="s">
        <v>92</v>
      </c>
      <c r="B37" s="515" t="s">
        <v>817</v>
      </c>
      <c r="C37" s="504" t="s">
        <v>784</v>
      </c>
      <c r="D37" s="524"/>
      <c r="E37" s="524"/>
      <c r="F37" s="524"/>
      <c r="G37" s="524"/>
      <c r="H37" s="524"/>
      <c r="I37" s="524"/>
      <c r="J37" s="524">
        <v>16951029</v>
      </c>
      <c r="K37" s="524"/>
      <c r="L37" s="524"/>
      <c r="M37" s="528">
        <f t="shared" si="1"/>
        <v>16951029</v>
      </c>
    </row>
    <row r="38" spans="1:13" ht="34.5" customHeight="1" x14ac:dyDescent="0.3">
      <c r="A38" s="499" t="s">
        <v>94</v>
      </c>
      <c r="B38" s="503" t="s">
        <v>860</v>
      </c>
      <c r="C38" s="504"/>
      <c r="D38" s="524"/>
      <c r="E38" s="525"/>
      <c r="F38" s="525">
        <v>213740</v>
      </c>
      <c r="G38" s="526"/>
      <c r="H38" s="526"/>
      <c r="I38" s="525"/>
      <c r="J38" s="527"/>
      <c r="K38" s="527"/>
      <c r="L38" s="527"/>
      <c r="M38" s="528">
        <f t="shared" si="1"/>
        <v>213740</v>
      </c>
    </row>
    <row r="39" spans="1:13" s="252" customFormat="1" ht="34.5" customHeight="1" x14ac:dyDescent="0.35">
      <c r="A39" s="499" t="s">
        <v>97</v>
      </c>
      <c r="B39" s="509" t="s">
        <v>859</v>
      </c>
      <c r="C39" s="510"/>
      <c r="D39" s="529"/>
      <c r="E39" s="530"/>
      <c r="F39" s="530">
        <v>213740</v>
      </c>
      <c r="G39" s="531"/>
      <c r="H39" s="531"/>
      <c r="I39" s="530"/>
      <c r="J39" s="532">
        <v>16951030</v>
      </c>
      <c r="K39" s="532"/>
      <c r="L39" s="532"/>
      <c r="M39" s="533">
        <f t="shared" si="1"/>
        <v>17164770</v>
      </c>
    </row>
    <row r="40" spans="1:13" ht="34.5" customHeight="1" x14ac:dyDescent="0.3">
      <c r="A40" s="502" t="s">
        <v>100</v>
      </c>
      <c r="B40" s="503" t="s">
        <v>876</v>
      </c>
      <c r="C40" s="504" t="s">
        <v>875</v>
      </c>
      <c r="D40" s="524"/>
      <c r="E40" s="525"/>
      <c r="F40" s="525"/>
      <c r="G40" s="526"/>
      <c r="H40" s="526"/>
      <c r="I40" s="525"/>
      <c r="J40" s="527"/>
      <c r="K40" s="527"/>
      <c r="L40" s="527"/>
      <c r="M40" s="533">
        <f t="shared" si="1"/>
        <v>0</v>
      </c>
    </row>
    <row r="41" spans="1:13" ht="34.5" customHeight="1" x14ac:dyDescent="0.3">
      <c r="A41" s="502" t="s">
        <v>102</v>
      </c>
      <c r="B41" s="503" t="s">
        <v>860</v>
      </c>
      <c r="C41" s="504"/>
      <c r="D41" s="524"/>
      <c r="E41" s="525"/>
      <c r="F41" s="525">
        <v>60000000</v>
      </c>
      <c r="G41" s="526"/>
      <c r="H41" s="526"/>
      <c r="I41" s="525"/>
      <c r="J41" s="527"/>
      <c r="K41" s="527"/>
      <c r="L41" s="527"/>
      <c r="M41" s="528">
        <f t="shared" si="1"/>
        <v>60000000</v>
      </c>
    </row>
    <row r="42" spans="1:13" s="252" customFormat="1" ht="34.5" customHeight="1" x14ac:dyDescent="0.35">
      <c r="A42" s="499" t="s">
        <v>104</v>
      </c>
      <c r="B42" s="509" t="s">
        <v>859</v>
      </c>
      <c r="C42" s="510"/>
      <c r="D42" s="529"/>
      <c r="E42" s="530"/>
      <c r="F42" s="530">
        <v>60000000</v>
      </c>
      <c r="G42" s="531"/>
      <c r="H42" s="531"/>
      <c r="I42" s="530"/>
      <c r="J42" s="532"/>
      <c r="K42" s="532"/>
      <c r="L42" s="532"/>
      <c r="M42" s="533">
        <f t="shared" si="1"/>
        <v>60000000</v>
      </c>
    </row>
    <row r="43" spans="1:13" ht="36" customHeight="1" x14ac:dyDescent="0.3">
      <c r="A43" s="502" t="s">
        <v>107</v>
      </c>
      <c r="B43" s="515" t="s">
        <v>819</v>
      </c>
      <c r="C43" s="504" t="s">
        <v>818</v>
      </c>
      <c r="D43" s="524"/>
      <c r="E43" s="524"/>
      <c r="F43" s="524">
        <v>3135000</v>
      </c>
      <c r="G43" s="524"/>
      <c r="H43" s="524"/>
      <c r="I43" s="524"/>
      <c r="J43" s="524"/>
      <c r="K43" s="524"/>
      <c r="L43" s="524"/>
      <c r="M43" s="528">
        <f t="shared" si="1"/>
        <v>3135000</v>
      </c>
    </row>
    <row r="44" spans="1:13" ht="34.5" customHeight="1" x14ac:dyDescent="0.3">
      <c r="A44" s="499" t="s">
        <v>110</v>
      </c>
      <c r="B44" s="503" t="s">
        <v>860</v>
      </c>
      <c r="C44" s="504"/>
      <c r="D44" s="524"/>
      <c r="E44" s="525"/>
      <c r="F44" s="525"/>
      <c r="G44" s="526"/>
      <c r="H44" s="526"/>
      <c r="I44" s="525"/>
      <c r="J44" s="527"/>
      <c r="K44" s="527"/>
      <c r="L44" s="527"/>
      <c r="M44" s="528"/>
    </row>
    <row r="45" spans="1:13" s="252" customFormat="1" ht="34.5" customHeight="1" x14ac:dyDescent="0.35">
      <c r="A45" s="502" t="s">
        <v>113</v>
      </c>
      <c r="B45" s="509" t="s">
        <v>859</v>
      </c>
      <c r="C45" s="510"/>
      <c r="D45" s="529"/>
      <c r="E45" s="530"/>
      <c r="F45" s="530">
        <v>3135000</v>
      </c>
      <c r="G45" s="531"/>
      <c r="H45" s="531"/>
      <c r="I45" s="530"/>
      <c r="J45" s="532"/>
      <c r="K45" s="532"/>
      <c r="L45" s="532"/>
      <c r="M45" s="533">
        <v>3135000</v>
      </c>
    </row>
    <row r="46" spans="1:13" ht="54" customHeight="1" x14ac:dyDescent="0.3">
      <c r="A46" s="502" t="s">
        <v>116</v>
      </c>
      <c r="B46" s="515" t="s">
        <v>820</v>
      </c>
      <c r="C46" s="504" t="s">
        <v>785</v>
      </c>
      <c r="D46" s="524"/>
      <c r="E46" s="524"/>
      <c r="F46" s="524">
        <v>635000</v>
      </c>
      <c r="G46" s="524"/>
      <c r="H46" s="524"/>
      <c r="I46" s="524"/>
      <c r="J46" s="524"/>
      <c r="K46" s="524"/>
      <c r="L46" s="524"/>
      <c r="M46" s="528">
        <f t="shared" si="1"/>
        <v>635000</v>
      </c>
    </row>
    <row r="47" spans="1:13" ht="34.5" customHeight="1" x14ac:dyDescent="0.3">
      <c r="A47" s="499" t="s">
        <v>119</v>
      </c>
      <c r="B47" s="503" t="s">
        <v>860</v>
      </c>
      <c r="C47" s="504"/>
      <c r="D47" s="524"/>
      <c r="E47" s="525"/>
      <c r="F47" s="525"/>
      <c r="G47" s="526"/>
      <c r="H47" s="526"/>
      <c r="I47" s="525"/>
      <c r="J47" s="527"/>
      <c r="K47" s="527"/>
      <c r="L47" s="527"/>
      <c r="M47" s="528"/>
    </row>
    <row r="48" spans="1:13" s="252" customFormat="1" ht="34.5" customHeight="1" x14ac:dyDescent="0.35">
      <c r="A48" s="502" t="s">
        <v>122</v>
      </c>
      <c r="B48" s="509" t="s">
        <v>859</v>
      </c>
      <c r="C48" s="510"/>
      <c r="D48" s="529"/>
      <c r="E48" s="530"/>
      <c r="F48" s="530">
        <v>635000</v>
      </c>
      <c r="G48" s="531"/>
      <c r="H48" s="531"/>
      <c r="I48" s="530"/>
      <c r="J48" s="532"/>
      <c r="K48" s="532"/>
      <c r="L48" s="532"/>
      <c r="M48" s="533">
        <v>635000</v>
      </c>
    </row>
    <row r="49" spans="1:13" ht="52.5" customHeight="1" x14ac:dyDescent="0.3">
      <c r="A49" s="502" t="s">
        <v>125</v>
      </c>
      <c r="B49" s="515" t="s">
        <v>821</v>
      </c>
      <c r="C49" s="504" t="s">
        <v>786</v>
      </c>
      <c r="D49" s="524"/>
      <c r="E49" s="524"/>
      <c r="F49" s="524">
        <v>6000000</v>
      </c>
      <c r="G49" s="524"/>
      <c r="H49" s="524"/>
      <c r="I49" s="524"/>
      <c r="J49" s="524"/>
      <c r="K49" s="524"/>
      <c r="L49" s="524"/>
      <c r="M49" s="528">
        <f t="shared" si="1"/>
        <v>6000000</v>
      </c>
    </row>
    <row r="50" spans="1:13" ht="34.5" customHeight="1" x14ac:dyDescent="0.3">
      <c r="A50" s="499" t="s">
        <v>128</v>
      </c>
      <c r="B50" s="503" t="s">
        <v>860</v>
      </c>
      <c r="C50" s="504"/>
      <c r="D50" s="524"/>
      <c r="E50" s="525"/>
      <c r="F50" s="525">
        <v>310815</v>
      </c>
      <c r="G50" s="526"/>
      <c r="H50" s="526"/>
      <c r="I50" s="525"/>
      <c r="J50" s="527"/>
      <c r="K50" s="527"/>
      <c r="L50" s="527"/>
      <c r="M50" s="528">
        <f t="shared" si="1"/>
        <v>310815</v>
      </c>
    </row>
    <row r="51" spans="1:13" s="252" customFormat="1" ht="34.5" customHeight="1" x14ac:dyDescent="0.35">
      <c r="A51" s="502" t="s">
        <v>131</v>
      </c>
      <c r="B51" s="509" t="s">
        <v>859</v>
      </c>
      <c r="C51" s="510"/>
      <c r="D51" s="529"/>
      <c r="E51" s="530"/>
      <c r="F51" s="530">
        <v>6310815</v>
      </c>
      <c r="G51" s="531"/>
      <c r="H51" s="531"/>
      <c r="I51" s="530"/>
      <c r="J51" s="532"/>
      <c r="K51" s="532"/>
      <c r="L51" s="532"/>
      <c r="M51" s="533">
        <v>6310815</v>
      </c>
    </row>
    <row r="52" spans="1:13" s="246" customFormat="1" ht="36" customHeight="1" x14ac:dyDescent="0.3">
      <c r="A52" s="502" t="s">
        <v>134</v>
      </c>
      <c r="B52" s="515" t="s">
        <v>822</v>
      </c>
      <c r="C52" s="504" t="s">
        <v>787</v>
      </c>
      <c r="D52" s="524"/>
      <c r="E52" s="524"/>
      <c r="F52" s="524">
        <v>7000000</v>
      </c>
      <c r="G52" s="524"/>
      <c r="H52" s="524"/>
      <c r="I52" s="524"/>
      <c r="J52" s="524"/>
      <c r="K52" s="524"/>
      <c r="L52" s="524"/>
      <c r="M52" s="528">
        <f t="shared" si="1"/>
        <v>7000000</v>
      </c>
    </row>
    <row r="53" spans="1:13" ht="34.5" customHeight="1" x14ac:dyDescent="0.3">
      <c r="A53" s="499" t="s">
        <v>137</v>
      </c>
      <c r="B53" s="503" t="s">
        <v>860</v>
      </c>
      <c r="C53" s="504"/>
      <c r="D53" s="524"/>
      <c r="E53" s="525"/>
      <c r="F53" s="525"/>
      <c r="G53" s="526"/>
      <c r="H53" s="526"/>
      <c r="I53" s="525"/>
      <c r="J53" s="527"/>
      <c r="K53" s="527"/>
      <c r="L53" s="527"/>
      <c r="M53" s="528"/>
    </row>
    <row r="54" spans="1:13" s="252" customFormat="1" ht="34.5" customHeight="1" x14ac:dyDescent="0.35">
      <c r="A54" s="502" t="s">
        <v>140</v>
      </c>
      <c r="B54" s="509" t="s">
        <v>859</v>
      </c>
      <c r="C54" s="510"/>
      <c r="D54" s="529"/>
      <c r="E54" s="530"/>
      <c r="F54" s="530">
        <v>7000000</v>
      </c>
      <c r="G54" s="531"/>
      <c r="H54" s="531"/>
      <c r="I54" s="530"/>
      <c r="J54" s="532"/>
      <c r="K54" s="532"/>
      <c r="L54" s="532"/>
      <c r="M54" s="533">
        <v>7000000</v>
      </c>
    </row>
    <row r="55" spans="1:13" ht="36" customHeight="1" x14ac:dyDescent="0.3">
      <c r="A55" s="502" t="s">
        <v>143</v>
      </c>
      <c r="B55" s="515" t="s">
        <v>823</v>
      </c>
      <c r="C55" s="504" t="s">
        <v>788</v>
      </c>
      <c r="D55" s="524"/>
      <c r="E55" s="524"/>
      <c r="F55" s="524"/>
      <c r="G55" s="524"/>
      <c r="H55" s="524"/>
      <c r="I55" s="524"/>
      <c r="J55" s="524">
        <v>21021256</v>
      </c>
      <c r="K55" s="524"/>
      <c r="L55" s="524"/>
      <c r="M55" s="528">
        <f t="shared" si="1"/>
        <v>21021256</v>
      </c>
    </row>
    <row r="56" spans="1:13" ht="34.5" customHeight="1" x14ac:dyDescent="0.3">
      <c r="A56" s="499" t="s">
        <v>146</v>
      </c>
      <c r="B56" s="503" t="s">
        <v>860</v>
      </c>
      <c r="C56" s="504"/>
      <c r="D56" s="524"/>
      <c r="E56" s="525"/>
      <c r="F56" s="525"/>
      <c r="G56" s="526"/>
      <c r="H56" s="526"/>
      <c r="I56" s="525"/>
      <c r="J56" s="528">
        <f>J57-J55</f>
        <v>39597594</v>
      </c>
      <c r="K56" s="527"/>
      <c r="L56" s="527"/>
      <c r="M56" s="528">
        <f t="shared" si="1"/>
        <v>39597594</v>
      </c>
    </row>
    <row r="57" spans="1:13" s="252" customFormat="1" ht="34.5" customHeight="1" x14ac:dyDescent="0.35">
      <c r="A57" s="502" t="s">
        <v>149</v>
      </c>
      <c r="B57" s="509" t="s">
        <v>859</v>
      </c>
      <c r="C57" s="510"/>
      <c r="D57" s="529"/>
      <c r="E57" s="530"/>
      <c r="F57" s="530"/>
      <c r="G57" s="531"/>
      <c r="H57" s="531"/>
      <c r="I57" s="530"/>
      <c r="J57" s="532">
        <v>60618850</v>
      </c>
      <c r="K57" s="532"/>
      <c r="L57" s="532"/>
      <c r="M57" s="533">
        <f t="shared" si="1"/>
        <v>60618850</v>
      </c>
    </row>
    <row r="58" spans="1:13" ht="34.5" customHeight="1" x14ac:dyDescent="0.3">
      <c r="A58" s="502" t="s">
        <v>152</v>
      </c>
      <c r="B58" s="503" t="s">
        <v>951</v>
      </c>
      <c r="C58" s="504" t="s">
        <v>878</v>
      </c>
      <c r="D58" s="524"/>
      <c r="E58" s="525"/>
      <c r="F58" s="525"/>
      <c r="G58" s="526"/>
      <c r="H58" s="526"/>
      <c r="I58" s="525"/>
      <c r="J58" s="527"/>
      <c r="K58" s="527"/>
      <c r="L58" s="527"/>
      <c r="M58" s="528">
        <f t="shared" si="1"/>
        <v>0</v>
      </c>
    </row>
    <row r="59" spans="1:13" ht="34.5" customHeight="1" x14ac:dyDescent="0.3">
      <c r="A59" s="502" t="s">
        <v>155</v>
      </c>
      <c r="B59" s="503" t="s">
        <v>860</v>
      </c>
      <c r="C59" s="504"/>
      <c r="D59" s="524"/>
      <c r="E59" s="525"/>
      <c r="F59" s="525">
        <v>494293598</v>
      </c>
      <c r="G59" s="526"/>
      <c r="H59" s="526">
        <v>5150500</v>
      </c>
      <c r="I59" s="525"/>
      <c r="J59" s="527"/>
      <c r="K59" s="527"/>
      <c r="L59" s="527" t="s">
        <v>865</v>
      </c>
      <c r="M59" s="528">
        <f t="shared" si="1"/>
        <v>499444098</v>
      </c>
    </row>
    <row r="60" spans="1:13" s="252" customFormat="1" ht="34.5" customHeight="1" x14ac:dyDescent="0.35">
      <c r="A60" s="499" t="s">
        <v>158</v>
      </c>
      <c r="B60" s="509" t="s">
        <v>859</v>
      </c>
      <c r="C60" s="510"/>
      <c r="D60" s="529"/>
      <c r="E60" s="530"/>
      <c r="F60" s="530">
        <v>494293598</v>
      </c>
      <c r="G60" s="531"/>
      <c r="H60" s="531">
        <v>5150500</v>
      </c>
      <c r="I60" s="530"/>
      <c r="J60" s="532"/>
      <c r="K60" s="532"/>
      <c r="L60" s="532" t="s">
        <v>865</v>
      </c>
      <c r="M60" s="533">
        <f t="shared" si="1"/>
        <v>499444098</v>
      </c>
    </row>
    <row r="61" spans="1:13" ht="36" customHeight="1" x14ac:dyDescent="0.3">
      <c r="A61" s="502" t="s">
        <v>161</v>
      </c>
      <c r="B61" s="515" t="s">
        <v>824</v>
      </c>
      <c r="C61" s="504" t="s">
        <v>789</v>
      </c>
      <c r="D61" s="524"/>
      <c r="E61" s="524"/>
      <c r="F61" s="524">
        <v>1905000</v>
      </c>
      <c r="G61" s="524"/>
      <c r="H61" s="524"/>
      <c r="I61" s="524"/>
      <c r="J61" s="524">
        <v>8538286</v>
      </c>
      <c r="K61" s="524"/>
      <c r="L61" s="524"/>
      <c r="M61" s="528">
        <f t="shared" si="1"/>
        <v>10443286</v>
      </c>
    </row>
    <row r="62" spans="1:13" ht="34.5" customHeight="1" x14ac:dyDescent="0.3">
      <c r="A62" s="499" t="s">
        <v>164</v>
      </c>
      <c r="B62" s="503" t="s">
        <v>860</v>
      </c>
      <c r="C62" s="504"/>
      <c r="D62" s="524"/>
      <c r="E62" s="525"/>
      <c r="F62" s="525"/>
      <c r="G62" s="526"/>
      <c r="H62" s="526"/>
      <c r="I62" s="525"/>
      <c r="J62" s="528">
        <f>J63-J61</f>
        <v>16876091</v>
      </c>
      <c r="K62" s="527"/>
      <c r="L62" s="527"/>
      <c r="M62" s="528">
        <f t="shared" si="1"/>
        <v>16876091</v>
      </c>
    </row>
    <row r="63" spans="1:13" s="252" customFormat="1" ht="34.5" customHeight="1" x14ac:dyDescent="0.35">
      <c r="A63" s="502" t="s">
        <v>167</v>
      </c>
      <c r="B63" s="509" t="s">
        <v>859</v>
      </c>
      <c r="C63" s="510"/>
      <c r="D63" s="529"/>
      <c r="E63" s="530"/>
      <c r="F63" s="530">
        <v>1905000</v>
      </c>
      <c r="G63" s="531"/>
      <c r="H63" s="531"/>
      <c r="I63" s="530"/>
      <c r="J63" s="532">
        <v>25414377</v>
      </c>
      <c r="K63" s="532"/>
      <c r="L63" s="532"/>
      <c r="M63" s="533">
        <f>SUM(D63:L63)</f>
        <v>27319377</v>
      </c>
    </row>
    <row r="64" spans="1:13" ht="36" customHeight="1" x14ac:dyDescent="0.3">
      <c r="A64" s="502" t="s">
        <v>170</v>
      </c>
      <c r="B64" s="515" t="s">
        <v>825</v>
      </c>
      <c r="C64" s="504" t="s">
        <v>790</v>
      </c>
      <c r="D64" s="524"/>
      <c r="E64" s="524"/>
      <c r="F64" s="524">
        <v>38336500</v>
      </c>
      <c r="G64" s="524"/>
      <c r="H64" s="524"/>
      <c r="I64" s="524">
        <v>3000000</v>
      </c>
      <c r="J64" s="524"/>
      <c r="K64" s="524"/>
      <c r="L64" s="524"/>
      <c r="M64" s="528">
        <f t="shared" si="1"/>
        <v>41336500</v>
      </c>
    </row>
    <row r="65" spans="1:13" ht="34.5" customHeight="1" x14ac:dyDescent="0.3">
      <c r="A65" s="499" t="s">
        <v>173</v>
      </c>
      <c r="B65" s="503" t="s">
        <v>860</v>
      </c>
      <c r="C65" s="504"/>
      <c r="D65" s="524"/>
      <c r="E65" s="525"/>
      <c r="F65" s="525"/>
      <c r="G65" s="526"/>
      <c r="H65" s="526"/>
      <c r="I65" s="525"/>
      <c r="J65" s="527"/>
      <c r="K65" s="527"/>
      <c r="L65" s="527"/>
      <c r="M65" s="528"/>
    </row>
    <row r="66" spans="1:13" s="252" customFormat="1" ht="34.5" customHeight="1" x14ac:dyDescent="0.35">
      <c r="A66" s="502" t="s">
        <v>176</v>
      </c>
      <c r="B66" s="509" t="s">
        <v>859</v>
      </c>
      <c r="C66" s="510"/>
      <c r="D66" s="529"/>
      <c r="E66" s="530"/>
      <c r="F66" s="530">
        <v>38336500</v>
      </c>
      <c r="G66" s="531"/>
      <c r="H66" s="531"/>
      <c r="I66" s="530">
        <v>3000000</v>
      </c>
      <c r="J66" s="532"/>
      <c r="K66" s="532"/>
      <c r="L66" s="532"/>
      <c r="M66" s="533">
        <v>41336500</v>
      </c>
    </row>
    <row r="67" spans="1:13" ht="36" customHeight="1" x14ac:dyDescent="0.3">
      <c r="A67" s="502" t="s">
        <v>179</v>
      </c>
      <c r="B67" s="515" t="s">
        <v>828</v>
      </c>
      <c r="C67" s="504" t="s">
        <v>827</v>
      </c>
      <c r="D67" s="524"/>
      <c r="E67" s="524"/>
      <c r="F67" s="524"/>
      <c r="G67" s="524"/>
      <c r="H67" s="524">
        <v>22337910</v>
      </c>
      <c r="I67" s="524"/>
      <c r="J67" s="524"/>
      <c r="K67" s="524"/>
      <c r="L67" s="524"/>
      <c r="M67" s="528">
        <f t="shared" si="1"/>
        <v>22337910</v>
      </c>
    </row>
    <row r="68" spans="1:13" ht="34.5" customHeight="1" x14ac:dyDescent="0.3">
      <c r="A68" s="499" t="s">
        <v>182</v>
      </c>
      <c r="B68" s="503" t="s">
        <v>860</v>
      </c>
      <c r="C68" s="504"/>
      <c r="D68" s="524"/>
      <c r="E68" s="525"/>
      <c r="F68" s="525"/>
      <c r="G68" s="526"/>
      <c r="H68" s="526"/>
      <c r="I68" s="525"/>
      <c r="J68" s="527"/>
      <c r="K68" s="527"/>
      <c r="L68" s="527"/>
      <c r="M68" s="528"/>
    </row>
    <row r="69" spans="1:13" s="252" customFormat="1" ht="34.5" customHeight="1" x14ac:dyDescent="0.35">
      <c r="A69" s="502" t="s">
        <v>185</v>
      </c>
      <c r="B69" s="509" t="s">
        <v>859</v>
      </c>
      <c r="C69" s="510"/>
      <c r="D69" s="529"/>
      <c r="E69" s="530"/>
      <c r="F69" s="530"/>
      <c r="G69" s="531"/>
      <c r="H69" s="531">
        <v>22337910</v>
      </c>
      <c r="I69" s="530"/>
      <c r="J69" s="532"/>
      <c r="K69" s="532"/>
      <c r="L69" s="532"/>
      <c r="M69" s="533">
        <v>22337910</v>
      </c>
    </row>
    <row r="70" spans="1:13" ht="38.25" customHeight="1" x14ac:dyDescent="0.3">
      <c r="A70" s="502" t="s">
        <v>188</v>
      </c>
      <c r="B70" s="515" t="s">
        <v>826</v>
      </c>
      <c r="C70" s="504" t="s">
        <v>791</v>
      </c>
      <c r="D70" s="524"/>
      <c r="E70" s="524"/>
      <c r="F70" s="524">
        <v>27133429</v>
      </c>
      <c r="G70" s="524"/>
      <c r="H70" s="524">
        <f>108949113+23931518+11944525+26162980</f>
        <v>170988136</v>
      </c>
      <c r="I70" s="524"/>
      <c r="J70" s="524"/>
      <c r="K70" s="524"/>
      <c r="L70" s="524"/>
      <c r="M70" s="528">
        <f t="shared" si="1"/>
        <v>198121565</v>
      </c>
    </row>
    <row r="71" spans="1:13" ht="34.5" customHeight="1" x14ac:dyDescent="0.3">
      <c r="A71" s="499" t="s">
        <v>191</v>
      </c>
      <c r="B71" s="503" t="s">
        <v>860</v>
      </c>
      <c r="C71" s="504"/>
      <c r="D71" s="524"/>
      <c r="E71" s="525"/>
      <c r="F71" s="525">
        <f>F72-F70</f>
        <v>16938858</v>
      </c>
      <c r="G71" s="525">
        <f t="shared" ref="G71:H71" si="8">G72-G70</f>
        <v>0</v>
      </c>
      <c r="H71" s="525">
        <f t="shared" si="8"/>
        <v>0</v>
      </c>
      <c r="I71" s="525"/>
      <c r="J71" s="527"/>
      <c r="K71" s="527"/>
      <c r="L71" s="527"/>
      <c r="M71" s="528">
        <f t="shared" si="1"/>
        <v>16938858</v>
      </c>
    </row>
    <row r="72" spans="1:13" s="252" customFormat="1" ht="34.5" customHeight="1" x14ac:dyDescent="0.35">
      <c r="A72" s="502" t="s">
        <v>194</v>
      </c>
      <c r="B72" s="509" t="s">
        <v>859</v>
      </c>
      <c r="C72" s="510"/>
      <c r="D72" s="529"/>
      <c r="E72" s="530"/>
      <c r="F72" s="530">
        <v>44072287</v>
      </c>
      <c r="G72" s="531"/>
      <c r="H72" s="531">
        <v>170988136</v>
      </c>
      <c r="I72" s="530"/>
      <c r="J72" s="532"/>
      <c r="K72" s="532"/>
      <c r="L72" s="532"/>
      <c r="M72" s="533">
        <f>SUM(D72:L72)</f>
        <v>215060423</v>
      </c>
    </row>
    <row r="73" spans="1:13" ht="36" customHeight="1" x14ac:dyDescent="0.3">
      <c r="A73" s="499" t="s">
        <v>197</v>
      </c>
      <c r="B73" s="515" t="s">
        <v>769</v>
      </c>
      <c r="C73" s="504" t="s">
        <v>768</v>
      </c>
      <c r="D73" s="524"/>
      <c r="E73" s="524"/>
      <c r="F73" s="524">
        <v>207010</v>
      </c>
      <c r="G73" s="524"/>
      <c r="H73" s="524">
        <v>8348400</v>
      </c>
      <c r="I73" s="524"/>
      <c r="J73" s="524"/>
      <c r="K73" s="524"/>
      <c r="L73" s="524"/>
      <c r="M73" s="528">
        <f t="shared" si="1"/>
        <v>8555410</v>
      </c>
    </row>
    <row r="74" spans="1:13" ht="34.5" customHeight="1" x14ac:dyDescent="0.3">
      <c r="A74" s="502" t="s">
        <v>200</v>
      </c>
      <c r="B74" s="503" t="s">
        <v>860</v>
      </c>
      <c r="C74" s="504"/>
      <c r="D74" s="524"/>
      <c r="E74" s="525"/>
      <c r="F74" s="525">
        <f>F75-F73</f>
        <v>1152</v>
      </c>
      <c r="G74" s="526"/>
      <c r="H74" s="526"/>
      <c r="I74" s="525"/>
      <c r="J74" s="527"/>
      <c r="K74" s="527"/>
      <c r="L74" s="527"/>
      <c r="M74" s="528">
        <f t="shared" si="1"/>
        <v>1152</v>
      </c>
    </row>
    <row r="75" spans="1:13" s="252" customFormat="1" ht="34.5" customHeight="1" x14ac:dyDescent="0.35">
      <c r="A75" s="499" t="s">
        <v>733</v>
      </c>
      <c r="B75" s="509" t="s">
        <v>859</v>
      </c>
      <c r="C75" s="510"/>
      <c r="D75" s="529"/>
      <c r="E75" s="530"/>
      <c r="F75" s="530">
        <v>208162</v>
      </c>
      <c r="G75" s="531"/>
      <c r="H75" s="531">
        <v>8348400</v>
      </c>
      <c r="I75" s="530"/>
      <c r="J75" s="532"/>
      <c r="K75" s="532"/>
      <c r="L75" s="532"/>
      <c r="M75" s="533">
        <f>SUM(D75:L75)</f>
        <v>8556562</v>
      </c>
    </row>
    <row r="76" spans="1:13" ht="36" customHeight="1" x14ac:dyDescent="0.3">
      <c r="A76" s="502" t="s">
        <v>925</v>
      </c>
      <c r="B76" s="515" t="s">
        <v>829</v>
      </c>
      <c r="C76" s="504" t="s">
        <v>792</v>
      </c>
      <c r="D76" s="524"/>
      <c r="E76" s="524"/>
      <c r="F76" s="524">
        <v>14235000</v>
      </c>
      <c r="G76" s="524"/>
      <c r="H76" s="524"/>
      <c r="I76" s="524"/>
      <c r="J76" s="524"/>
      <c r="K76" s="524"/>
      <c r="L76" s="524"/>
      <c r="M76" s="528">
        <f t="shared" si="1"/>
        <v>14235000</v>
      </c>
    </row>
    <row r="77" spans="1:13" ht="34.5" customHeight="1" x14ac:dyDescent="0.3">
      <c r="A77" s="499" t="s">
        <v>926</v>
      </c>
      <c r="B77" s="503" t="s">
        <v>860</v>
      </c>
      <c r="C77" s="504"/>
      <c r="D77" s="524"/>
      <c r="E77" s="525"/>
      <c r="F77" s="525"/>
      <c r="G77" s="526"/>
      <c r="H77" s="526"/>
      <c r="I77" s="525"/>
      <c r="J77" s="527"/>
      <c r="K77" s="527"/>
      <c r="L77" s="527"/>
      <c r="M77" s="528"/>
    </row>
    <row r="78" spans="1:13" s="252" customFormat="1" ht="34.5" customHeight="1" x14ac:dyDescent="0.35">
      <c r="A78" s="502" t="s">
        <v>927</v>
      </c>
      <c r="B78" s="509" t="s">
        <v>859</v>
      </c>
      <c r="C78" s="510"/>
      <c r="D78" s="529"/>
      <c r="E78" s="530"/>
      <c r="F78" s="530">
        <v>14235000</v>
      </c>
      <c r="G78" s="531"/>
      <c r="H78" s="531"/>
      <c r="I78" s="530"/>
      <c r="J78" s="532"/>
      <c r="K78" s="532"/>
      <c r="L78" s="532"/>
      <c r="M78" s="533">
        <f>SUM(D78:L78)</f>
        <v>14235000</v>
      </c>
    </row>
    <row r="79" spans="1:13" ht="51.75" customHeight="1" x14ac:dyDescent="0.3">
      <c r="A79" s="502" t="s">
        <v>928</v>
      </c>
      <c r="B79" s="515" t="s">
        <v>830</v>
      </c>
      <c r="C79" s="504" t="s">
        <v>793</v>
      </c>
      <c r="D79" s="524"/>
      <c r="E79" s="524"/>
      <c r="F79" s="524"/>
      <c r="G79" s="524"/>
      <c r="H79" s="524">
        <v>25800000</v>
      </c>
      <c r="I79" s="524"/>
      <c r="J79" s="524"/>
      <c r="K79" s="524"/>
      <c r="L79" s="524"/>
      <c r="M79" s="528">
        <f t="shared" si="1"/>
        <v>25800000</v>
      </c>
    </row>
    <row r="80" spans="1:13" ht="34.5" customHeight="1" x14ac:dyDescent="0.3">
      <c r="A80" s="499" t="s">
        <v>929</v>
      </c>
      <c r="B80" s="503" t="s">
        <v>860</v>
      </c>
      <c r="C80" s="504"/>
      <c r="D80" s="524"/>
      <c r="E80" s="525"/>
      <c r="F80" s="525"/>
      <c r="G80" s="526"/>
      <c r="H80" s="526">
        <f>H81-H79</f>
        <v>25000000</v>
      </c>
      <c r="I80" s="525"/>
      <c r="J80" s="527"/>
      <c r="K80" s="527"/>
      <c r="L80" s="527"/>
      <c r="M80" s="528">
        <f t="shared" si="1"/>
        <v>25000000</v>
      </c>
    </row>
    <row r="81" spans="1:13" s="252" customFormat="1" ht="34.5" customHeight="1" x14ac:dyDescent="0.35">
      <c r="A81" s="502" t="s">
        <v>930</v>
      </c>
      <c r="B81" s="509" t="s">
        <v>859</v>
      </c>
      <c r="C81" s="510"/>
      <c r="D81" s="529"/>
      <c r="E81" s="530"/>
      <c r="F81" s="530"/>
      <c r="G81" s="531"/>
      <c r="H81" s="531">
        <v>50800000</v>
      </c>
      <c r="I81" s="530"/>
      <c r="J81" s="532"/>
      <c r="K81" s="532"/>
      <c r="L81" s="532"/>
      <c r="M81" s="533">
        <v>50800000</v>
      </c>
    </row>
    <row r="82" spans="1:13" ht="25.5" customHeight="1" x14ac:dyDescent="0.3">
      <c r="A82" s="502" t="s">
        <v>931</v>
      </c>
      <c r="B82" s="515" t="s">
        <v>831</v>
      </c>
      <c r="C82" s="504" t="s">
        <v>794</v>
      </c>
      <c r="D82" s="524"/>
      <c r="E82" s="524"/>
      <c r="F82" s="524"/>
      <c r="G82" s="524"/>
      <c r="H82" s="524">
        <v>15000000</v>
      </c>
      <c r="I82" s="524"/>
      <c r="J82" s="524"/>
      <c r="K82" s="524"/>
      <c r="L82" s="524"/>
      <c r="M82" s="528">
        <f t="shared" si="1"/>
        <v>15000000</v>
      </c>
    </row>
    <row r="83" spans="1:13" ht="34.5" customHeight="1" x14ac:dyDescent="0.3">
      <c r="A83" s="499" t="s">
        <v>932</v>
      </c>
      <c r="B83" s="503" t="s">
        <v>860</v>
      </c>
      <c r="C83" s="504"/>
      <c r="D83" s="524"/>
      <c r="E83" s="525"/>
      <c r="F83" s="525"/>
      <c r="G83" s="526"/>
      <c r="H83" s="526">
        <v>200000</v>
      </c>
      <c r="I83" s="525"/>
      <c r="J83" s="527"/>
      <c r="K83" s="527"/>
      <c r="L83" s="527"/>
      <c r="M83" s="528">
        <f t="shared" si="1"/>
        <v>200000</v>
      </c>
    </row>
    <row r="84" spans="1:13" s="252" customFormat="1" ht="34.5" customHeight="1" x14ac:dyDescent="0.35">
      <c r="A84" s="502" t="s">
        <v>933</v>
      </c>
      <c r="B84" s="509" t="s">
        <v>859</v>
      </c>
      <c r="C84" s="510"/>
      <c r="D84" s="529"/>
      <c r="E84" s="530"/>
      <c r="F84" s="530"/>
      <c r="G84" s="531"/>
      <c r="H84" s="531">
        <v>15200000</v>
      </c>
      <c r="I84" s="530"/>
      <c r="J84" s="532"/>
      <c r="K84" s="532"/>
      <c r="L84" s="532"/>
      <c r="M84" s="533">
        <v>15200000</v>
      </c>
    </row>
    <row r="85" spans="1:13" ht="25.5" customHeight="1" x14ac:dyDescent="0.3">
      <c r="A85" s="502" t="s">
        <v>934</v>
      </c>
      <c r="B85" s="515" t="s">
        <v>832</v>
      </c>
      <c r="C85" s="504" t="s">
        <v>795</v>
      </c>
      <c r="D85" s="524"/>
      <c r="E85" s="524"/>
      <c r="F85" s="524"/>
      <c r="G85" s="524"/>
      <c r="H85" s="524">
        <v>24575231</v>
      </c>
      <c r="I85" s="524"/>
      <c r="J85" s="524">
        <v>25500000</v>
      </c>
      <c r="K85" s="524"/>
      <c r="L85" s="524"/>
      <c r="M85" s="528">
        <f t="shared" si="1"/>
        <v>50075231</v>
      </c>
    </row>
    <row r="86" spans="1:13" ht="34.5" customHeight="1" x14ac:dyDescent="0.3">
      <c r="A86" s="499" t="s">
        <v>935</v>
      </c>
      <c r="B86" s="503" t="s">
        <v>860</v>
      </c>
      <c r="C86" s="504"/>
      <c r="D86" s="524"/>
      <c r="E86" s="525"/>
      <c r="F86" s="525"/>
      <c r="G86" s="526"/>
      <c r="H86" s="526">
        <f>H87-H85</f>
        <v>-2500000</v>
      </c>
      <c r="I86" s="526">
        <f t="shared" ref="I86:L86" si="9">I87-I85</f>
        <v>2300000</v>
      </c>
      <c r="J86" s="526">
        <f t="shared" si="9"/>
        <v>-25000000</v>
      </c>
      <c r="K86" s="526">
        <f t="shared" si="9"/>
        <v>0</v>
      </c>
      <c r="L86" s="526">
        <f t="shared" si="9"/>
        <v>0</v>
      </c>
      <c r="M86" s="528">
        <f t="shared" si="1"/>
        <v>-25200000</v>
      </c>
    </row>
    <row r="87" spans="1:13" s="252" customFormat="1" ht="34.5" customHeight="1" x14ac:dyDescent="0.35">
      <c r="A87" s="502" t="s">
        <v>936</v>
      </c>
      <c r="B87" s="509" t="s">
        <v>859</v>
      </c>
      <c r="C87" s="510"/>
      <c r="D87" s="529"/>
      <c r="E87" s="530"/>
      <c r="F87" s="530"/>
      <c r="G87" s="531"/>
      <c r="H87" s="531">
        <v>22075231</v>
      </c>
      <c r="I87" s="530">
        <v>2300000</v>
      </c>
      <c r="J87" s="532">
        <v>500000</v>
      </c>
      <c r="K87" s="532"/>
      <c r="L87" s="532"/>
      <c r="M87" s="533">
        <f>SUM(D87:L87)</f>
        <v>24875231</v>
      </c>
    </row>
    <row r="88" spans="1:13" ht="25.5" customHeight="1" x14ac:dyDescent="0.3">
      <c r="A88" s="499" t="s">
        <v>937</v>
      </c>
      <c r="B88" s="515" t="s">
        <v>833</v>
      </c>
      <c r="C88" s="504" t="s">
        <v>796</v>
      </c>
      <c r="D88" s="524"/>
      <c r="E88" s="524"/>
      <c r="F88" s="524">
        <v>320000</v>
      </c>
      <c r="G88" s="524"/>
      <c r="H88" s="524">
        <v>0</v>
      </c>
      <c r="I88" s="524"/>
      <c r="J88" s="524"/>
      <c r="K88" s="524"/>
      <c r="L88" s="524"/>
      <c r="M88" s="528">
        <f t="shared" si="1"/>
        <v>320000</v>
      </c>
    </row>
    <row r="89" spans="1:13" ht="34.5" customHeight="1" x14ac:dyDescent="0.3">
      <c r="A89" s="502" t="s">
        <v>938</v>
      </c>
      <c r="B89" s="503" t="s">
        <v>860</v>
      </c>
      <c r="C89" s="504"/>
      <c r="D89" s="524"/>
      <c r="E89" s="525"/>
      <c r="F89" s="525">
        <v>-320000</v>
      </c>
      <c r="G89" s="526"/>
      <c r="H89" s="526">
        <v>320000</v>
      </c>
      <c r="I89" s="525"/>
      <c r="J89" s="527"/>
      <c r="K89" s="527"/>
      <c r="L89" s="527"/>
      <c r="M89" s="528">
        <f t="shared" si="1"/>
        <v>0</v>
      </c>
    </row>
    <row r="90" spans="1:13" s="252" customFormat="1" ht="34.5" customHeight="1" x14ac:dyDescent="0.35">
      <c r="A90" s="499" t="s">
        <v>939</v>
      </c>
      <c r="B90" s="509" t="s">
        <v>859</v>
      </c>
      <c r="C90" s="510"/>
      <c r="D90" s="529"/>
      <c r="E90" s="530"/>
      <c r="F90" s="530">
        <v>0</v>
      </c>
      <c r="G90" s="531"/>
      <c r="H90" s="531">
        <v>320000</v>
      </c>
      <c r="I90" s="530"/>
      <c r="J90" s="532"/>
      <c r="K90" s="532"/>
      <c r="L90" s="532"/>
      <c r="M90" s="533">
        <f>SUM(D90:L90)</f>
        <v>320000</v>
      </c>
    </row>
    <row r="91" spans="1:13" ht="51" customHeight="1" x14ac:dyDescent="0.3">
      <c r="A91" s="502" t="s">
        <v>940</v>
      </c>
      <c r="B91" s="515" t="s">
        <v>834</v>
      </c>
      <c r="C91" s="504" t="s">
        <v>835</v>
      </c>
      <c r="D91" s="524"/>
      <c r="E91" s="524"/>
      <c r="F91" s="524">
        <v>2000000</v>
      </c>
      <c r="G91" s="524"/>
      <c r="H91" s="524"/>
      <c r="I91" s="524"/>
      <c r="J91" s="524"/>
      <c r="K91" s="524"/>
      <c r="L91" s="524"/>
      <c r="M91" s="528">
        <f t="shared" si="1"/>
        <v>2000000</v>
      </c>
    </row>
    <row r="92" spans="1:13" ht="34.5" customHeight="1" x14ac:dyDescent="0.3">
      <c r="A92" s="499" t="s">
        <v>941</v>
      </c>
      <c r="B92" s="503" t="s">
        <v>860</v>
      </c>
      <c r="C92" s="504"/>
      <c r="D92" s="524">
        <v>150000</v>
      </c>
      <c r="E92" s="525">
        <v>43200</v>
      </c>
      <c r="F92" s="525"/>
      <c r="G92" s="526"/>
      <c r="H92" s="526">
        <v>11800000</v>
      </c>
      <c r="I92" s="525"/>
      <c r="J92" s="527"/>
      <c r="K92" s="527"/>
      <c r="L92" s="527"/>
      <c r="M92" s="528">
        <f t="shared" si="1"/>
        <v>11993200</v>
      </c>
    </row>
    <row r="93" spans="1:13" s="252" customFormat="1" ht="34.5" customHeight="1" x14ac:dyDescent="0.35">
      <c r="A93" s="502" t="s">
        <v>942</v>
      </c>
      <c r="B93" s="509" t="s">
        <v>859</v>
      </c>
      <c r="C93" s="510"/>
      <c r="D93" s="529">
        <v>150000</v>
      </c>
      <c r="E93" s="530">
        <v>43200</v>
      </c>
      <c r="F93" s="530">
        <v>2000000</v>
      </c>
      <c r="G93" s="531"/>
      <c r="H93" s="531">
        <v>11800000</v>
      </c>
      <c r="I93" s="530"/>
      <c r="J93" s="532"/>
      <c r="K93" s="532"/>
      <c r="L93" s="532"/>
      <c r="M93" s="533">
        <f>SUM(D93:L93)</f>
        <v>13993200</v>
      </c>
    </row>
    <row r="94" spans="1:13" ht="54.75" customHeight="1" x14ac:dyDescent="0.3">
      <c r="A94" s="499" t="s">
        <v>943</v>
      </c>
      <c r="B94" s="515" t="s">
        <v>836</v>
      </c>
      <c r="C94" s="504" t="s">
        <v>797</v>
      </c>
      <c r="D94" s="524"/>
      <c r="E94" s="524"/>
      <c r="F94" s="524">
        <v>406400</v>
      </c>
      <c r="G94" s="524"/>
      <c r="H94" s="524">
        <v>83700000</v>
      </c>
      <c r="I94" s="524">
        <v>4000000</v>
      </c>
      <c r="J94" s="524"/>
      <c r="K94" s="524"/>
      <c r="L94" s="524"/>
      <c r="M94" s="528">
        <f t="shared" si="1"/>
        <v>88106400</v>
      </c>
    </row>
    <row r="95" spans="1:13" ht="34.5" customHeight="1" x14ac:dyDescent="0.3">
      <c r="A95" s="502" t="s">
        <v>944</v>
      </c>
      <c r="B95" s="503" t="s">
        <v>860</v>
      </c>
      <c r="C95" s="504"/>
      <c r="D95" s="524"/>
      <c r="E95" s="525"/>
      <c r="F95" s="525">
        <f>F96-F94</f>
        <v>2000000</v>
      </c>
      <c r="G95" s="526"/>
      <c r="H95" s="526"/>
      <c r="I95" s="525"/>
      <c r="J95" s="527"/>
      <c r="K95" s="527"/>
      <c r="L95" s="527"/>
      <c r="M95" s="528">
        <f t="shared" si="1"/>
        <v>2000000</v>
      </c>
    </row>
    <row r="96" spans="1:13" s="252" customFormat="1" ht="34.5" customHeight="1" x14ac:dyDescent="0.35">
      <c r="A96" s="499" t="s">
        <v>945</v>
      </c>
      <c r="B96" s="509" t="s">
        <v>859</v>
      </c>
      <c r="C96" s="510"/>
      <c r="D96" s="529"/>
      <c r="E96" s="530"/>
      <c r="F96" s="530">
        <v>2406400</v>
      </c>
      <c r="G96" s="531"/>
      <c r="H96" s="531">
        <v>83500000</v>
      </c>
      <c r="I96" s="530">
        <v>4000000</v>
      </c>
      <c r="J96" s="532"/>
      <c r="K96" s="532"/>
      <c r="L96" s="532"/>
      <c r="M96" s="533">
        <f>SUM(D96:L96)</f>
        <v>89906400</v>
      </c>
    </row>
    <row r="97" spans="1:13" ht="39.75" customHeight="1" x14ac:dyDescent="0.3">
      <c r="A97" s="502" t="s">
        <v>946</v>
      </c>
      <c r="B97" s="515" t="s">
        <v>837</v>
      </c>
      <c r="C97" s="504" t="s">
        <v>798</v>
      </c>
      <c r="D97" s="524"/>
      <c r="E97" s="524"/>
      <c r="F97" s="524"/>
      <c r="G97" s="524"/>
      <c r="H97" s="524">
        <v>10769000</v>
      </c>
      <c r="I97" s="524"/>
      <c r="J97" s="524"/>
      <c r="K97" s="524"/>
      <c r="L97" s="524"/>
      <c r="M97" s="528">
        <f t="shared" si="1"/>
        <v>10769000</v>
      </c>
    </row>
    <row r="98" spans="1:13" ht="34.5" customHeight="1" x14ac:dyDescent="0.3">
      <c r="A98" s="499" t="s">
        <v>947</v>
      </c>
      <c r="B98" s="503" t="s">
        <v>860</v>
      </c>
      <c r="C98" s="504"/>
      <c r="D98" s="524"/>
      <c r="E98" s="525"/>
      <c r="F98" s="525"/>
      <c r="G98" s="526"/>
      <c r="H98" s="526"/>
      <c r="I98" s="525"/>
      <c r="J98" s="527"/>
      <c r="K98" s="527"/>
      <c r="L98" s="527"/>
      <c r="M98" s="528"/>
    </row>
    <row r="99" spans="1:13" s="252" customFormat="1" ht="34.5" customHeight="1" x14ac:dyDescent="0.35">
      <c r="A99" s="502" t="s">
        <v>948</v>
      </c>
      <c r="B99" s="509" t="s">
        <v>859</v>
      </c>
      <c r="C99" s="510"/>
      <c r="D99" s="529"/>
      <c r="E99" s="530"/>
      <c r="F99" s="530"/>
      <c r="G99" s="531"/>
      <c r="H99" s="531">
        <v>10769000</v>
      </c>
      <c r="I99" s="530"/>
      <c r="J99" s="532"/>
      <c r="K99" s="532"/>
      <c r="L99" s="532"/>
      <c r="M99" s="533">
        <v>10769000</v>
      </c>
    </row>
    <row r="100" spans="1:13" ht="25.5" customHeight="1" x14ac:dyDescent="0.3">
      <c r="A100" s="502" t="s">
        <v>949</v>
      </c>
      <c r="B100" s="515" t="s">
        <v>838</v>
      </c>
      <c r="C100" s="504" t="s">
        <v>799</v>
      </c>
      <c r="D100" s="524"/>
      <c r="E100" s="524"/>
      <c r="F100" s="524"/>
      <c r="G100" s="524"/>
      <c r="H100" s="524">
        <v>5450000</v>
      </c>
      <c r="I100" s="524"/>
      <c r="J100" s="524"/>
      <c r="K100" s="524"/>
      <c r="L100" s="524"/>
      <c r="M100" s="528">
        <f t="shared" si="1"/>
        <v>5450000</v>
      </c>
    </row>
    <row r="101" spans="1:13" ht="34.5" customHeight="1" x14ac:dyDescent="0.3">
      <c r="A101" s="499" t="s">
        <v>952</v>
      </c>
      <c r="B101" s="503" t="s">
        <v>860</v>
      </c>
      <c r="C101" s="504"/>
      <c r="D101" s="524"/>
      <c r="E101" s="525"/>
      <c r="F101" s="525"/>
      <c r="G101" s="526"/>
      <c r="H101" s="526">
        <v>200000</v>
      </c>
      <c r="I101" s="525"/>
      <c r="J101" s="527"/>
      <c r="K101" s="527"/>
      <c r="L101" s="527"/>
      <c r="M101" s="528">
        <f t="shared" si="1"/>
        <v>200000</v>
      </c>
    </row>
    <row r="102" spans="1:13" s="252" customFormat="1" ht="34.5" customHeight="1" x14ac:dyDescent="0.35">
      <c r="A102" s="502" t="s">
        <v>953</v>
      </c>
      <c r="B102" s="509" t="s">
        <v>859</v>
      </c>
      <c r="C102" s="510"/>
      <c r="D102" s="529"/>
      <c r="E102" s="530"/>
      <c r="F102" s="530"/>
      <c r="G102" s="531"/>
      <c r="H102" s="531">
        <v>5650000</v>
      </c>
      <c r="I102" s="530"/>
      <c r="J102" s="532"/>
      <c r="K102" s="532"/>
      <c r="L102" s="532"/>
      <c r="M102" s="533">
        <v>5650000</v>
      </c>
    </row>
    <row r="103" spans="1:13" ht="25.5" customHeight="1" x14ac:dyDescent="0.3">
      <c r="A103" s="502" t="s">
        <v>954</v>
      </c>
      <c r="B103" s="515" t="s">
        <v>839</v>
      </c>
      <c r="C103" s="504" t="s">
        <v>800</v>
      </c>
      <c r="D103" s="524"/>
      <c r="E103" s="524"/>
      <c r="F103" s="524">
        <v>1079500</v>
      </c>
      <c r="G103" s="524"/>
      <c r="H103" s="524"/>
      <c r="I103" s="524"/>
      <c r="J103" s="524"/>
      <c r="K103" s="524"/>
      <c r="L103" s="524"/>
      <c r="M103" s="528">
        <f t="shared" si="1"/>
        <v>1079500</v>
      </c>
    </row>
    <row r="104" spans="1:13" ht="34.5" customHeight="1" x14ac:dyDescent="0.3">
      <c r="A104" s="499" t="s">
        <v>955</v>
      </c>
      <c r="B104" s="503" t="s">
        <v>860</v>
      </c>
      <c r="C104" s="504"/>
      <c r="D104" s="524"/>
      <c r="E104" s="525"/>
      <c r="F104" s="525"/>
      <c r="G104" s="526"/>
      <c r="H104" s="526"/>
      <c r="I104" s="525"/>
      <c r="J104" s="527"/>
      <c r="K104" s="527"/>
      <c r="L104" s="527"/>
      <c r="M104" s="528"/>
    </row>
    <row r="105" spans="1:13" s="252" customFormat="1" ht="34.5" customHeight="1" x14ac:dyDescent="0.35">
      <c r="A105" s="502" t="s">
        <v>956</v>
      </c>
      <c r="B105" s="509" t="s">
        <v>859</v>
      </c>
      <c r="C105" s="510"/>
      <c r="D105" s="529"/>
      <c r="E105" s="530"/>
      <c r="F105" s="530">
        <v>1079500</v>
      </c>
      <c r="G105" s="531"/>
      <c r="H105" s="531"/>
      <c r="I105" s="530"/>
      <c r="J105" s="532"/>
      <c r="K105" s="532"/>
      <c r="L105" s="532"/>
      <c r="M105" s="533">
        <v>1079500</v>
      </c>
    </row>
    <row r="106" spans="1:13" ht="43.5" customHeight="1" x14ac:dyDescent="0.3">
      <c r="A106" s="502" t="s">
        <v>957</v>
      </c>
      <c r="B106" s="515" t="s">
        <v>840</v>
      </c>
      <c r="C106" s="504" t="s">
        <v>801</v>
      </c>
      <c r="D106" s="524"/>
      <c r="E106" s="524"/>
      <c r="F106" s="524">
        <v>1334240</v>
      </c>
      <c r="G106" s="524"/>
      <c r="H106" s="524"/>
      <c r="I106" s="524"/>
      <c r="J106" s="524"/>
      <c r="K106" s="524"/>
      <c r="L106" s="524"/>
      <c r="M106" s="528">
        <f t="shared" si="1"/>
        <v>1334240</v>
      </c>
    </row>
    <row r="107" spans="1:13" ht="34.5" customHeight="1" x14ac:dyDescent="0.3">
      <c r="A107" s="499" t="s">
        <v>958</v>
      </c>
      <c r="B107" s="503" t="s">
        <v>860</v>
      </c>
      <c r="C107" s="504"/>
      <c r="D107" s="524"/>
      <c r="E107" s="525"/>
      <c r="F107" s="525">
        <f>F108-F106</f>
        <v>1593784</v>
      </c>
      <c r="G107" s="526"/>
      <c r="H107" s="526"/>
      <c r="I107" s="525"/>
      <c r="J107" s="527"/>
      <c r="K107" s="527"/>
      <c r="L107" s="527"/>
      <c r="M107" s="528">
        <f t="shared" si="1"/>
        <v>1593784</v>
      </c>
    </row>
    <row r="108" spans="1:13" s="252" customFormat="1" ht="34.5" customHeight="1" x14ac:dyDescent="0.35">
      <c r="A108" s="502" t="s">
        <v>959</v>
      </c>
      <c r="B108" s="509" t="s">
        <v>859</v>
      </c>
      <c r="C108" s="510"/>
      <c r="D108" s="529"/>
      <c r="E108" s="530"/>
      <c r="F108" s="530">
        <v>2928024</v>
      </c>
      <c r="G108" s="531"/>
      <c r="H108" s="531"/>
      <c r="I108" s="530"/>
      <c r="J108" s="532"/>
      <c r="K108" s="532"/>
      <c r="L108" s="532"/>
      <c r="M108" s="533">
        <f t="shared" si="1"/>
        <v>2928024</v>
      </c>
    </row>
    <row r="109" spans="1:13" ht="53.25" customHeight="1" x14ac:dyDescent="0.3">
      <c r="A109" s="499" t="s">
        <v>960</v>
      </c>
      <c r="B109" s="515" t="s">
        <v>841</v>
      </c>
      <c r="C109" s="504" t="s">
        <v>802</v>
      </c>
      <c r="D109" s="524"/>
      <c r="E109" s="524"/>
      <c r="F109" s="524">
        <v>497840</v>
      </c>
      <c r="G109" s="524"/>
      <c r="H109" s="524"/>
      <c r="I109" s="524"/>
      <c r="J109" s="524"/>
      <c r="K109" s="524"/>
      <c r="L109" s="524"/>
      <c r="M109" s="528">
        <f t="shared" si="1"/>
        <v>497840</v>
      </c>
    </row>
    <row r="110" spans="1:13" ht="34.5" customHeight="1" x14ac:dyDescent="0.3">
      <c r="A110" s="502" t="s">
        <v>961</v>
      </c>
      <c r="B110" s="503" t="s">
        <v>860</v>
      </c>
      <c r="C110" s="504"/>
      <c r="D110" s="524"/>
      <c r="E110" s="525"/>
      <c r="F110" s="525">
        <f>F111-F109</f>
        <v>259762</v>
      </c>
      <c r="G110" s="526"/>
      <c r="H110" s="526"/>
      <c r="I110" s="525"/>
      <c r="J110" s="527"/>
      <c r="K110" s="527"/>
      <c r="L110" s="527"/>
      <c r="M110" s="528">
        <f t="shared" si="1"/>
        <v>259762</v>
      </c>
    </row>
    <row r="111" spans="1:13" s="252" customFormat="1" ht="34.5" customHeight="1" x14ac:dyDescent="0.35">
      <c r="A111" s="499" t="s">
        <v>962</v>
      </c>
      <c r="B111" s="509" t="s">
        <v>859</v>
      </c>
      <c r="C111" s="510"/>
      <c r="D111" s="529"/>
      <c r="E111" s="530"/>
      <c r="F111" s="530">
        <v>757602</v>
      </c>
      <c r="G111" s="531"/>
      <c r="H111" s="531"/>
      <c r="I111" s="530"/>
      <c r="J111" s="532"/>
      <c r="K111" s="532"/>
      <c r="L111" s="532"/>
      <c r="M111" s="533">
        <f t="shared" si="1"/>
        <v>757602</v>
      </c>
    </row>
    <row r="112" spans="1:13" ht="40.5" customHeight="1" x14ac:dyDescent="0.3">
      <c r="A112" s="502" t="s">
        <v>963</v>
      </c>
      <c r="B112" s="515" t="s">
        <v>842</v>
      </c>
      <c r="C112" s="504" t="s">
        <v>803</v>
      </c>
      <c r="D112" s="524"/>
      <c r="E112" s="524"/>
      <c r="F112" s="524">
        <v>1191641</v>
      </c>
      <c r="G112" s="524"/>
      <c r="H112" s="524"/>
      <c r="I112" s="524"/>
      <c r="J112" s="524"/>
      <c r="K112" s="524"/>
      <c r="L112" s="524"/>
      <c r="M112" s="528">
        <f t="shared" si="1"/>
        <v>1191641</v>
      </c>
    </row>
    <row r="113" spans="1:13" ht="34.5" customHeight="1" x14ac:dyDescent="0.3">
      <c r="A113" s="499" t="s">
        <v>964</v>
      </c>
      <c r="B113" s="503" t="s">
        <v>860</v>
      </c>
      <c r="C113" s="504"/>
      <c r="D113" s="524"/>
      <c r="E113" s="525"/>
      <c r="F113" s="525">
        <f>F114-F112</f>
        <v>803996</v>
      </c>
      <c r="G113" s="526"/>
      <c r="H113" s="526"/>
      <c r="I113" s="525"/>
      <c r="J113" s="527"/>
      <c r="K113" s="527"/>
      <c r="L113" s="527"/>
      <c r="M113" s="533">
        <f t="shared" si="1"/>
        <v>803996</v>
      </c>
    </row>
    <row r="114" spans="1:13" s="252" customFormat="1" ht="34.5" customHeight="1" x14ac:dyDescent="0.35">
      <c r="A114" s="502" t="s">
        <v>965</v>
      </c>
      <c r="B114" s="509" t="s">
        <v>859</v>
      </c>
      <c r="C114" s="510"/>
      <c r="D114" s="529"/>
      <c r="E114" s="530"/>
      <c r="F114" s="530">
        <v>1995637</v>
      </c>
      <c r="G114" s="531"/>
      <c r="H114" s="531"/>
      <c r="I114" s="530"/>
      <c r="J114" s="532"/>
      <c r="K114" s="532"/>
      <c r="L114" s="532"/>
      <c r="M114" s="533">
        <f t="shared" si="1"/>
        <v>1995637</v>
      </c>
    </row>
    <row r="115" spans="1:13" ht="48" customHeight="1" x14ac:dyDescent="0.3">
      <c r="A115" s="499" t="s">
        <v>966</v>
      </c>
      <c r="B115" s="515" t="s">
        <v>843</v>
      </c>
      <c r="C115" s="504" t="s">
        <v>804</v>
      </c>
      <c r="D115" s="524"/>
      <c r="E115" s="524"/>
      <c r="F115" s="524">
        <v>13248001</v>
      </c>
      <c r="G115" s="524"/>
      <c r="H115" s="524"/>
      <c r="I115" s="524"/>
      <c r="J115" s="524"/>
      <c r="K115" s="524"/>
      <c r="L115" s="524"/>
      <c r="M115" s="528">
        <f t="shared" si="1"/>
        <v>13248001</v>
      </c>
    </row>
    <row r="116" spans="1:13" ht="34.5" customHeight="1" x14ac:dyDescent="0.3">
      <c r="A116" s="502" t="s">
        <v>967</v>
      </c>
      <c r="B116" s="503" t="s">
        <v>860</v>
      </c>
      <c r="C116" s="504"/>
      <c r="D116" s="524"/>
      <c r="E116" s="525"/>
      <c r="F116" s="525">
        <f>F117-F115</f>
        <v>-558390</v>
      </c>
      <c r="G116" s="526"/>
      <c r="H116" s="526"/>
      <c r="I116" s="525"/>
      <c r="J116" s="527"/>
      <c r="K116" s="527"/>
      <c r="L116" s="527"/>
      <c r="M116" s="528">
        <f t="shared" si="1"/>
        <v>-558390</v>
      </c>
    </row>
    <row r="117" spans="1:13" s="252" customFormat="1" ht="34.5" customHeight="1" x14ac:dyDescent="0.35">
      <c r="A117" s="499" t="s">
        <v>968</v>
      </c>
      <c r="B117" s="509" t="s">
        <v>859</v>
      </c>
      <c r="C117" s="510"/>
      <c r="D117" s="529"/>
      <c r="E117" s="530"/>
      <c r="F117" s="530">
        <v>12689611</v>
      </c>
      <c r="G117" s="531"/>
      <c r="H117" s="531"/>
      <c r="I117" s="530"/>
      <c r="J117" s="532"/>
      <c r="K117" s="532"/>
      <c r="L117" s="532"/>
      <c r="M117" s="528">
        <f t="shared" si="1"/>
        <v>12689611</v>
      </c>
    </row>
    <row r="118" spans="1:13" ht="25.5" customHeight="1" x14ac:dyDescent="0.3">
      <c r="A118" s="502" t="s">
        <v>969</v>
      </c>
      <c r="B118" s="515" t="s">
        <v>844</v>
      </c>
      <c r="C118" s="504" t="s">
        <v>805</v>
      </c>
      <c r="D118" s="524"/>
      <c r="E118" s="524"/>
      <c r="F118" s="524">
        <v>3585488</v>
      </c>
      <c r="G118" s="524"/>
      <c r="H118" s="524"/>
      <c r="I118" s="524"/>
      <c r="J118" s="524"/>
      <c r="K118" s="524"/>
      <c r="L118" s="524"/>
      <c r="M118" s="528">
        <f t="shared" si="1"/>
        <v>3585488</v>
      </c>
    </row>
    <row r="119" spans="1:13" ht="34.5" customHeight="1" x14ac:dyDescent="0.3">
      <c r="A119" s="499" t="s">
        <v>970</v>
      </c>
      <c r="B119" s="503" t="s">
        <v>860</v>
      </c>
      <c r="C119" s="504"/>
      <c r="D119" s="524"/>
      <c r="E119" s="525"/>
      <c r="F119" s="525"/>
      <c r="G119" s="526"/>
      <c r="H119" s="526"/>
      <c r="I119" s="525"/>
      <c r="J119" s="527"/>
      <c r="K119" s="527"/>
      <c r="L119" s="527"/>
      <c r="M119" s="528"/>
    </row>
    <row r="120" spans="1:13" s="252" customFormat="1" ht="34.5" customHeight="1" x14ac:dyDescent="0.35">
      <c r="A120" s="502" t="s">
        <v>971</v>
      </c>
      <c r="B120" s="509" t="s">
        <v>859</v>
      </c>
      <c r="C120" s="510"/>
      <c r="D120" s="529"/>
      <c r="E120" s="530"/>
      <c r="F120" s="530">
        <v>3585488</v>
      </c>
      <c r="G120" s="531"/>
      <c r="H120" s="531"/>
      <c r="I120" s="530"/>
      <c r="J120" s="532"/>
      <c r="K120" s="532"/>
      <c r="L120" s="532"/>
      <c r="M120" s="533">
        <v>3585488</v>
      </c>
    </row>
    <row r="121" spans="1:13" ht="48.75" customHeight="1" x14ac:dyDescent="0.3">
      <c r="A121" s="502" t="s">
        <v>972</v>
      </c>
      <c r="B121" s="515" t="s">
        <v>845</v>
      </c>
      <c r="C121" s="504" t="s">
        <v>806</v>
      </c>
      <c r="D121" s="524"/>
      <c r="E121" s="524"/>
      <c r="F121" s="524">
        <v>167531600</v>
      </c>
      <c r="G121" s="524"/>
      <c r="H121" s="524"/>
      <c r="I121" s="524"/>
      <c r="J121" s="524">
        <v>1800000</v>
      </c>
      <c r="K121" s="524"/>
      <c r="L121" s="524"/>
      <c r="M121" s="528">
        <f t="shared" si="1"/>
        <v>169331600</v>
      </c>
    </row>
    <row r="122" spans="1:13" ht="34.5" customHeight="1" x14ac:dyDescent="0.3">
      <c r="A122" s="499" t="s">
        <v>973</v>
      </c>
      <c r="B122" s="503" t="s">
        <v>860</v>
      </c>
      <c r="C122" s="504"/>
      <c r="D122" s="524"/>
      <c r="E122" s="525"/>
      <c r="F122" s="525">
        <f>F123-F121</f>
        <v>-787856</v>
      </c>
      <c r="G122" s="525">
        <f t="shared" ref="G122:K122" si="10">G123-G121</f>
        <v>0</v>
      </c>
      <c r="H122" s="525">
        <f t="shared" si="10"/>
        <v>0</v>
      </c>
      <c r="I122" s="525">
        <f t="shared" si="10"/>
        <v>0</v>
      </c>
      <c r="J122" s="525">
        <f t="shared" si="10"/>
        <v>787856</v>
      </c>
      <c r="K122" s="525">
        <f t="shared" si="10"/>
        <v>0</v>
      </c>
      <c r="L122" s="527"/>
      <c r="M122" s="528">
        <f t="shared" si="1"/>
        <v>0</v>
      </c>
    </row>
    <row r="123" spans="1:13" s="252" customFormat="1" ht="34.5" customHeight="1" x14ac:dyDescent="0.35">
      <c r="A123" s="502" t="s">
        <v>974</v>
      </c>
      <c r="B123" s="509" t="s">
        <v>859</v>
      </c>
      <c r="C123" s="510"/>
      <c r="D123" s="529"/>
      <c r="E123" s="530"/>
      <c r="F123" s="530">
        <v>166743744</v>
      </c>
      <c r="G123" s="531"/>
      <c r="H123" s="531"/>
      <c r="I123" s="530"/>
      <c r="J123" s="532">
        <v>2587856</v>
      </c>
      <c r="K123" s="532"/>
      <c r="L123" s="532"/>
      <c r="M123" s="528">
        <f t="shared" si="1"/>
        <v>169331600</v>
      </c>
    </row>
    <row r="124" spans="1:13" ht="40.5" customHeight="1" x14ac:dyDescent="0.3">
      <c r="A124" s="499" t="s">
        <v>975</v>
      </c>
      <c r="B124" s="515" t="s">
        <v>846</v>
      </c>
      <c r="C124" s="504" t="s">
        <v>807</v>
      </c>
      <c r="D124" s="524"/>
      <c r="E124" s="524"/>
      <c r="F124" s="524">
        <v>10000000</v>
      </c>
      <c r="G124" s="524"/>
      <c r="H124" s="524"/>
      <c r="I124" s="524"/>
      <c r="J124" s="524"/>
      <c r="K124" s="524"/>
      <c r="L124" s="524"/>
      <c r="M124" s="528">
        <f t="shared" si="1"/>
        <v>10000000</v>
      </c>
    </row>
    <row r="125" spans="1:13" ht="34.5" customHeight="1" x14ac:dyDescent="0.3">
      <c r="A125" s="502" t="s">
        <v>976</v>
      </c>
      <c r="B125" s="503" t="s">
        <v>860</v>
      </c>
      <c r="C125" s="504"/>
      <c r="D125" s="524"/>
      <c r="E125" s="525"/>
      <c r="F125" s="525"/>
      <c r="G125" s="526"/>
      <c r="H125" s="526"/>
      <c r="I125" s="525"/>
      <c r="J125" s="527"/>
      <c r="K125" s="527"/>
      <c r="L125" s="527"/>
      <c r="M125" s="528"/>
    </row>
    <row r="126" spans="1:13" s="252" customFormat="1" ht="34.5" customHeight="1" x14ac:dyDescent="0.35">
      <c r="A126" s="499" t="s">
        <v>977</v>
      </c>
      <c r="B126" s="509" t="s">
        <v>859</v>
      </c>
      <c r="C126" s="510"/>
      <c r="D126" s="529"/>
      <c r="E126" s="530"/>
      <c r="F126" s="530">
        <v>10000000</v>
      </c>
      <c r="G126" s="531"/>
      <c r="H126" s="531"/>
      <c r="I126" s="530"/>
      <c r="J126" s="532"/>
      <c r="K126" s="532"/>
      <c r="L126" s="532"/>
      <c r="M126" s="533">
        <v>10000000</v>
      </c>
    </row>
    <row r="127" spans="1:13" ht="41.25" customHeight="1" x14ac:dyDescent="0.3">
      <c r="A127" s="502" t="s">
        <v>978</v>
      </c>
      <c r="B127" s="515" t="s">
        <v>847</v>
      </c>
      <c r="C127" s="504" t="s">
        <v>808</v>
      </c>
      <c r="D127" s="524"/>
      <c r="E127" s="524"/>
      <c r="F127" s="524">
        <v>254381</v>
      </c>
      <c r="G127" s="524"/>
      <c r="H127" s="524"/>
      <c r="I127" s="524"/>
      <c r="J127" s="524"/>
      <c r="K127" s="524"/>
      <c r="L127" s="524"/>
      <c r="M127" s="528">
        <f t="shared" si="1"/>
        <v>254381</v>
      </c>
    </row>
    <row r="128" spans="1:13" ht="34.5" customHeight="1" x14ac:dyDescent="0.3">
      <c r="A128" s="499" t="s">
        <v>979</v>
      </c>
      <c r="B128" s="503" t="s">
        <v>860</v>
      </c>
      <c r="C128" s="504"/>
      <c r="D128" s="524"/>
      <c r="E128" s="525"/>
      <c r="F128" s="525"/>
      <c r="G128" s="526"/>
      <c r="H128" s="526"/>
      <c r="I128" s="525"/>
      <c r="J128" s="527"/>
      <c r="K128" s="527"/>
      <c r="L128" s="527"/>
      <c r="M128" s="528">
        <f t="shared" si="1"/>
        <v>0</v>
      </c>
    </row>
    <row r="129" spans="1:13" s="252" customFormat="1" ht="34.5" customHeight="1" x14ac:dyDescent="0.35">
      <c r="A129" s="502" t="s">
        <v>980</v>
      </c>
      <c r="B129" s="509" t="s">
        <v>859</v>
      </c>
      <c r="C129" s="510"/>
      <c r="D129" s="529"/>
      <c r="E129" s="530"/>
      <c r="F129" s="530">
        <v>254381</v>
      </c>
      <c r="G129" s="531"/>
      <c r="H129" s="531"/>
      <c r="I129" s="530"/>
      <c r="J129" s="532"/>
      <c r="K129" s="532"/>
      <c r="L129" s="532"/>
      <c r="M129" s="533">
        <f t="shared" si="1"/>
        <v>254381</v>
      </c>
    </row>
    <row r="130" spans="1:13" ht="34.5" customHeight="1" x14ac:dyDescent="0.3">
      <c r="A130" s="499" t="s">
        <v>981</v>
      </c>
      <c r="B130" s="503" t="s">
        <v>984</v>
      </c>
      <c r="C130" s="504" t="s">
        <v>885</v>
      </c>
      <c r="D130" s="524"/>
      <c r="E130" s="525"/>
      <c r="F130" s="525"/>
      <c r="G130" s="526"/>
      <c r="H130" s="526"/>
      <c r="I130" s="525"/>
      <c r="J130" s="527"/>
      <c r="K130" s="527"/>
      <c r="L130" s="527"/>
      <c r="M130" s="528">
        <f t="shared" si="1"/>
        <v>0</v>
      </c>
    </row>
    <row r="131" spans="1:13" ht="34.5" customHeight="1" x14ac:dyDescent="0.3">
      <c r="A131" s="502" t="s">
        <v>982</v>
      </c>
      <c r="B131" s="503" t="s">
        <v>860</v>
      </c>
      <c r="C131" s="504"/>
      <c r="D131" s="524"/>
      <c r="E131" s="525"/>
      <c r="F131" s="525">
        <v>90000000</v>
      </c>
      <c r="G131" s="526"/>
      <c r="H131" s="526"/>
      <c r="I131" s="525"/>
      <c r="J131" s="527"/>
      <c r="K131" s="527"/>
      <c r="L131" s="527"/>
      <c r="M131" s="528">
        <f t="shared" si="1"/>
        <v>90000000</v>
      </c>
    </row>
    <row r="132" spans="1:13" s="252" customFormat="1" ht="34.5" customHeight="1" x14ac:dyDescent="0.35">
      <c r="A132" s="499" t="s">
        <v>983</v>
      </c>
      <c r="B132" s="509" t="s">
        <v>859</v>
      </c>
      <c r="C132" s="510"/>
      <c r="D132" s="529"/>
      <c r="E132" s="530"/>
      <c r="F132" s="530">
        <v>90000000</v>
      </c>
      <c r="G132" s="531"/>
      <c r="H132" s="531"/>
      <c r="I132" s="530"/>
      <c r="J132" s="532"/>
      <c r="K132" s="532"/>
      <c r="L132" s="532"/>
      <c r="M132" s="533">
        <f t="shared" si="1"/>
        <v>90000000</v>
      </c>
    </row>
    <row r="133" spans="1:13" ht="32.25" customHeight="1" x14ac:dyDescent="0.3">
      <c r="A133" s="502" t="s">
        <v>985</v>
      </c>
      <c r="B133" s="515" t="s">
        <v>848</v>
      </c>
      <c r="C133" s="504" t="s">
        <v>809</v>
      </c>
      <c r="D133" s="524"/>
      <c r="E133" s="524"/>
      <c r="F133" s="524">
        <v>12000000</v>
      </c>
      <c r="G133" s="524"/>
      <c r="H133" s="524"/>
      <c r="I133" s="524"/>
      <c r="J133" s="524"/>
      <c r="K133" s="524"/>
      <c r="L133" s="524"/>
      <c r="M133" s="528">
        <f t="shared" si="1"/>
        <v>12000000</v>
      </c>
    </row>
    <row r="134" spans="1:13" ht="34.5" customHeight="1" x14ac:dyDescent="0.3">
      <c r="A134" s="499" t="s">
        <v>986</v>
      </c>
      <c r="B134" s="503" t="s">
        <v>860</v>
      </c>
      <c r="C134" s="504"/>
      <c r="D134" s="524"/>
      <c r="E134" s="525"/>
      <c r="F134" s="525"/>
      <c r="G134" s="526"/>
      <c r="H134" s="526"/>
      <c r="I134" s="525"/>
      <c r="J134" s="527"/>
      <c r="K134" s="527"/>
      <c r="L134" s="527"/>
      <c r="M134" s="528"/>
    </row>
    <row r="135" spans="1:13" s="252" customFormat="1" ht="34.5" customHeight="1" x14ac:dyDescent="0.35">
      <c r="A135" s="502" t="s">
        <v>987</v>
      </c>
      <c r="B135" s="509" t="s">
        <v>859</v>
      </c>
      <c r="C135" s="510"/>
      <c r="D135" s="529"/>
      <c r="E135" s="530"/>
      <c r="F135" s="530">
        <v>12000000</v>
      </c>
      <c r="G135" s="531"/>
      <c r="H135" s="531"/>
      <c r="I135" s="530"/>
      <c r="J135" s="532"/>
      <c r="K135" s="532"/>
      <c r="L135" s="532"/>
      <c r="M135" s="533">
        <v>12000000</v>
      </c>
    </row>
    <row r="136" spans="1:13" ht="30" customHeight="1" x14ac:dyDescent="0.3">
      <c r="A136" s="502" t="s">
        <v>988</v>
      </c>
      <c r="B136" s="515" t="s">
        <v>849</v>
      </c>
      <c r="C136" s="504" t="s">
        <v>810</v>
      </c>
      <c r="D136" s="524"/>
      <c r="E136" s="524"/>
      <c r="F136" s="524">
        <v>10588340</v>
      </c>
      <c r="G136" s="524"/>
      <c r="H136" s="524"/>
      <c r="I136" s="524"/>
      <c r="J136" s="524"/>
      <c r="K136" s="524"/>
      <c r="L136" s="524"/>
      <c r="M136" s="528">
        <f t="shared" si="1"/>
        <v>10588340</v>
      </c>
    </row>
    <row r="137" spans="1:13" ht="34.5" customHeight="1" x14ac:dyDescent="0.3">
      <c r="A137" s="499" t="s">
        <v>989</v>
      </c>
      <c r="B137" s="503" t="s">
        <v>860</v>
      </c>
      <c r="C137" s="504"/>
      <c r="D137" s="524"/>
      <c r="E137" s="525"/>
      <c r="F137" s="525"/>
      <c r="G137" s="526"/>
      <c r="H137" s="526"/>
      <c r="I137" s="525"/>
      <c r="J137" s="527"/>
      <c r="K137" s="527"/>
      <c r="L137" s="527"/>
      <c r="M137" s="528"/>
    </row>
    <row r="138" spans="1:13" s="252" customFormat="1" ht="34.5" customHeight="1" x14ac:dyDescent="0.35">
      <c r="A138" s="502" t="s">
        <v>990</v>
      </c>
      <c r="B138" s="509" t="s">
        <v>859</v>
      </c>
      <c r="C138" s="510"/>
      <c r="D138" s="529"/>
      <c r="E138" s="530"/>
      <c r="F138" s="530">
        <v>10588340</v>
      </c>
      <c r="G138" s="531"/>
      <c r="H138" s="531"/>
      <c r="I138" s="530"/>
      <c r="J138" s="532"/>
      <c r="K138" s="532"/>
      <c r="L138" s="532"/>
      <c r="M138" s="533">
        <v>10588340</v>
      </c>
    </row>
    <row r="139" spans="1:13" ht="36.75" customHeight="1" x14ac:dyDescent="0.3">
      <c r="A139" s="502" t="s">
        <v>991</v>
      </c>
      <c r="B139" s="515" t="s">
        <v>764</v>
      </c>
      <c r="C139" s="504" t="s">
        <v>765</v>
      </c>
      <c r="D139" s="524">
        <v>2840025</v>
      </c>
      <c r="E139" s="524">
        <v>712800</v>
      </c>
      <c r="F139" s="524">
        <v>31149012</v>
      </c>
      <c r="G139" s="524"/>
      <c r="H139" s="524">
        <v>17146343</v>
      </c>
      <c r="I139" s="524">
        <v>1120500</v>
      </c>
      <c r="J139" s="524"/>
      <c r="K139" s="524"/>
      <c r="L139" s="524"/>
      <c r="M139" s="528">
        <f t="shared" si="1"/>
        <v>52968680</v>
      </c>
    </row>
    <row r="140" spans="1:13" ht="34.5" customHeight="1" x14ac:dyDescent="0.3">
      <c r="A140" s="499" t="s">
        <v>992</v>
      </c>
      <c r="B140" s="503" t="s">
        <v>860</v>
      </c>
      <c r="C140" s="504"/>
      <c r="D140" s="524">
        <f>D141-D139</f>
        <v>0</v>
      </c>
      <c r="E140" s="524">
        <f t="shared" ref="E140:L140" si="11">E141-E139</f>
        <v>0</v>
      </c>
      <c r="F140" s="524">
        <f t="shared" si="11"/>
        <v>-7500000</v>
      </c>
      <c r="G140" s="524">
        <f t="shared" si="11"/>
        <v>0</v>
      </c>
      <c r="H140" s="524">
        <f t="shared" si="11"/>
        <v>0</v>
      </c>
      <c r="I140" s="524">
        <f t="shared" si="11"/>
        <v>543800</v>
      </c>
      <c r="J140" s="524">
        <f t="shared" si="11"/>
        <v>0</v>
      </c>
      <c r="K140" s="524">
        <f t="shared" si="11"/>
        <v>0</v>
      </c>
      <c r="L140" s="524">
        <f t="shared" si="11"/>
        <v>0</v>
      </c>
      <c r="M140" s="528">
        <f t="shared" si="1"/>
        <v>-6956200</v>
      </c>
    </row>
    <row r="141" spans="1:13" s="252" customFormat="1" ht="34.5" customHeight="1" x14ac:dyDescent="0.35">
      <c r="A141" s="502" t="s">
        <v>993</v>
      </c>
      <c r="B141" s="509" t="s">
        <v>859</v>
      </c>
      <c r="C141" s="510"/>
      <c r="D141" s="529">
        <v>2840025</v>
      </c>
      <c r="E141" s="530">
        <v>712800</v>
      </c>
      <c r="F141" s="530">
        <v>23649012</v>
      </c>
      <c r="G141" s="531"/>
      <c r="H141" s="531">
        <v>17146343</v>
      </c>
      <c r="I141" s="530">
        <v>1664300</v>
      </c>
      <c r="J141" s="532"/>
      <c r="K141" s="532"/>
      <c r="L141" s="532"/>
      <c r="M141" s="533">
        <f>SUM(D141:L141)</f>
        <v>46012480</v>
      </c>
    </row>
    <row r="142" spans="1:13" ht="34.5" customHeight="1" x14ac:dyDescent="0.3">
      <c r="A142" s="502" t="s">
        <v>994</v>
      </c>
      <c r="B142" s="503" t="s">
        <v>997</v>
      </c>
      <c r="C142" s="504" t="s">
        <v>888</v>
      </c>
      <c r="D142" s="524"/>
      <c r="E142" s="525"/>
      <c r="F142" s="525"/>
      <c r="G142" s="526"/>
      <c r="H142" s="526"/>
      <c r="I142" s="525"/>
      <c r="J142" s="527"/>
      <c r="K142" s="527"/>
      <c r="L142" s="527"/>
      <c r="M142" s="533">
        <f t="shared" ref="M142:M144" si="12">SUM(D142:L142)</f>
        <v>0</v>
      </c>
    </row>
    <row r="143" spans="1:13" ht="34.5" customHeight="1" x14ac:dyDescent="0.3">
      <c r="A143" s="502" t="s">
        <v>995</v>
      </c>
      <c r="B143" s="503" t="s">
        <v>860</v>
      </c>
      <c r="C143" s="504"/>
      <c r="D143" s="524"/>
      <c r="E143" s="525"/>
      <c r="F143" s="525">
        <v>60348839</v>
      </c>
      <c r="G143" s="526"/>
      <c r="H143" s="526"/>
      <c r="I143" s="525"/>
      <c r="J143" s="527"/>
      <c r="K143" s="527"/>
      <c r="L143" s="527"/>
      <c r="M143" s="528">
        <f t="shared" si="12"/>
        <v>60348839</v>
      </c>
    </row>
    <row r="144" spans="1:13" s="252" customFormat="1" ht="34.5" customHeight="1" x14ac:dyDescent="0.35">
      <c r="A144" s="499" t="s">
        <v>996</v>
      </c>
      <c r="B144" s="509" t="s">
        <v>859</v>
      </c>
      <c r="C144" s="510"/>
      <c r="D144" s="529"/>
      <c r="E144" s="530"/>
      <c r="F144" s="530">
        <v>60348839</v>
      </c>
      <c r="G144" s="531"/>
      <c r="H144" s="531"/>
      <c r="I144" s="530"/>
      <c r="J144" s="532"/>
      <c r="K144" s="532"/>
      <c r="L144" s="532"/>
      <c r="M144" s="533">
        <f t="shared" si="12"/>
        <v>60348839</v>
      </c>
    </row>
    <row r="145" spans="1:13" ht="45" customHeight="1" x14ac:dyDescent="0.3">
      <c r="A145" s="502" t="s">
        <v>998</v>
      </c>
      <c r="B145" s="515" t="s">
        <v>850</v>
      </c>
      <c r="C145" s="504" t="s">
        <v>811</v>
      </c>
      <c r="D145" s="524"/>
      <c r="E145" s="524"/>
      <c r="F145" s="524">
        <v>254000</v>
      </c>
      <c r="G145" s="524">
        <v>66143000</v>
      </c>
      <c r="H145" s="524"/>
      <c r="I145" s="524"/>
      <c r="J145" s="524"/>
      <c r="K145" s="524">
        <v>5000000</v>
      </c>
      <c r="L145" s="524"/>
      <c r="M145" s="528">
        <f t="shared" si="1"/>
        <v>71397000</v>
      </c>
    </row>
    <row r="146" spans="1:13" ht="34.5" customHeight="1" x14ac:dyDescent="0.3">
      <c r="A146" s="499" t="s">
        <v>999</v>
      </c>
      <c r="B146" s="503" t="s">
        <v>860</v>
      </c>
      <c r="C146" s="504"/>
      <c r="D146" s="524"/>
      <c r="E146" s="525"/>
      <c r="F146" s="525">
        <f t="shared" ref="F146:L146" si="13">F147-F145</f>
        <v>8547539</v>
      </c>
      <c r="G146" s="525">
        <f t="shared" si="13"/>
        <v>-6763829</v>
      </c>
      <c r="H146" s="525">
        <f t="shared" si="13"/>
        <v>0</v>
      </c>
      <c r="I146" s="525">
        <f t="shared" si="13"/>
        <v>0</v>
      </c>
      <c r="J146" s="525">
        <f t="shared" si="13"/>
        <v>0</v>
      </c>
      <c r="K146" s="525">
        <f t="shared" si="13"/>
        <v>1075000</v>
      </c>
      <c r="L146" s="525">
        <f t="shared" si="13"/>
        <v>0</v>
      </c>
      <c r="M146" s="528">
        <f t="shared" si="1"/>
        <v>2858710</v>
      </c>
    </row>
    <row r="147" spans="1:13" s="252" customFormat="1" ht="34.5" customHeight="1" x14ac:dyDescent="0.35">
      <c r="A147" s="502" t="s">
        <v>1000</v>
      </c>
      <c r="B147" s="509" t="s">
        <v>859</v>
      </c>
      <c r="C147" s="510"/>
      <c r="D147" s="529"/>
      <c r="E147" s="530"/>
      <c r="F147" s="530">
        <v>8801539</v>
      </c>
      <c r="G147" s="531">
        <v>59379171</v>
      </c>
      <c r="H147" s="531"/>
      <c r="I147" s="530"/>
      <c r="J147" s="532"/>
      <c r="K147" s="532">
        <v>6075000</v>
      </c>
      <c r="L147" s="532"/>
      <c r="M147" s="533">
        <f>SUM(D147:L147)</f>
        <v>74255710</v>
      </c>
    </row>
    <row r="148" spans="1:13" ht="36.75" customHeight="1" x14ac:dyDescent="0.3">
      <c r="A148" s="502" t="s">
        <v>1001</v>
      </c>
      <c r="B148" s="515" t="s">
        <v>851</v>
      </c>
      <c r="C148" s="504" t="s">
        <v>812</v>
      </c>
      <c r="D148" s="524"/>
      <c r="E148" s="524"/>
      <c r="F148" s="524">
        <v>3147488</v>
      </c>
      <c r="G148" s="524"/>
      <c r="H148" s="524"/>
      <c r="I148" s="524"/>
      <c r="J148" s="524"/>
      <c r="K148" s="524"/>
      <c r="L148" s="524">
        <f>'9.sz.mell.'!D107</f>
        <v>23997938</v>
      </c>
      <c r="M148" s="528">
        <f t="shared" si="1"/>
        <v>27145426</v>
      </c>
    </row>
    <row r="149" spans="1:13" ht="34.5" customHeight="1" x14ac:dyDescent="0.3">
      <c r="A149" s="499" t="s">
        <v>1002</v>
      </c>
      <c r="B149" s="503" t="s">
        <v>860</v>
      </c>
      <c r="C149" s="504"/>
      <c r="D149" s="524"/>
      <c r="E149" s="525"/>
      <c r="F149" s="525"/>
      <c r="G149" s="526"/>
      <c r="H149" s="526"/>
      <c r="I149" s="525"/>
      <c r="J149" s="527"/>
      <c r="K149" s="527"/>
      <c r="L149" s="527"/>
      <c r="M149" s="528"/>
    </row>
    <row r="150" spans="1:13" s="252" customFormat="1" ht="34.5" customHeight="1" x14ac:dyDescent="0.35">
      <c r="A150" s="502" t="s">
        <v>1003</v>
      </c>
      <c r="B150" s="509" t="s">
        <v>859</v>
      </c>
      <c r="C150" s="510"/>
      <c r="D150" s="529"/>
      <c r="E150" s="530"/>
      <c r="F150" s="530">
        <v>3147488</v>
      </c>
      <c r="G150" s="531"/>
      <c r="H150" s="531"/>
      <c r="I150" s="530"/>
      <c r="J150" s="532"/>
      <c r="K150" s="532"/>
      <c r="L150" s="532">
        <v>23997938</v>
      </c>
      <c r="M150" s="533">
        <f>SUM(F150:L150)</f>
        <v>27145426</v>
      </c>
    </row>
    <row r="151" spans="1:13" ht="36.75" customHeight="1" x14ac:dyDescent="0.3">
      <c r="A151" s="499" t="s">
        <v>1004</v>
      </c>
      <c r="B151" s="515" t="s">
        <v>853</v>
      </c>
      <c r="C151" s="504" t="s">
        <v>852</v>
      </c>
      <c r="D151" s="524"/>
      <c r="E151" s="524"/>
      <c r="F151" s="524"/>
      <c r="G151" s="524"/>
      <c r="H151" s="524">
        <v>70000000</v>
      </c>
      <c r="I151" s="524"/>
      <c r="J151" s="524"/>
      <c r="K151" s="524"/>
      <c r="L151" s="524"/>
      <c r="M151" s="528">
        <f t="shared" si="1"/>
        <v>70000000</v>
      </c>
    </row>
    <row r="152" spans="1:13" ht="34.5" customHeight="1" x14ac:dyDescent="0.3">
      <c r="A152" s="502" t="s">
        <v>1005</v>
      </c>
      <c r="B152" s="503" t="s">
        <v>860</v>
      </c>
      <c r="C152" s="504"/>
      <c r="D152" s="524"/>
      <c r="E152" s="525"/>
      <c r="F152" s="525"/>
      <c r="G152" s="526"/>
      <c r="H152" s="526" t="s">
        <v>865</v>
      </c>
      <c r="I152" s="525"/>
      <c r="J152" s="527"/>
      <c r="K152" s="527"/>
      <c r="L152" s="527"/>
      <c r="M152" s="528"/>
    </row>
    <row r="153" spans="1:13" s="252" customFormat="1" ht="34.5" customHeight="1" x14ac:dyDescent="0.35">
      <c r="A153" s="499" t="s">
        <v>1006</v>
      </c>
      <c r="B153" s="509" t="s">
        <v>859</v>
      </c>
      <c r="C153" s="510"/>
      <c r="D153" s="529"/>
      <c r="E153" s="530"/>
      <c r="F153" s="530"/>
      <c r="G153" s="531"/>
      <c r="H153" s="531">
        <v>70000000</v>
      </c>
      <c r="I153" s="530"/>
      <c r="J153" s="532"/>
      <c r="K153" s="532"/>
      <c r="L153" s="532"/>
      <c r="M153" s="533">
        <v>70000000</v>
      </c>
    </row>
    <row r="154" spans="1:13" ht="36.75" customHeight="1" x14ac:dyDescent="0.3">
      <c r="A154" s="502" t="s">
        <v>1007</v>
      </c>
      <c r="B154" s="515" t="s">
        <v>767</v>
      </c>
      <c r="C154" s="504" t="s">
        <v>766</v>
      </c>
      <c r="D154" s="524"/>
      <c r="E154" s="524"/>
      <c r="F154" s="524">
        <v>54107776</v>
      </c>
      <c r="G154" s="524"/>
      <c r="H154" s="524"/>
      <c r="I154" s="524">
        <v>8000000</v>
      </c>
      <c r="J154" s="524"/>
      <c r="K154" s="524"/>
      <c r="L154" s="524"/>
      <c r="M154" s="528">
        <f t="shared" si="1"/>
        <v>62107776</v>
      </c>
    </row>
    <row r="155" spans="1:13" ht="34.5" customHeight="1" x14ac:dyDescent="0.3">
      <c r="A155" s="499" t="s">
        <v>1008</v>
      </c>
      <c r="B155" s="503" t="s">
        <v>860</v>
      </c>
      <c r="C155" s="504"/>
      <c r="D155" s="524"/>
      <c r="E155" s="525"/>
      <c r="F155" s="525">
        <f>F156-F154</f>
        <v>6311110</v>
      </c>
      <c r="G155" s="526"/>
      <c r="H155" s="526"/>
      <c r="I155" s="525"/>
      <c r="J155" s="527"/>
      <c r="K155" s="527"/>
      <c r="L155" s="527"/>
      <c r="M155" s="528">
        <f t="shared" si="1"/>
        <v>6311110</v>
      </c>
    </row>
    <row r="156" spans="1:13" s="252" customFormat="1" ht="34.5" customHeight="1" x14ac:dyDescent="0.35">
      <c r="A156" s="502" t="s">
        <v>1009</v>
      </c>
      <c r="B156" s="509" t="s">
        <v>859</v>
      </c>
      <c r="C156" s="510"/>
      <c r="D156" s="529"/>
      <c r="E156" s="530"/>
      <c r="F156" s="530">
        <v>60418886</v>
      </c>
      <c r="G156" s="531"/>
      <c r="H156" s="531"/>
      <c r="I156" s="530">
        <v>8000000</v>
      </c>
      <c r="J156" s="532"/>
      <c r="K156" s="532"/>
      <c r="L156" s="532"/>
      <c r="M156" s="533">
        <f>SUM(D156:L156)</f>
        <v>68418886</v>
      </c>
    </row>
    <row r="157" spans="1:13" ht="36.75" customHeight="1" x14ac:dyDescent="0.3">
      <c r="A157" s="499" t="s">
        <v>1010</v>
      </c>
      <c r="B157" s="509" t="s">
        <v>408</v>
      </c>
      <c r="C157" s="518"/>
      <c r="D157" s="529">
        <f>D6+D9+D12+D18+D15+D21+D24+D27+D30+D33+D36+D39+D42+D45+D48+D51+D54+D57+D60+D63+D66+D69+D72+D75+D78+D81+D84+D87+D90+D93+D96+D99+D102+D105+D108+D111+D114+D117+D120+D123+D126+D129+D132+D135+D138+D141+D144+D147+D150+D153+D156</f>
        <v>297577067</v>
      </c>
      <c r="E157" s="529">
        <f t="shared" ref="E157:J157" si="14">E6+E9+E12+E18+E15+E21+E24+E27+E30+E33+E36+E39+E42+E45+E48+E51+E54+E57+E60+E63+E66+E69+E72+E75+E78+E81+E84+E87+E90+E93+E96+E99+E102+E105+E108+E111+E114+E117+E120+E123+E126+E129+E132+E135+E138+E141+E144+E147+E150+E153+E156</f>
        <v>46076817</v>
      </c>
      <c r="F157" s="529">
        <f t="shared" si="14"/>
        <v>1744236208</v>
      </c>
      <c r="G157" s="529">
        <f t="shared" si="14"/>
        <v>59379171</v>
      </c>
      <c r="H157" s="529">
        <f t="shared" si="14"/>
        <v>1071570226</v>
      </c>
      <c r="I157" s="529">
        <f t="shared" si="14"/>
        <v>86033639</v>
      </c>
      <c r="J157" s="529">
        <f t="shared" si="14"/>
        <v>153072113</v>
      </c>
      <c r="K157" s="529">
        <f t="shared" ref="K157" si="15">K6+K9+K12+K18+K15+K21+K24+K27+K30+K33+K36+K39+K42+K45+K48+K51+K54+K57+K60+K63+K66+K69+K72+K75+K78+K81+K84+K87+K90+K93+K96+K99+K102+K105+K108+K111+K114+K117+K120+K123+K126+K129+K132+K135+K138+K141+K144+K147+K150+K153+K156</f>
        <v>6075000</v>
      </c>
      <c r="L157" s="529">
        <v>358251225</v>
      </c>
      <c r="M157" s="529">
        <f t="shared" ref="M157" si="16">M6+M9+M12+M18+M15+M21+M24+M27+M30+M33+M36+M39+M42+M45+M48+M51+M54+M57+M60+M63+M66+M69+M72+M75+M78+M81+M84+M87+M90+M93+M96+M99+M102+M105+M108+M111+M114+M117+M120+M123+M126+M129+M132+M135+M138+M141+M144+M147+M150+M153+M156</f>
        <v>3822078266</v>
      </c>
    </row>
    <row r="159" spans="1:13" s="700" customFormat="1" x14ac:dyDescent="0.3">
      <c r="A159" s="698"/>
      <c r="B159" s="699"/>
      <c r="D159" s="701"/>
      <c r="E159" s="701"/>
      <c r="F159" s="701"/>
      <c r="G159" s="701"/>
      <c r="H159" s="701"/>
      <c r="I159" s="701"/>
    </row>
    <row r="161" spans="4:13" x14ac:dyDescent="0.3"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</row>
  </sheetData>
  <mergeCells count="2">
    <mergeCell ref="A1:M1"/>
    <mergeCell ref="K2:M2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6" orientation="landscape" r:id="rId1"/>
  <headerFooter>
    <oddHeader>&amp;R &amp;"Times New Roman CE,Félkövér dőlt"&amp;11 9.2.  melléklet a 16/2017.(IX.04.)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view="pageLayout" topLeftCell="C1" zoomScaleNormal="100" zoomScaleSheetLayoutView="100" workbookViewId="0">
      <selection activeCell="A5" sqref="A5:I5"/>
    </sheetView>
  </sheetViews>
  <sheetFormatPr defaultRowHeight="13" x14ac:dyDescent="0.3"/>
  <cols>
    <col min="1" max="1" width="6.796875" style="138" customWidth="1"/>
    <col min="2" max="2" width="60.19921875" style="139" customWidth="1"/>
    <col min="3" max="3" width="8.19921875" style="139" customWidth="1"/>
    <col min="4" max="5" width="14.5" style="108" customWidth="1"/>
    <col min="6" max="6" width="16" style="108" customWidth="1"/>
    <col min="7" max="7" width="14.5" style="108" customWidth="1"/>
    <col min="8" max="8" width="15" style="108" bestFit="1" customWidth="1"/>
    <col min="9" max="9" width="13.19921875" style="108" bestFit="1" customWidth="1"/>
    <col min="10" max="257" width="9.296875" style="108"/>
    <col min="258" max="258" width="6.796875" style="108" customWidth="1"/>
    <col min="259" max="259" width="60.19921875" style="108" customWidth="1"/>
    <col min="260" max="260" width="8.19921875" style="108" customWidth="1"/>
    <col min="261" max="263" width="14.5" style="108" customWidth="1"/>
    <col min="264" max="513" width="9.296875" style="108"/>
    <col min="514" max="514" width="6.796875" style="108" customWidth="1"/>
    <col min="515" max="515" width="60.19921875" style="108" customWidth="1"/>
    <col min="516" max="516" width="8.19921875" style="108" customWidth="1"/>
    <col min="517" max="519" width="14.5" style="108" customWidth="1"/>
    <col min="520" max="769" width="9.296875" style="108"/>
    <col min="770" max="770" width="6.796875" style="108" customWidth="1"/>
    <col min="771" max="771" width="60.19921875" style="108" customWidth="1"/>
    <col min="772" max="772" width="8.19921875" style="108" customWidth="1"/>
    <col min="773" max="775" width="14.5" style="108" customWidth="1"/>
    <col min="776" max="1025" width="9.296875" style="108"/>
    <col min="1026" max="1026" width="6.796875" style="108" customWidth="1"/>
    <col min="1027" max="1027" width="60.19921875" style="108" customWidth="1"/>
    <col min="1028" max="1028" width="8.19921875" style="108" customWidth="1"/>
    <col min="1029" max="1031" width="14.5" style="108" customWidth="1"/>
    <col min="1032" max="1281" width="9.296875" style="108"/>
    <col min="1282" max="1282" width="6.796875" style="108" customWidth="1"/>
    <col min="1283" max="1283" width="60.19921875" style="108" customWidth="1"/>
    <col min="1284" max="1284" width="8.19921875" style="108" customWidth="1"/>
    <col min="1285" max="1287" width="14.5" style="108" customWidth="1"/>
    <col min="1288" max="1537" width="9.296875" style="108"/>
    <col min="1538" max="1538" width="6.796875" style="108" customWidth="1"/>
    <col min="1539" max="1539" width="60.19921875" style="108" customWidth="1"/>
    <col min="1540" max="1540" width="8.19921875" style="108" customWidth="1"/>
    <col min="1541" max="1543" width="14.5" style="108" customWidth="1"/>
    <col min="1544" max="1793" width="9.296875" style="108"/>
    <col min="1794" max="1794" width="6.796875" style="108" customWidth="1"/>
    <col min="1795" max="1795" width="60.19921875" style="108" customWidth="1"/>
    <col min="1796" max="1796" width="8.19921875" style="108" customWidth="1"/>
    <col min="1797" max="1799" width="14.5" style="108" customWidth="1"/>
    <col min="1800" max="2049" width="9.296875" style="108"/>
    <col min="2050" max="2050" width="6.796875" style="108" customWidth="1"/>
    <col min="2051" max="2051" width="60.19921875" style="108" customWidth="1"/>
    <col min="2052" max="2052" width="8.19921875" style="108" customWidth="1"/>
    <col min="2053" max="2055" width="14.5" style="108" customWidth="1"/>
    <col min="2056" max="2305" width="9.296875" style="108"/>
    <col min="2306" max="2306" width="6.796875" style="108" customWidth="1"/>
    <col min="2307" max="2307" width="60.19921875" style="108" customWidth="1"/>
    <col min="2308" max="2308" width="8.19921875" style="108" customWidth="1"/>
    <col min="2309" max="2311" width="14.5" style="108" customWidth="1"/>
    <col min="2312" max="2561" width="9.296875" style="108"/>
    <col min="2562" max="2562" width="6.796875" style="108" customWidth="1"/>
    <col min="2563" max="2563" width="60.19921875" style="108" customWidth="1"/>
    <col min="2564" max="2564" width="8.19921875" style="108" customWidth="1"/>
    <col min="2565" max="2567" width="14.5" style="108" customWidth="1"/>
    <col min="2568" max="2817" width="9.296875" style="108"/>
    <col min="2818" max="2818" width="6.796875" style="108" customWidth="1"/>
    <col min="2819" max="2819" width="60.19921875" style="108" customWidth="1"/>
    <col min="2820" max="2820" width="8.19921875" style="108" customWidth="1"/>
    <col min="2821" max="2823" width="14.5" style="108" customWidth="1"/>
    <col min="2824" max="3073" width="9.296875" style="108"/>
    <col min="3074" max="3074" width="6.796875" style="108" customWidth="1"/>
    <col min="3075" max="3075" width="60.19921875" style="108" customWidth="1"/>
    <col min="3076" max="3076" width="8.19921875" style="108" customWidth="1"/>
    <col min="3077" max="3079" width="14.5" style="108" customWidth="1"/>
    <col min="3080" max="3329" width="9.296875" style="108"/>
    <col min="3330" max="3330" width="6.796875" style="108" customWidth="1"/>
    <col min="3331" max="3331" width="60.19921875" style="108" customWidth="1"/>
    <col min="3332" max="3332" width="8.19921875" style="108" customWidth="1"/>
    <col min="3333" max="3335" width="14.5" style="108" customWidth="1"/>
    <col min="3336" max="3585" width="9.296875" style="108"/>
    <col min="3586" max="3586" width="6.796875" style="108" customWidth="1"/>
    <col min="3587" max="3587" width="60.19921875" style="108" customWidth="1"/>
    <col min="3588" max="3588" width="8.19921875" style="108" customWidth="1"/>
    <col min="3589" max="3591" width="14.5" style="108" customWidth="1"/>
    <col min="3592" max="3841" width="9.296875" style="108"/>
    <col min="3842" max="3842" width="6.796875" style="108" customWidth="1"/>
    <col min="3843" max="3843" width="60.19921875" style="108" customWidth="1"/>
    <col min="3844" max="3844" width="8.19921875" style="108" customWidth="1"/>
    <col min="3845" max="3847" width="14.5" style="108" customWidth="1"/>
    <col min="3848" max="4097" width="9.296875" style="108"/>
    <col min="4098" max="4098" width="6.796875" style="108" customWidth="1"/>
    <col min="4099" max="4099" width="60.19921875" style="108" customWidth="1"/>
    <col min="4100" max="4100" width="8.19921875" style="108" customWidth="1"/>
    <col min="4101" max="4103" width="14.5" style="108" customWidth="1"/>
    <col min="4104" max="4353" width="9.296875" style="108"/>
    <col min="4354" max="4354" width="6.796875" style="108" customWidth="1"/>
    <col min="4355" max="4355" width="60.19921875" style="108" customWidth="1"/>
    <col min="4356" max="4356" width="8.19921875" style="108" customWidth="1"/>
    <col min="4357" max="4359" width="14.5" style="108" customWidth="1"/>
    <col min="4360" max="4609" width="9.296875" style="108"/>
    <col min="4610" max="4610" width="6.796875" style="108" customWidth="1"/>
    <col min="4611" max="4611" width="60.19921875" style="108" customWidth="1"/>
    <col min="4612" max="4612" width="8.19921875" style="108" customWidth="1"/>
    <col min="4613" max="4615" width="14.5" style="108" customWidth="1"/>
    <col min="4616" max="4865" width="9.296875" style="108"/>
    <col min="4866" max="4866" width="6.796875" style="108" customWidth="1"/>
    <col min="4867" max="4867" width="60.19921875" style="108" customWidth="1"/>
    <col min="4868" max="4868" width="8.19921875" style="108" customWidth="1"/>
    <col min="4869" max="4871" width="14.5" style="108" customWidth="1"/>
    <col min="4872" max="5121" width="9.296875" style="108"/>
    <col min="5122" max="5122" width="6.796875" style="108" customWidth="1"/>
    <col min="5123" max="5123" width="60.19921875" style="108" customWidth="1"/>
    <col min="5124" max="5124" width="8.19921875" style="108" customWidth="1"/>
    <col min="5125" max="5127" width="14.5" style="108" customWidth="1"/>
    <col min="5128" max="5377" width="9.296875" style="108"/>
    <col min="5378" max="5378" width="6.796875" style="108" customWidth="1"/>
    <col min="5379" max="5379" width="60.19921875" style="108" customWidth="1"/>
    <col min="5380" max="5380" width="8.19921875" style="108" customWidth="1"/>
    <col min="5381" max="5383" width="14.5" style="108" customWidth="1"/>
    <col min="5384" max="5633" width="9.296875" style="108"/>
    <col min="5634" max="5634" width="6.796875" style="108" customWidth="1"/>
    <col min="5635" max="5635" width="60.19921875" style="108" customWidth="1"/>
    <col min="5636" max="5636" width="8.19921875" style="108" customWidth="1"/>
    <col min="5637" max="5639" width="14.5" style="108" customWidth="1"/>
    <col min="5640" max="5889" width="9.296875" style="108"/>
    <col min="5890" max="5890" width="6.796875" style="108" customWidth="1"/>
    <col min="5891" max="5891" width="60.19921875" style="108" customWidth="1"/>
    <col min="5892" max="5892" width="8.19921875" style="108" customWidth="1"/>
    <col min="5893" max="5895" width="14.5" style="108" customWidth="1"/>
    <col min="5896" max="6145" width="9.296875" style="108"/>
    <col min="6146" max="6146" width="6.796875" style="108" customWidth="1"/>
    <col min="6147" max="6147" width="60.19921875" style="108" customWidth="1"/>
    <col min="6148" max="6148" width="8.19921875" style="108" customWidth="1"/>
    <col min="6149" max="6151" width="14.5" style="108" customWidth="1"/>
    <col min="6152" max="6401" width="9.296875" style="108"/>
    <col min="6402" max="6402" width="6.796875" style="108" customWidth="1"/>
    <col min="6403" max="6403" width="60.19921875" style="108" customWidth="1"/>
    <col min="6404" max="6404" width="8.19921875" style="108" customWidth="1"/>
    <col min="6405" max="6407" width="14.5" style="108" customWidth="1"/>
    <col min="6408" max="6657" width="9.296875" style="108"/>
    <col min="6658" max="6658" width="6.796875" style="108" customWidth="1"/>
    <col min="6659" max="6659" width="60.19921875" style="108" customWidth="1"/>
    <col min="6660" max="6660" width="8.19921875" style="108" customWidth="1"/>
    <col min="6661" max="6663" width="14.5" style="108" customWidth="1"/>
    <col min="6664" max="6913" width="9.296875" style="108"/>
    <col min="6914" max="6914" width="6.796875" style="108" customWidth="1"/>
    <col min="6915" max="6915" width="60.19921875" style="108" customWidth="1"/>
    <col min="6916" max="6916" width="8.19921875" style="108" customWidth="1"/>
    <col min="6917" max="6919" width="14.5" style="108" customWidth="1"/>
    <col min="6920" max="7169" width="9.296875" style="108"/>
    <col min="7170" max="7170" width="6.796875" style="108" customWidth="1"/>
    <col min="7171" max="7171" width="60.19921875" style="108" customWidth="1"/>
    <col min="7172" max="7172" width="8.19921875" style="108" customWidth="1"/>
    <col min="7173" max="7175" width="14.5" style="108" customWidth="1"/>
    <col min="7176" max="7425" width="9.296875" style="108"/>
    <col min="7426" max="7426" width="6.796875" style="108" customWidth="1"/>
    <col min="7427" max="7427" width="60.19921875" style="108" customWidth="1"/>
    <col min="7428" max="7428" width="8.19921875" style="108" customWidth="1"/>
    <col min="7429" max="7431" width="14.5" style="108" customWidth="1"/>
    <col min="7432" max="7681" width="9.296875" style="108"/>
    <col min="7682" max="7682" width="6.796875" style="108" customWidth="1"/>
    <col min="7683" max="7683" width="60.19921875" style="108" customWidth="1"/>
    <col min="7684" max="7684" width="8.19921875" style="108" customWidth="1"/>
    <col min="7685" max="7687" width="14.5" style="108" customWidth="1"/>
    <col min="7688" max="7937" width="9.296875" style="108"/>
    <col min="7938" max="7938" width="6.796875" style="108" customWidth="1"/>
    <col min="7939" max="7939" width="60.19921875" style="108" customWidth="1"/>
    <col min="7940" max="7940" width="8.19921875" style="108" customWidth="1"/>
    <col min="7941" max="7943" width="14.5" style="108" customWidth="1"/>
    <col min="7944" max="8193" width="9.296875" style="108"/>
    <col min="8194" max="8194" width="6.796875" style="108" customWidth="1"/>
    <col min="8195" max="8195" width="60.19921875" style="108" customWidth="1"/>
    <col min="8196" max="8196" width="8.19921875" style="108" customWidth="1"/>
    <col min="8197" max="8199" width="14.5" style="108" customWidth="1"/>
    <col min="8200" max="8449" width="9.296875" style="108"/>
    <col min="8450" max="8450" width="6.796875" style="108" customWidth="1"/>
    <col min="8451" max="8451" width="60.19921875" style="108" customWidth="1"/>
    <col min="8452" max="8452" width="8.19921875" style="108" customWidth="1"/>
    <col min="8453" max="8455" width="14.5" style="108" customWidth="1"/>
    <col min="8456" max="8705" width="9.296875" style="108"/>
    <col min="8706" max="8706" width="6.796875" style="108" customWidth="1"/>
    <col min="8707" max="8707" width="60.19921875" style="108" customWidth="1"/>
    <col min="8708" max="8708" width="8.19921875" style="108" customWidth="1"/>
    <col min="8709" max="8711" width="14.5" style="108" customWidth="1"/>
    <col min="8712" max="8961" width="9.296875" style="108"/>
    <col min="8962" max="8962" width="6.796875" style="108" customWidth="1"/>
    <col min="8963" max="8963" width="60.19921875" style="108" customWidth="1"/>
    <col min="8964" max="8964" width="8.19921875" style="108" customWidth="1"/>
    <col min="8965" max="8967" width="14.5" style="108" customWidth="1"/>
    <col min="8968" max="9217" width="9.296875" style="108"/>
    <col min="9218" max="9218" width="6.796875" style="108" customWidth="1"/>
    <col min="9219" max="9219" width="60.19921875" style="108" customWidth="1"/>
    <col min="9220" max="9220" width="8.19921875" style="108" customWidth="1"/>
    <col min="9221" max="9223" width="14.5" style="108" customWidth="1"/>
    <col min="9224" max="9473" width="9.296875" style="108"/>
    <col min="9474" max="9474" width="6.796875" style="108" customWidth="1"/>
    <col min="9475" max="9475" width="60.19921875" style="108" customWidth="1"/>
    <col min="9476" max="9476" width="8.19921875" style="108" customWidth="1"/>
    <col min="9477" max="9479" width="14.5" style="108" customWidth="1"/>
    <col min="9480" max="9729" width="9.296875" style="108"/>
    <col min="9730" max="9730" width="6.796875" style="108" customWidth="1"/>
    <col min="9731" max="9731" width="60.19921875" style="108" customWidth="1"/>
    <col min="9732" max="9732" width="8.19921875" style="108" customWidth="1"/>
    <col min="9733" max="9735" width="14.5" style="108" customWidth="1"/>
    <col min="9736" max="9985" width="9.296875" style="108"/>
    <col min="9986" max="9986" width="6.796875" style="108" customWidth="1"/>
    <col min="9987" max="9987" width="60.19921875" style="108" customWidth="1"/>
    <col min="9988" max="9988" width="8.19921875" style="108" customWidth="1"/>
    <col min="9989" max="9991" width="14.5" style="108" customWidth="1"/>
    <col min="9992" max="10241" width="9.296875" style="108"/>
    <col min="10242" max="10242" width="6.796875" style="108" customWidth="1"/>
    <col min="10243" max="10243" width="60.19921875" style="108" customWidth="1"/>
    <col min="10244" max="10244" width="8.19921875" style="108" customWidth="1"/>
    <col min="10245" max="10247" width="14.5" style="108" customWidth="1"/>
    <col min="10248" max="10497" width="9.296875" style="108"/>
    <col min="10498" max="10498" width="6.796875" style="108" customWidth="1"/>
    <col min="10499" max="10499" width="60.19921875" style="108" customWidth="1"/>
    <col min="10500" max="10500" width="8.19921875" style="108" customWidth="1"/>
    <col min="10501" max="10503" width="14.5" style="108" customWidth="1"/>
    <col min="10504" max="10753" width="9.296875" style="108"/>
    <col min="10754" max="10754" width="6.796875" style="108" customWidth="1"/>
    <col min="10755" max="10755" width="60.19921875" style="108" customWidth="1"/>
    <col min="10756" max="10756" width="8.19921875" style="108" customWidth="1"/>
    <col min="10757" max="10759" width="14.5" style="108" customWidth="1"/>
    <col min="10760" max="11009" width="9.296875" style="108"/>
    <col min="11010" max="11010" width="6.796875" style="108" customWidth="1"/>
    <col min="11011" max="11011" width="60.19921875" style="108" customWidth="1"/>
    <col min="11012" max="11012" width="8.19921875" style="108" customWidth="1"/>
    <col min="11013" max="11015" width="14.5" style="108" customWidth="1"/>
    <col min="11016" max="11265" width="9.296875" style="108"/>
    <col min="11266" max="11266" width="6.796875" style="108" customWidth="1"/>
    <col min="11267" max="11267" width="60.19921875" style="108" customWidth="1"/>
    <col min="11268" max="11268" width="8.19921875" style="108" customWidth="1"/>
    <col min="11269" max="11271" width="14.5" style="108" customWidth="1"/>
    <col min="11272" max="11521" width="9.296875" style="108"/>
    <col min="11522" max="11522" width="6.796875" style="108" customWidth="1"/>
    <col min="11523" max="11523" width="60.19921875" style="108" customWidth="1"/>
    <col min="11524" max="11524" width="8.19921875" style="108" customWidth="1"/>
    <col min="11525" max="11527" width="14.5" style="108" customWidth="1"/>
    <col min="11528" max="11777" width="9.296875" style="108"/>
    <col min="11778" max="11778" width="6.796875" style="108" customWidth="1"/>
    <col min="11779" max="11779" width="60.19921875" style="108" customWidth="1"/>
    <col min="11780" max="11780" width="8.19921875" style="108" customWidth="1"/>
    <col min="11781" max="11783" width="14.5" style="108" customWidth="1"/>
    <col min="11784" max="12033" width="9.296875" style="108"/>
    <col min="12034" max="12034" width="6.796875" style="108" customWidth="1"/>
    <col min="12035" max="12035" width="60.19921875" style="108" customWidth="1"/>
    <col min="12036" max="12036" width="8.19921875" style="108" customWidth="1"/>
    <col min="12037" max="12039" width="14.5" style="108" customWidth="1"/>
    <col min="12040" max="12289" width="9.296875" style="108"/>
    <col min="12290" max="12290" width="6.796875" style="108" customWidth="1"/>
    <col min="12291" max="12291" width="60.19921875" style="108" customWidth="1"/>
    <col min="12292" max="12292" width="8.19921875" style="108" customWidth="1"/>
    <col min="12293" max="12295" width="14.5" style="108" customWidth="1"/>
    <col min="12296" max="12545" width="9.296875" style="108"/>
    <col min="12546" max="12546" width="6.796875" style="108" customWidth="1"/>
    <col min="12547" max="12547" width="60.19921875" style="108" customWidth="1"/>
    <col min="12548" max="12548" width="8.19921875" style="108" customWidth="1"/>
    <col min="12549" max="12551" width="14.5" style="108" customWidth="1"/>
    <col min="12552" max="12801" width="9.296875" style="108"/>
    <col min="12802" max="12802" width="6.796875" style="108" customWidth="1"/>
    <col min="12803" max="12803" width="60.19921875" style="108" customWidth="1"/>
    <col min="12804" max="12804" width="8.19921875" style="108" customWidth="1"/>
    <col min="12805" max="12807" width="14.5" style="108" customWidth="1"/>
    <col min="12808" max="13057" width="9.296875" style="108"/>
    <col min="13058" max="13058" width="6.796875" style="108" customWidth="1"/>
    <col min="13059" max="13059" width="60.19921875" style="108" customWidth="1"/>
    <col min="13060" max="13060" width="8.19921875" style="108" customWidth="1"/>
    <col min="13061" max="13063" width="14.5" style="108" customWidth="1"/>
    <col min="13064" max="13313" width="9.296875" style="108"/>
    <col min="13314" max="13314" width="6.796875" style="108" customWidth="1"/>
    <col min="13315" max="13315" width="60.19921875" style="108" customWidth="1"/>
    <col min="13316" max="13316" width="8.19921875" style="108" customWidth="1"/>
    <col min="13317" max="13319" width="14.5" style="108" customWidth="1"/>
    <col min="13320" max="13569" width="9.296875" style="108"/>
    <col min="13570" max="13570" width="6.796875" style="108" customWidth="1"/>
    <col min="13571" max="13571" width="60.19921875" style="108" customWidth="1"/>
    <col min="13572" max="13572" width="8.19921875" style="108" customWidth="1"/>
    <col min="13573" max="13575" width="14.5" style="108" customWidth="1"/>
    <col min="13576" max="13825" width="9.296875" style="108"/>
    <col min="13826" max="13826" width="6.796875" style="108" customWidth="1"/>
    <col min="13827" max="13827" width="60.19921875" style="108" customWidth="1"/>
    <col min="13828" max="13828" width="8.19921875" style="108" customWidth="1"/>
    <col min="13829" max="13831" width="14.5" style="108" customWidth="1"/>
    <col min="13832" max="14081" width="9.296875" style="108"/>
    <col min="14082" max="14082" width="6.796875" style="108" customWidth="1"/>
    <col min="14083" max="14083" width="60.19921875" style="108" customWidth="1"/>
    <col min="14084" max="14084" width="8.19921875" style="108" customWidth="1"/>
    <col min="14085" max="14087" width="14.5" style="108" customWidth="1"/>
    <col min="14088" max="14337" width="9.296875" style="108"/>
    <col min="14338" max="14338" width="6.796875" style="108" customWidth="1"/>
    <col min="14339" max="14339" width="60.19921875" style="108" customWidth="1"/>
    <col min="14340" max="14340" width="8.19921875" style="108" customWidth="1"/>
    <col min="14341" max="14343" width="14.5" style="108" customWidth="1"/>
    <col min="14344" max="14593" width="9.296875" style="108"/>
    <col min="14594" max="14594" width="6.796875" style="108" customWidth="1"/>
    <col min="14595" max="14595" width="60.19921875" style="108" customWidth="1"/>
    <col min="14596" max="14596" width="8.19921875" style="108" customWidth="1"/>
    <col min="14597" max="14599" width="14.5" style="108" customWidth="1"/>
    <col min="14600" max="14849" width="9.296875" style="108"/>
    <col min="14850" max="14850" width="6.796875" style="108" customWidth="1"/>
    <col min="14851" max="14851" width="60.19921875" style="108" customWidth="1"/>
    <col min="14852" max="14852" width="8.19921875" style="108" customWidth="1"/>
    <col min="14853" max="14855" width="14.5" style="108" customWidth="1"/>
    <col min="14856" max="15105" width="9.296875" style="108"/>
    <col min="15106" max="15106" width="6.796875" style="108" customWidth="1"/>
    <col min="15107" max="15107" width="60.19921875" style="108" customWidth="1"/>
    <col min="15108" max="15108" width="8.19921875" style="108" customWidth="1"/>
    <col min="15109" max="15111" width="14.5" style="108" customWidth="1"/>
    <col min="15112" max="15361" width="9.296875" style="108"/>
    <col min="15362" max="15362" width="6.796875" style="108" customWidth="1"/>
    <col min="15363" max="15363" width="60.19921875" style="108" customWidth="1"/>
    <col min="15364" max="15364" width="8.19921875" style="108" customWidth="1"/>
    <col min="15365" max="15367" width="14.5" style="108" customWidth="1"/>
    <col min="15368" max="15617" width="9.296875" style="108"/>
    <col min="15618" max="15618" width="6.796875" style="108" customWidth="1"/>
    <col min="15619" max="15619" width="60.19921875" style="108" customWidth="1"/>
    <col min="15620" max="15620" width="8.19921875" style="108" customWidth="1"/>
    <col min="15621" max="15623" width="14.5" style="108" customWidth="1"/>
    <col min="15624" max="15873" width="9.296875" style="108"/>
    <col min="15874" max="15874" width="6.796875" style="108" customWidth="1"/>
    <col min="15875" max="15875" width="60.19921875" style="108" customWidth="1"/>
    <col min="15876" max="15876" width="8.19921875" style="108" customWidth="1"/>
    <col min="15877" max="15879" width="14.5" style="108" customWidth="1"/>
    <col min="15880" max="16129" width="9.296875" style="108"/>
    <col min="16130" max="16130" width="6.796875" style="108" customWidth="1"/>
    <col min="16131" max="16131" width="60.19921875" style="108" customWidth="1"/>
    <col min="16132" max="16132" width="8.19921875" style="108" customWidth="1"/>
    <col min="16133" max="16135" width="14.5" style="108" customWidth="1"/>
    <col min="16136" max="16384" width="9.296875" style="108"/>
  </cols>
  <sheetData>
    <row r="1" spans="1:9" s="102" customFormat="1" ht="51.75" customHeight="1" x14ac:dyDescent="0.3">
      <c r="A1" s="760" t="s">
        <v>635</v>
      </c>
      <c r="B1" s="760"/>
      <c r="C1" s="760"/>
      <c r="D1" s="760"/>
      <c r="E1" s="760"/>
      <c r="F1" s="760"/>
      <c r="G1" s="760"/>
      <c r="H1" s="760"/>
      <c r="I1" s="760"/>
    </row>
    <row r="2" spans="1:9" s="105" customFormat="1" ht="12" customHeight="1" x14ac:dyDescent="0.25">
      <c r="A2" s="103"/>
      <c r="B2" s="103"/>
      <c r="C2" s="104"/>
      <c r="D2" s="104"/>
      <c r="E2" s="104"/>
      <c r="F2" s="104"/>
      <c r="I2" s="104" t="s">
        <v>1</v>
      </c>
    </row>
    <row r="3" spans="1:9" s="539" customFormat="1" ht="38.25" customHeight="1" x14ac:dyDescent="0.3">
      <c r="A3" s="538" t="s">
        <v>407</v>
      </c>
      <c r="B3" s="538" t="s">
        <v>475</v>
      </c>
      <c r="C3" s="119" t="s">
        <v>476</v>
      </c>
      <c r="D3" s="119" t="s">
        <v>477</v>
      </c>
      <c r="E3" s="119" t="s">
        <v>478</v>
      </c>
      <c r="F3" s="119" t="s">
        <v>856</v>
      </c>
      <c r="G3" s="119" t="s">
        <v>268</v>
      </c>
      <c r="H3" s="540" t="s">
        <v>860</v>
      </c>
      <c r="I3" s="540" t="s">
        <v>859</v>
      </c>
    </row>
    <row r="4" spans="1:9" s="110" customFormat="1" ht="13" customHeight="1" x14ac:dyDescent="0.3">
      <c r="A4" s="109" t="s">
        <v>6</v>
      </c>
      <c r="B4" s="109" t="s">
        <v>7</v>
      </c>
      <c r="C4" s="109" t="s">
        <v>8</v>
      </c>
      <c r="D4" s="109" t="s">
        <v>9</v>
      </c>
      <c r="E4" s="109" t="s">
        <v>269</v>
      </c>
      <c r="F4" s="109" t="s">
        <v>479</v>
      </c>
      <c r="G4" s="109" t="s">
        <v>857</v>
      </c>
      <c r="H4" s="557" t="s">
        <v>9</v>
      </c>
      <c r="I4" s="557" t="s">
        <v>269</v>
      </c>
    </row>
    <row r="5" spans="1:9" s="110" customFormat="1" ht="16" customHeight="1" x14ac:dyDescent="0.3">
      <c r="A5" s="761" t="s">
        <v>265</v>
      </c>
      <c r="B5" s="762"/>
      <c r="C5" s="762"/>
      <c r="D5" s="762"/>
      <c r="E5" s="762"/>
      <c r="F5" s="762"/>
      <c r="G5" s="762"/>
      <c r="H5" s="762"/>
      <c r="I5" s="763"/>
    </row>
    <row r="6" spans="1:9" s="110" customFormat="1" ht="25.5" customHeight="1" x14ac:dyDescent="0.3">
      <c r="A6" s="266" t="s">
        <v>10</v>
      </c>
      <c r="B6" s="545" t="s">
        <v>480</v>
      </c>
      <c r="C6" s="266" t="s">
        <v>481</v>
      </c>
      <c r="D6" s="546"/>
      <c r="E6" s="546"/>
      <c r="F6" s="546"/>
      <c r="G6" s="546">
        <f>SUM(D6:F6)</f>
        <v>0</v>
      </c>
      <c r="H6" s="541"/>
      <c r="I6" s="541"/>
    </row>
    <row r="7" spans="1:9" s="110" customFormat="1" ht="30" customHeight="1" x14ac:dyDescent="0.3">
      <c r="A7" s="266" t="s">
        <v>13</v>
      </c>
      <c r="B7" s="545" t="s">
        <v>482</v>
      </c>
      <c r="C7" s="266" t="s">
        <v>483</v>
      </c>
      <c r="D7" s="546"/>
      <c r="E7" s="546"/>
      <c r="F7" s="546"/>
      <c r="G7" s="546">
        <f t="shared" ref="G7:G9" si="0">SUM(D7:F7)</f>
        <v>0</v>
      </c>
      <c r="H7" s="541"/>
      <c r="I7" s="541"/>
    </row>
    <row r="8" spans="1:9" s="110" customFormat="1" ht="25.5" customHeight="1" x14ac:dyDescent="0.3">
      <c r="A8" s="266" t="s">
        <v>16</v>
      </c>
      <c r="B8" s="545" t="s">
        <v>484</v>
      </c>
      <c r="C8" s="536" t="s">
        <v>485</v>
      </c>
      <c r="D8" s="546"/>
      <c r="E8" s="546"/>
      <c r="F8" s="546"/>
      <c r="G8" s="546">
        <f t="shared" si="0"/>
        <v>0</v>
      </c>
      <c r="H8" s="541"/>
      <c r="I8" s="541"/>
    </row>
    <row r="9" spans="1:9" s="110" customFormat="1" ht="25.5" customHeight="1" x14ac:dyDescent="0.3">
      <c r="A9" s="266" t="s">
        <v>19</v>
      </c>
      <c r="B9" s="545" t="s">
        <v>486</v>
      </c>
      <c r="C9" s="536" t="s">
        <v>487</v>
      </c>
      <c r="D9" s="546"/>
      <c r="E9" s="546"/>
      <c r="F9" s="546"/>
      <c r="G9" s="546">
        <f t="shared" si="0"/>
        <v>0</v>
      </c>
      <c r="H9" s="541"/>
      <c r="I9" s="541"/>
    </row>
    <row r="10" spans="1:9" s="110" customFormat="1" ht="27.75" customHeight="1" x14ac:dyDescent="0.3">
      <c r="A10" s="114" t="s">
        <v>22</v>
      </c>
      <c r="B10" s="260" t="s">
        <v>488</v>
      </c>
      <c r="C10" s="114" t="s">
        <v>36</v>
      </c>
      <c r="D10" s="261">
        <f>SUM(D6:D9)</f>
        <v>0</v>
      </c>
      <c r="E10" s="261">
        <f>SUM(E6:E9)</f>
        <v>0</v>
      </c>
      <c r="F10" s="261">
        <f>SUM(F6:F9)</f>
        <v>0</v>
      </c>
      <c r="G10" s="261">
        <f>SUM(G6:G9)</f>
        <v>0</v>
      </c>
      <c r="H10" s="541"/>
      <c r="I10" s="541"/>
    </row>
    <row r="11" spans="1:9" s="110" customFormat="1" ht="24.75" customHeight="1" x14ac:dyDescent="0.3">
      <c r="A11" s="266" t="s">
        <v>25</v>
      </c>
      <c r="B11" s="545" t="s">
        <v>489</v>
      </c>
      <c r="C11" s="266" t="s">
        <v>490</v>
      </c>
      <c r="D11" s="261"/>
      <c r="E11" s="261"/>
      <c r="F11" s="261"/>
      <c r="G11" s="261">
        <f>SUM(D11:F11)</f>
        <v>0</v>
      </c>
      <c r="H11" s="541"/>
      <c r="I11" s="541"/>
    </row>
    <row r="12" spans="1:9" s="110" customFormat="1" ht="30" customHeight="1" x14ac:dyDescent="0.3">
      <c r="A12" s="266" t="s">
        <v>28</v>
      </c>
      <c r="B12" s="545" t="s">
        <v>491</v>
      </c>
      <c r="C12" s="266" t="s">
        <v>492</v>
      </c>
      <c r="D12" s="261"/>
      <c r="E12" s="261"/>
      <c r="F12" s="261"/>
      <c r="G12" s="261">
        <f t="shared" ref="G12:G14" si="1">SUM(D12:F12)</f>
        <v>0</v>
      </c>
      <c r="H12" s="541"/>
      <c r="I12" s="541"/>
    </row>
    <row r="13" spans="1:9" s="110" customFormat="1" ht="30" customHeight="1" x14ac:dyDescent="0.3">
      <c r="A13" s="266" t="s">
        <v>31</v>
      </c>
      <c r="B13" s="545" t="s">
        <v>493</v>
      </c>
      <c r="C13" s="266" t="s">
        <v>494</v>
      </c>
      <c r="D13" s="261"/>
      <c r="E13" s="261"/>
      <c r="F13" s="261"/>
      <c r="G13" s="261">
        <f t="shared" si="1"/>
        <v>0</v>
      </c>
      <c r="H13" s="541"/>
      <c r="I13" s="541"/>
    </row>
    <row r="14" spans="1:9" s="110" customFormat="1" ht="30" customHeight="1" x14ac:dyDescent="0.3">
      <c r="A14" s="266" t="s">
        <v>34</v>
      </c>
      <c r="B14" s="545" t="s">
        <v>495</v>
      </c>
      <c r="C14" s="266" t="s">
        <v>496</v>
      </c>
      <c r="D14" s="261"/>
      <c r="E14" s="261"/>
      <c r="F14" s="261"/>
      <c r="G14" s="261">
        <f t="shared" si="1"/>
        <v>0</v>
      </c>
      <c r="H14" s="541"/>
      <c r="I14" s="541"/>
    </row>
    <row r="15" spans="1:9" s="110" customFormat="1" ht="21.75" customHeight="1" x14ac:dyDescent="0.3">
      <c r="A15" s="114" t="s">
        <v>37</v>
      </c>
      <c r="B15" s="262" t="s">
        <v>456</v>
      </c>
      <c r="C15" s="263" t="s">
        <v>59</v>
      </c>
      <c r="D15" s="261">
        <f>SUM(D11:D14)</f>
        <v>0</v>
      </c>
      <c r="E15" s="261">
        <f>SUM(E11:E14)</f>
        <v>0</v>
      </c>
      <c r="F15" s="261">
        <f>SUM(F11:F14)</f>
        <v>0</v>
      </c>
      <c r="G15" s="261">
        <f>SUM(G11:G14)</f>
        <v>0</v>
      </c>
      <c r="H15" s="541"/>
      <c r="I15" s="541"/>
    </row>
    <row r="16" spans="1:9" s="111" customFormat="1" ht="16.5" customHeight="1" x14ac:dyDescent="0.3">
      <c r="A16" s="266" t="s">
        <v>39</v>
      </c>
      <c r="B16" s="547" t="s">
        <v>111</v>
      </c>
      <c r="C16" s="548" t="s">
        <v>112</v>
      </c>
      <c r="D16" s="549"/>
      <c r="E16" s="549"/>
      <c r="F16" s="549"/>
      <c r="G16" s="549">
        <f>SUM(D16:E16)</f>
        <v>0</v>
      </c>
      <c r="H16" s="542"/>
      <c r="I16" s="542"/>
    </row>
    <row r="17" spans="1:9" s="111" customFormat="1" ht="16.5" customHeight="1" x14ac:dyDescent="0.3">
      <c r="A17" s="266" t="s">
        <v>41</v>
      </c>
      <c r="B17" s="547" t="s">
        <v>114</v>
      </c>
      <c r="C17" s="548" t="s">
        <v>115</v>
      </c>
      <c r="D17" s="549"/>
      <c r="E17" s="549"/>
      <c r="F17" s="549">
        <v>800000</v>
      </c>
      <c r="G17" s="549">
        <f>SUM(D17:F17)</f>
        <v>800000</v>
      </c>
      <c r="H17" s="667">
        <f>I17-G17</f>
        <v>0</v>
      </c>
      <c r="I17" s="542">
        <v>800000</v>
      </c>
    </row>
    <row r="18" spans="1:9" s="111" customFormat="1" ht="16.5" customHeight="1" x14ac:dyDescent="0.3">
      <c r="A18" s="266" t="s">
        <v>43</v>
      </c>
      <c r="B18" s="547" t="s">
        <v>497</v>
      </c>
      <c r="C18" s="548" t="s">
        <v>118</v>
      </c>
      <c r="D18" s="549">
        <f>SUM(D19:D20)</f>
        <v>0</v>
      </c>
      <c r="E18" s="549">
        <f>SUM(E19:E20)</f>
        <v>0</v>
      </c>
      <c r="F18" s="549">
        <f>SUM(F19:F20)</f>
        <v>5604344</v>
      </c>
      <c r="G18" s="549">
        <f>SUM(G19:G20)</f>
        <v>5604344</v>
      </c>
      <c r="H18" s="667">
        <f t="shared" ref="H18:H28" si="2">I18-G18</f>
        <v>0</v>
      </c>
      <c r="I18" s="542">
        <v>5604344</v>
      </c>
    </row>
    <row r="19" spans="1:9" s="111" customFormat="1" ht="16.5" customHeight="1" x14ac:dyDescent="0.3">
      <c r="A19" s="266" t="s">
        <v>45</v>
      </c>
      <c r="B19" s="550" t="s">
        <v>498</v>
      </c>
      <c r="C19" s="551" t="s">
        <v>499</v>
      </c>
      <c r="D19" s="552"/>
      <c r="E19" s="552"/>
      <c r="F19" s="552">
        <v>5604344</v>
      </c>
      <c r="G19" s="552">
        <f>SUM(D19:F19)</f>
        <v>5604344</v>
      </c>
      <c r="H19" s="667">
        <f t="shared" si="2"/>
        <v>0</v>
      </c>
      <c r="I19" s="542">
        <v>5604344</v>
      </c>
    </row>
    <row r="20" spans="1:9" s="112" customFormat="1" ht="16.5" customHeight="1" x14ac:dyDescent="0.3">
      <c r="A20" s="266" t="s">
        <v>47</v>
      </c>
      <c r="B20" s="550" t="s">
        <v>500</v>
      </c>
      <c r="C20" s="551" t="s">
        <v>501</v>
      </c>
      <c r="D20" s="552"/>
      <c r="E20" s="552"/>
      <c r="F20" s="552"/>
      <c r="G20" s="552">
        <f t="shared" ref="G20:G28" si="3">SUM(D20:F20)</f>
        <v>0</v>
      </c>
      <c r="H20" s="667">
        <f t="shared" si="2"/>
        <v>0</v>
      </c>
      <c r="I20" s="543"/>
    </row>
    <row r="21" spans="1:9" s="112" customFormat="1" ht="16.5" customHeight="1" x14ac:dyDescent="0.3">
      <c r="A21" s="266" t="s">
        <v>49</v>
      </c>
      <c r="B21" s="553" t="s">
        <v>120</v>
      </c>
      <c r="C21" s="548" t="s">
        <v>121</v>
      </c>
      <c r="D21" s="552"/>
      <c r="E21" s="552"/>
      <c r="F21" s="552"/>
      <c r="G21" s="552">
        <f t="shared" si="3"/>
        <v>0</v>
      </c>
      <c r="H21" s="667">
        <f t="shared" si="2"/>
        <v>0</v>
      </c>
      <c r="I21" s="543"/>
    </row>
    <row r="22" spans="1:9" s="111" customFormat="1" ht="16.5" customHeight="1" x14ac:dyDescent="0.3">
      <c r="A22" s="266" t="s">
        <v>51</v>
      </c>
      <c r="B22" s="547" t="s">
        <v>123</v>
      </c>
      <c r="C22" s="548" t="s">
        <v>124</v>
      </c>
      <c r="D22" s="549"/>
      <c r="E22" s="549"/>
      <c r="F22" s="549"/>
      <c r="G22" s="552">
        <f t="shared" si="3"/>
        <v>0</v>
      </c>
      <c r="H22" s="667">
        <f t="shared" si="2"/>
        <v>0</v>
      </c>
      <c r="I22" s="542"/>
    </row>
    <row r="23" spans="1:9" s="111" customFormat="1" ht="16.5" customHeight="1" x14ac:dyDescent="0.3">
      <c r="A23" s="266" t="s">
        <v>54</v>
      </c>
      <c r="B23" s="547" t="s">
        <v>502</v>
      </c>
      <c r="C23" s="548" t="s">
        <v>127</v>
      </c>
      <c r="D23" s="549"/>
      <c r="E23" s="549"/>
      <c r="F23" s="549">
        <v>216000</v>
      </c>
      <c r="G23" s="552">
        <f t="shared" si="3"/>
        <v>216000</v>
      </c>
      <c r="H23" s="667">
        <f t="shared" si="2"/>
        <v>0</v>
      </c>
      <c r="I23" s="542">
        <v>216000</v>
      </c>
    </row>
    <row r="24" spans="1:9" s="112" customFormat="1" ht="16.5" customHeight="1" x14ac:dyDescent="0.3">
      <c r="A24" s="266" t="s">
        <v>57</v>
      </c>
      <c r="B24" s="547" t="s">
        <v>503</v>
      </c>
      <c r="C24" s="548" t="s">
        <v>130</v>
      </c>
      <c r="D24" s="549"/>
      <c r="E24" s="549"/>
      <c r="F24" s="549"/>
      <c r="G24" s="552">
        <f t="shared" si="3"/>
        <v>0</v>
      </c>
      <c r="H24" s="667">
        <f t="shared" si="2"/>
        <v>0</v>
      </c>
      <c r="I24" s="543"/>
    </row>
    <row r="25" spans="1:9" s="112" customFormat="1" ht="16.5" customHeight="1" x14ac:dyDescent="0.3">
      <c r="A25" s="266" t="s">
        <v>60</v>
      </c>
      <c r="B25" s="554" t="s">
        <v>132</v>
      </c>
      <c r="C25" s="548" t="s">
        <v>133</v>
      </c>
      <c r="D25" s="549"/>
      <c r="E25" s="549"/>
      <c r="F25" s="549"/>
      <c r="G25" s="552">
        <f t="shared" si="3"/>
        <v>0</v>
      </c>
      <c r="H25" s="667">
        <f t="shared" si="2"/>
        <v>705</v>
      </c>
      <c r="I25" s="543">
        <v>705</v>
      </c>
    </row>
    <row r="26" spans="1:9" s="112" customFormat="1" ht="16.5" customHeight="1" x14ac:dyDescent="0.3">
      <c r="A26" s="266" t="s">
        <v>62</v>
      </c>
      <c r="B26" s="547" t="s">
        <v>504</v>
      </c>
      <c r="C26" s="548" t="s">
        <v>136</v>
      </c>
      <c r="D26" s="549"/>
      <c r="E26" s="549"/>
      <c r="F26" s="549"/>
      <c r="G26" s="552">
        <f t="shared" si="3"/>
        <v>0</v>
      </c>
      <c r="H26" s="667">
        <f t="shared" si="2"/>
        <v>0</v>
      </c>
      <c r="I26" s="543"/>
    </row>
    <row r="27" spans="1:9" s="112" customFormat="1" ht="16.5" customHeight="1" x14ac:dyDescent="0.3">
      <c r="A27" s="266" t="s">
        <v>64</v>
      </c>
      <c r="B27" s="547" t="s">
        <v>505</v>
      </c>
      <c r="C27" s="548" t="s">
        <v>139</v>
      </c>
      <c r="D27" s="549"/>
      <c r="E27" s="549"/>
      <c r="F27" s="549"/>
      <c r="G27" s="552">
        <f t="shared" si="3"/>
        <v>0</v>
      </c>
      <c r="H27" s="667">
        <f t="shared" si="2"/>
        <v>0</v>
      </c>
      <c r="I27" s="543"/>
    </row>
    <row r="28" spans="1:9" s="112" customFormat="1" ht="16.5" customHeight="1" x14ac:dyDescent="0.3">
      <c r="A28" s="266" t="s">
        <v>66</v>
      </c>
      <c r="B28" s="547" t="s">
        <v>141</v>
      </c>
      <c r="C28" s="548" t="s">
        <v>142</v>
      </c>
      <c r="D28" s="411"/>
      <c r="E28" s="411"/>
      <c r="F28" s="411"/>
      <c r="G28" s="552">
        <f t="shared" si="3"/>
        <v>0</v>
      </c>
      <c r="H28" s="667">
        <f t="shared" si="2"/>
        <v>330750</v>
      </c>
      <c r="I28" s="543">
        <v>330750</v>
      </c>
    </row>
    <row r="29" spans="1:9" s="112" customFormat="1" ht="21" customHeight="1" x14ac:dyDescent="0.3">
      <c r="A29" s="114" t="s">
        <v>68</v>
      </c>
      <c r="B29" s="115" t="s">
        <v>506</v>
      </c>
      <c r="C29" s="264" t="s">
        <v>145</v>
      </c>
      <c r="D29" s="117">
        <f>SUM(D16+D17+D18+D21+D22+D23+D24+D25+D26+D27+D28)</f>
        <v>0</v>
      </c>
      <c r="E29" s="117">
        <f>SUM(E16+E17+E18+E21+E22+E23+E24+E25+E26+E27+E28)</f>
        <v>0</v>
      </c>
      <c r="F29" s="117">
        <f>SUM(F16+F17+F18+F21+F22+F23+F24+F25+F26+F27+F28)</f>
        <v>6620344</v>
      </c>
      <c r="G29" s="117">
        <f>SUM(G16+G17+G18+G21+G22+G23+G24+G25+G26+G27+G28)</f>
        <v>6620344</v>
      </c>
      <c r="H29" s="117">
        <f t="shared" ref="H29:I29" si="4">SUM(H16+H17+H18+H21+H22+H23+H24+H25+H26+H27+H28)</f>
        <v>331455</v>
      </c>
      <c r="I29" s="117">
        <f t="shared" si="4"/>
        <v>6951799</v>
      </c>
    </row>
    <row r="30" spans="1:9" s="113" customFormat="1" ht="21" customHeight="1" x14ac:dyDescent="0.3">
      <c r="A30" s="114" t="s">
        <v>70</v>
      </c>
      <c r="B30" s="115" t="s">
        <v>458</v>
      </c>
      <c r="C30" s="264" t="s">
        <v>163</v>
      </c>
      <c r="D30" s="117"/>
      <c r="E30" s="117"/>
      <c r="F30" s="117"/>
      <c r="G30" s="117">
        <f>SUM(D30:F30)</f>
        <v>0</v>
      </c>
      <c r="H30" s="544"/>
      <c r="I30" s="544"/>
    </row>
    <row r="31" spans="1:9" s="112" customFormat="1" ht="21" customHeight="1" x14ac:dyDescent="0.3">
      <c r="A31" s="114" t="s">
        <v>72</v>
      </c>
      <c r="B31" s="115" t="s">
        <v>427</v>
      </c>
      <c r="C31" s="264" t="s">
        <v>172</v>
      </c>
      <c r="D31" s="265"/>
      <c r="E31" s="265"/>
      <c r="F31" s="265"/>
      <c r="G31" s="265">
        <f>SUM(D31:F31)</f>
        <v>0</v>
      </c>
      <c r="H31" s="543"/>
      <c r="I31" s="543"/>
    </row>
    <row r="32" spans="1:9" s="112" customFormat="1" ht="21" customHeight="1" x14ac:dyDescent="0.3">
      <c r="A32" s="114" t="s">
        <v>75</v>
      </c>
      <c r="B32" s="115" t="s">
        <v>459</v>
      </c>
      <c r="C32" s="264" t="s">
        <v>181</v>
      </c>
      <c r="D32" s="265"/>
      <c r="E32" s="265"/>
      <c r="F32" s="265"/>
      <c r="G32" s="265">
        <f>SUM(D32:F32)</f>
        <v>0</v>
      </c>
      <c r="H32" s="543"/>
      <c r="I32" s="543"/>
    </row>
    <row r="33" spans="1:9" s="112" customFormat="1" ht="21" customHeight="1" x14ac:dyDescent="0.3">
      <c r="A33" s="114" t="s">
        <v>78</v>
      </c>
      <c r="B33" s="115" t="s">
        <v>507</v>
      </c>
      <c r="C33" s="116"/>
      <c r="D33" s="117">
        <f>D10+D15+D29+D30+D31+D32</f>
        <v>0</v>
      </c>
      <c r="E33" s="117">
        <f>E10+E15+E29+E30+E31+E32</f>
        <v>0</v>
      </c>
      <c r="F33" s="117">
        <f>F10+F15+F29+F30+F31+F32</f>
        <v>6620344</v>
      </c>
      <c r="G33" s="117">
        <f>G10+G15+G29+G30+G31+G32</f>
        <v>6620344</v>
      </c>
      <c r="H33" s="117">
        <f t="shared" ref="H33:I33" si="5">H10+H15+H29+H30+H31+H32</f>
        <v>331455</v>
      </c>
      <c r="I33" s="117">
        <f t="shared" si="5"/>
        <v>6951799</v>
      </c>
    </row>
    <row r="34" spans="1:9" s="111" customFormat="1" ht="20.25" customHeight="1" x14ac:dyDescent="0.3">
      <c r="A34" s="266" t="s">
        <v>81</v>
      </c>
      <c r="B34" s="312" t="s">
        <v>508</v>
      </c>
      <c r="C34" s="537" t="s">
        <v>190</v>
      </c>
      <c r="D34" s="488">
        <f>SUM(D35:D36)</f>
        <v>0</v>
      </c>
      <c r="E34" s="488">
        <f>SUM(E35:E36)</f>
        <v>0</v>
      </c>
      <c r="F34" s="488">
        <f>SUM(F35:F36)</f>
        <v>0</v>
      </c>
      <c r="G34" s="488">
        <f>SUM(G35:G36)</f>
        <v>0</v>
      </c>
      <c r="H34" s="667">
        <f>I34-G34</f>
        <v>1081188</v>
      </c>
      <c r="I34" s="542">
        <v>1081188</v>
      </c>
    </row>
    <row r="35" spans="1:9" s="111" customFormat="1" ht="20.25" customHeight="1" x14ac:dyDescent="0.3">
      <c r="A35" s="266" t="s">
        <v>83</v>
      </c>
      <c r="B35" s="309" t="s">
        <v>192</v>
      </c>
      <c r="C35" s="537" t="s">
        <v>193</v>
      </c>
      <c r="D35" s="488"/>
      <c r="E35" s="488"/>
      <c r="F35" s="488"/>
      <c r="G35" s="488">
        <f>SUM(D35:F35)</f>
        <v>0</v>
      </c>
      <c r="H35" s="667">
        <f t="shared" ref="H35:H39" si="6">I35-G35</f>
        <v>0</v>
      </c>
      <c r="I35" s="542"/>
    </row>
    <row r="36" spans="1:9" s="111" customFormat="1" ht="20.25" customHeight="1" x14ac:dyDescent="0.3">
      <c r="A36" s="266" t="s">
        <v>85</v>
      </c>
      <c r="B36" s="309" t="s">
        <v>195</v>
      </c>
      <c r="C36" s="537" t="s">
        <v>196</v>
      </c>
      <c r="D36" s="488"/>
      <c r="E36" s="488"/>
      <c r="F36" s="488"/>
      <c r="G36" s="488">
        <f>SUM(D36:F36)</f>
        <v>0</v>
      </c>
      <c r="H36" s="667">
        <f t="shared" si="6"/>
        <v>0</v>
      </c>
      <c r="I36" s="542"/>
    </row>
    <row r="37" spans="1:9" s="111" customFormat="1" ht="20.25" customHeight="1" x14ac:dyDescent="0.3">
      <c r="A37" s="266" t="s">
        <v>87</v>
      </c>
      <c r="B37" s="312" t="s">
        <v>509</v>
      </c>
      <c r="C37" s="400" t="s">
        <v>510</v>
      </c>
      <c r="D37" s="488">
        <f>SUM(D38:D39)</f>
        <v>100666221</v>
      </c>
      <c r="E37" s="488">
        <f t="shared" ref="E37:G37" si="7">SUM(E38:E39)</f>
        <v>9132668</v>
      </c>
      <c r="F37" s="488">
        <f t="shared" si="7"/>
        <v>163552282</v>
      </c>
      <c r="G37" s="488">
        <f t="shared" si="7"/>
        <v>273351171</v>
      </c>
      <c r="H37" s="667">
        <f t="shared" si="6"/>
        <v>1543732</v>
      </c>
      <c r="I37" s="542">
        <v>274894903</v>
      </c>
    </row>
    <row r="38" spans="1:9" s="111" customFormat="1" ht="20.25" customHeight="1" x14ac:dyDescent="0.3">
      <c r="A38" s="266"/>
      <c r="B38" s="555" t="s">
        <v>598</v>
      </c>
      <c r="C38" s="391" t="s">
        <v>510</v>
      </c>
      <c r="D38" s="488">
        <v>71018282</v>
      </c>
      <c r="E38" s="488"/>
      <c r="F38" s="488">
        <v>134217642</v>
      </c>
      <c r="G38" s="488">
        <f>SUM(D38:F38)</f>
        <v>205235924</v>
      </c>
      <c r="H38" s="667">
        <f t="shared" si="6"/>
        <v>1487302</v>
      </c>
      <c r="I38" s="542">
        <v>206723226</v>
      </c>
    </row>
    <row r="39" spans="1:9" s="111" customFormat="1" ht="20.25" customHeight="1" x14ac:dyDescent="0.3">
      <c r="A39" s="266"/>
      <c r="B39" s="556" t="s">
        <v>599</v>
      </c>
      <c r="C39" s="391" t="s">
        <v>510</v>
      </c>
      <c r="D39" s="488">
        <v>29647939</v>
      </c>
      <c r="E39" s="488">
        <v>9132668</v>
      </c>
      <c r="F39" s="488">
        <v>29334640</v>
      </c>
      <c r="G39" s="488">
        <f>SUM(D39:F39)</f>
        <v>68115247</v>
      </c>
      <c r="H39" s="667">
        <f t="shared" si="6"/>
        <v>0</v>
      </c>
      <c r="I39" s="542">
        <v>68115247</v>
      </c>
    </row>
    <row r="40" spans="1:9" s="111" customFormat="1" ht="20.25" customHeight="1" x14ac:dyDescent="0.3">
      <c r="A40" s="266" t="s">
        <v>90</v>
      </c>
      <c r="B40" s="115" t="s">
        <v>511</v>
      </c>
      <c r="C40" s="119" t="s">
        <v>512</v>
      </c>
      <c r="D40" s="118">
        <f>SUM(D34+D37)</f>
        <v>100666221</v>
      </c>
      <c r="E40" s="118">
        <f t="shared" ref="E40:F40" si="8">SUM(E34+E37)</f>
        <v>9132668</v>
      </c>
      <c r="F40" s="118">
        <f t="shared" si="8"/>
        <v>163552282</v>
      </c>
      <c r="G40" s="118">
        <f>SUM(G34+G37)</f>
        <v>273351171</v>
      </c>
      <c r="H40" s="118">
        <f t="shared" ref="H40:I40" si="9">SUM(H34+H37)</f>
        <v>2624920</v>
      </c>
      <c r="I40" s="118">
        <f t="shared" si="9"/>
        <v>275976091</v>
      </c>
    </row>
    <row r="41" spans="1:9" s="111" customFormat="1" ht="20.25" customHeight="1" x14ac:dyDescent="0.3">
      <c r="A41" s="114" t="s">
        <v>94</v>
      </c>
      <c r="B41" s="115" t="s">
        <v>513</v>
      </c>
      <c r="C41" s="119" t="s">
        <v>199</v>
      </c>
      <c r="D41" s="118">
        <f>D40</f>
        <v>100666221</v>
      </c>
      <c r="E41" s="118">
        <f t="shared" ref="E41:F41" si="10">E40</f>
        <v>9132668</v>
      </c>
      <c r="F41" s="118">
        <f t="shared" si="10"/>
        <v>163552282</v>
      </c>
      <c r="G41" s="118">
        <f t="shared" ref="G41:I41" si="11">G40</f>
        <v>273351171</v>
      </c>
      <c r="H41" s="118">
        <f t="shared" si="11"/>
        <v>2624920</v>
      </c>
      <c r="I41" s="118">
        <f t="shared" si="11"/>
        <v>275976091</v>
      </c>
    </row>
    <row r="42" spans="1:9" s="111" customFormat="1" ht="27" customHeight="1" x14ac:dyDescent="0.3">
      <c r="A42" s="114" t="s">
        <v>97</v>
      </c>
      <c r="B42" s="115" t="s">
        <v>514</v>
      </c>
      <c r="C42" s="119"/>
      <c r="D42" s="118">
        <f>D33+D41</f>
        <v>100666221</v>
      </c>
      <c r="E42" s="118">
        <f>E33+E41</f>
        <v>9132668</v>
      </c>
      <c r="F42" s="118">
        <f>F33+F41</f>
        <v>170172626</v>
      </c>
      <c r="G42" s="118">
        <f>G33+G41</f>
        <v>279971515</v>
      </c>
      <c r="H42" s="118">
        <f t="shared" ref="H42:I42" si="12">H33+H41</f>
        <v>2956375</v>
      </c>
      <c r="I42" s="118">
        <f t="shared" si="12"/>
        <v>282927890</v>
      </c>
    </row>
    <row r="43" spans="1:9" s="111" customFormat="1" ht="15" customHeight="1" x14ac:dyDescent="0.3">
      <c r="A43" s="120"/>
      <c r="B43" s="121"/>
      <c r="C43" s="122"/>
      <c r="D43" s="123"/>
      <c r="E43" s="123"/>
      <c r="F43" s="123"/>
      <c r="G43" s="123"/>
    </row>
    <row r="44" spans="1:9" s="111" customFormat="1" ht="15" customHeight="1" x14ac:dyDescent="0.3">
      <c r="A44" s="764" t="s">
        <v>515</v>
      </c>
      <c r="B44" s="764"/>
      <c r="C44" s="764"/>
      <c r="D44" s="764"/>
      <c r="E44" s="764"/>
      <c r="F44" s="764"/>
      <c r="G44" s="764"/>
      <c r="H44" s="764"/>
      <c r="I44" s="764"/>
    </row>
    <row r="45" spans="1:9" s="558" customFormat="1" ht="38.25" customHeight="1" x14ac:dyDescent="0.3">
      <c r="A45" s="119" t="s">
        <v>407</v>
      </c>
      <c r="B45" s="119" t="s">
        <v>267</v>
      </c>
      <c r="C45" s="119" t="s">
        <v>476</v>
      </c>
      <c r="D45" s="119" t="s">
        <v>477</v>
      </c>
      <c r="E45" s="119" t="s">
        <v>478</v>
      </c>
      <c r="F45" s="119" t="s">
        <v>856</v>
      </c>
      <c r="G45" s="119" t="s">
        <v>516</v>
      </c>
      <c r="H45" s="540" t="s">
        <v>860</v>
      </c>
      <c r="I45" s="540" t="s">
        <v>859</v>
      </c>
    </row>
    <row r="46" spans="1:9" s="111" customFormat="1" ht="15" customHeight="1" x14ac:dyDescent="0.3">
      <c r="A46" s="125" t="s">
        <v>6</v>
      </c>
      <c r="B46" s="125" t="s">
        <v>7</v>
      </c>
      <c r="C46" s="125"/>
      <c r="D46" s="125" t="s">
        <v>9</v>
      </c>
      <c r="E46" s="125" t="s">
        <v>269</v>
      </c>
      <c r="F46" s="125"/>
      <c r="G46" s="125" t="s">
        <v>479</v>
      </c>
      <c r="H46" s="542"/>
      <c r="I46" s="542"/>
    </row>
    <row r="47" spans="1:9" s="111" customFormat="1" ht="17.25" customHeight="1" x14ac:dyDescent="0.3">
      <c r="A47" s="358" t="s">
        <v>10</v>
      </c>
      <c r="B47" s="401" t="s">
        <v>204</v>
      </c>
      <c r="C47" s="372" t="s">
        <v>205</v>
      </c>
      <c r="D47" s="361">
        <v>64760954</v>
      </c>
      <c r="E47" s="361">
        <v>5320450</v>
      </c>
      <c r="F47" s="361">
        <v>109953405</v>
      </c>
      <c r="G47" s="361">
        <f>SUM(D47:F47)</f>
        <v>180034809</v>
      </c>
      <c r="H47" s="667">
        <f>I47-G47</f>
        <v>1222928</v>
      </c>
      <c r="I47" s="542">
        <v>181257737</v>
      </c>
    </row>
    <row r="48" spans="1:9" s="111" customFormat="1" ht="17.25" customHeight="1" x14ac:dyDescent="0.3">
      <c r="A48" s="358" t="s">
        <v>13</v>
      </c>
      <c r="B48" s="401" t="s">
        <v>206</v>
      </c>
      <c r="C48" s="372" t="s">
        <v>207</v>
      </c>
      <c r="D48" s="361">
        <v>17291291</v>
      </c>
      <c r="E48" s="361">
        <v>1178018</v>
      </c>
      <c r="F48" s="361">
        <v>24264237</v>
      </c>
      <c r="G48" s="361">
        <f>SUM(D48:F48)</f>
        <v>42733546</v>
      </c>
      <c r="H48" s="667">
        <f t="shared" ref="H48:H51" si="13">I48-G48</f>
        <v>264374</v>
      </c>
      <c r="I48" s="542">
        <v>42997920</v>
      </c>
    </row>
    <row r="49" spans="1:11" s="111" customFormat="1" ht="17.25" customHeight="1" x14ac:dyDescent="0.3">
      <c r="A49" s="358" t="s">
        <v>16</v>
      </c>
      <c r="B49" s="401" t="s">
        <v>208</v>
      </c>
      <c r="C49" s="372" t="s">
        <v>209</v>
      </c>
      <c r="D49" s="361">
        <v>16362016</v>
      </c>
      <c r="E49" s="361">
        <v>145000</v>
      </c>
      <c r="F49" s="361">
        <v>35954984</v>
      </c>
      <c r="G49" s="361">
        <f t="shared" ref="G49:G51" si="14">SUM(D49:F49)</f>
        <v>52462000</v>
      </c>
      <c r="H49" s="667">
        <f t="shared" si="13"/>
        <v>1356213</v>
      </c>
      <c r="I49" s="542">
        <v>53818213</v>
      </c>
    </row>
    <row r="50" spans="1:11" s="111" customFormat="1" ht="17.25" customHeight="1" x14ac:dyDescent="0.3">
      <c r="A50" s="358" t="s">
        <v>19</v>
      </c>
      <c r="B50" s="401" t="s">
        <v>210</v>
      </c>
      <c r="C50" s="372" t="s">
        <v>211</v>
      </c>
      <c r="D50" s="361">
        <v>677160</v>
      </c>
      <c r="E50" s="361"/>
      <c r="F50" s="361"/>
      <c r="G50" s="361">
        <f t="shared" si="14"/>
        <v>677160</v>
      </c>
      <c r="H50" s="667">
        <f t="shared" si="13"/>
        <v>112860</v>
      </c>
      <c r="I50" s="542">
        <v>790020</v>
      </c>
    </row>
    <row r="51" spans="1:11" s="111" customFormat="1" ht="17.25" customHeight="1" x14ac:dyDescent="0.3">
      <c r="A51" s="358" t="s">
        <v>22</v>
      </c>
      <c r="B51" s="401" t="s">
        <v>212</v>
      </c>
      <c r="C51" s="372" t="s">
        <v>213</v>
      </c>
      <c r="D51" s="361"/>
      <c r="E51" s="361"/>
      <c r="F51" s="361"/>
      <c r="G51" s="361">
        <f t="shared" si="14"/>
        <v>0</v>
      </c>
      <c r="H51" s="667">
        <f t="shared" si="13"/>
        <v>0</v>
      </c>
      <c r="I51" s="542"/>
    </row>
    <row r="52" spans="1:11" s="563" customFormat="1" ht="17.25" customHeight="1" x14ac:dyDescent="0.3">
      <c r="A52" s="130" t="s">
        <v>25</v>
      </c>
      <c r="B52" s="397" t="s">
        <v>517</v>
      </c>
      <c r="C52" s="119" t="s">
        <v>230</v>
      </c>
      <c r="D52" s="268">
        <f>SUM(D47:D51)</f>
        <v>99091421</v>
      </c>
      <c r="E52" s="268">
        <f>SUM(E47:E51)</f>
        <v>6643468</v>
      </c>
      <c r="F52" s="268">
        <f>SUM(F47:F51)</f>
        <v>170172626</v>
      </c>
      <c r="G52" s="268">
        <f>SUM(G47:G51)</f>
        <v>275907515</v>
      </c>
      <c r="H52" s="268">
        <f t="shared" ref="H52:I52" si="15">SUM(H47:H51)</f>
        <v>2956375</v>
      </c>
      <c r="I52" s="268">
        <f t="shared" si="15"/>
        <v>278863890</v>
      </c>
      <c r="J52" s="562"/>
      <c r="K52" s="562"/>
    </row>
    <row r="53" spans="1:11" s="128" customFormat="1" ht="17.25" customHeight="1" x14ac:dyDescent="0.3">
      <c r="A53" s="358" t="s">
        <v>28</v>
      </c>
      <c r="B53" s="401" t="s">
        <v>518</v>
      </c>
      <c r="C53" s="372" t="s">
        <v>232</v>
      </c>
      <c r="D53" s="361">
        <v>1574800</v>
      </c>
      <c r="E53" s="361">
        <v>2489200</v>
      </c>
      <c r="F53" s="361"/>
      <c r="G53" s="361">
        <f>SUM(D53:F53)</f>
        <v>4064000</v>
      </c>
      <c r="H53" s="559"/>
      <c r="I53" s="559">
        <v>4064000</v>
      </c>
      <c r="J53" s="127"/>
      <c r="K53" s="127"/>
    </row>
    <row r="54" spans="1:11" ht="17.25" customHeight="1" x14ac:dyDescent="0.3">
      <c r="A54" s="358" t="s">
        <v>31</v>
      </c>
      <c r="B54" s="401" t="s">
        <v>233</v>
      </c>
      <c r="C54" s="372" t="s">
        <v>234</v>
      </c>
      <c r="D54" s="361"/>
      <c r="E54" s="361"/>
      <c r="F54" s="361"/>
      <c r="G54" s="361">
        <f t="shared" ref="G54:G55" si="16">SUM(D54:F54)</f>
        <v>0</v>
      </c>
      <c r="H54" s="560"/>
      <c r="I54" s="560"/>
      <c r="J54" s="129"/>
      <c r="K54" s="129"/>
    </row>
    <row r="55" spans="1:11" ht="17.25" customHeight="1" x14ac:dyDescent="0.3">
      <c r="A55" s="358" t="s">
        <v>34</v>
      </c>
      <c r="B55" s="401" t="s">
        <v>519</v>
      </c>
      <c r="C55" s="372" t="s">
        <v>236</v>
      </c>
      <c r="D55" s="361"/>
      <c r="E55" s="361"/>
      <c r="F55" s="361"/>
      <c r="G55" s="361">
        <f t="shared" si="16"/>
        <v>0</v>
      </c>
      <c r="H55" s="560"/>
      <c r="I55" s="560"/>
      <c r="J55" s="129"/>
      <c r="K55" s="129"/>
    </row>
    <row r="56" spans="1:11" ht="17.25" customHeight="1" x14ac:dyDescent="0.3">
      <c r="A56" s="130" t="s">
        <v>37</v>
      </c>
      <c r="B56" s="267" t="s">
        <v>520</v>
      </c>
      <c r="C56" s="119" t="s">
        <v>248</v>
      </c>
      <c r="D56" s="268">
        <f>SUM(D53:D55)</f>
        <v>1574800</v>
      </c>
      <c r="E56" s="268">
        <f>SUM(E53:E55)</f>
        <v>2489200</v>
      </c>
      <c r="F56" s="268">
        <f>SUM(F53:F55)</f>
        <v>0</v>
      </c>
      <c r="G56" s="268">
        <f>SUM(G53:G55)</f>
        <v>4064000</v>
      </c>
      <c r="H56" s="268">
        <f t="shared" ref="H56:I56" si="17">SUM(H53:H55)</f>
        <v>0</v>
      </c>
      <c r="I56" s="268">
        <f t="shared" si="17"/>
        <v>4064000</v>
      </c>
      <c r="J56" s="129"/>
      <c r="K56" s="129"/>
    </row>
    <row r="57" spans="1:11" s="539" customFormat="1" ht="17.25" customHeight="1" x14ac:dyDescent="0.3">
      <c r="A57" s="130" t="s">
        <v>39</v>
      </c>
      <c r="B57" s="131" t="s">
        <v>521</v>
      </c>
      <c r="C57" s="119" t="s">
        <v>522</v>
      </c>
      <c r="D57" s="132">
        <f>D52+D56</f>
        <v>100666221</v>
      </c>
      <c r="E57" s="132">
        <f>E52+E56</f>
        <v>9132668</v>
      </c>
      <c r="F57" s="132">
        <f>F52+F56</f>
        <v>170172626</v>
      </c>
      <c r="G57" s="132">
        <f>G52+G56</f>
        <v>279971515</v>
      </c>
      <c r="H57" s="132">
        <f t="shared" ref="H57:I57" si="18">H52+H56</f>
        <v>2956375</v>
      </c>
      <c r="I57" s="132">
        <f t="shared" si="18"/>
        <v>282927890</v>
      </c>
      <c r="J57" s="565"/>
      <c r="K57" s="565"/>
    </row>
    <row r="58" spans="1:11" ht="22.5" customHeight="1" x14ac:dyDescent="0.3">
      <c r="A58" s="537" t="s">
        <v>41</v>
      </c>
      <c r="B58" s="131" t="s">
        <v>523</v>
      </c>
      <c r="C58" s="119" t="s">
        <v>524</v>
      </c>
      <c r="D58" s="132"/>
      <c r="E58" s="132"/>
      <c r="F58" s="132"/>
      <c r="G58" s="132">
        <f>SUM(D58:F58)</f>
        <v>0</v>
      </c>
      <c r="H58" s="560"/>
      <c r="I58" s="560"/>
      <c r="J58" s="129"/>
      <c r="K58" s="129"/>
    </row>
    <row r="59" spans="1:11" s="539" customFormat="1" ht="20.25" customHeight="1" x14ac:dyDescent="0.3">
      <c r="A59" s="119" t="s">
        <v>45</v>
      </c>
      <c r="B59" s="131" t="s">
        <v>600</v>
      </c>
      <c r="C59" s="119" t="s">
        <v>260</v>
      </c>
      <c r="D59" s="132">
        <f>D58</f>
        <v>0</v>
      </c>
      <c r="E59" s="132">
        <f t="shared" ref="E59:G59" si="19">E58</f>
        <v>0</v>
      </c>
      <c r="F59" s="132">
        <f t="shared" si="19"/>
        <v>0</v>
      </c>
      <c r="G59" s="132">
        <f t="shared" si="19"/>
        <v>0</v>
      </c>
      <c r="H59" s="540"/>
      <c r="I59" s="540"/>
      <c r="J59" s="565"/>
      <c r="K59" s="565"/>
    </row>
    <row r="60" spans="1:11" s="539" customFormat="1" ht="30.75" customHeight="1" x14ac:dyDescent="0.3">
      <c r="A60" s="119" t="s">
        <v>47</v>
      </c>
      <c r="B60" s="131" t="s">
        <v>525</v>
      </c>
      <c r="C60" s="119" t="s">
        <v>262</v>
      </c>
      <c r="D60" s="132">
        <f>SUM(D57+D59)</f>
        <v>100666221</v>
      </c>
      <c r="E60" s="132">
        <f>SUM(E57+E59)</f>
        <v>9132668</v>
      </c>
      <c r="F60" s="132">
        <f>SUM(F57+F59)</f>
        <v>170172626</v>
      </c>
      <c r="G60" s="132">
        <f>SUM(G57+G59)</f>
        <v>279971515</v>
      </c>
      <c r="H60" s="132">
        <f t="shared" ref="H60:I60" si="20">SUM(H57+H59)</f>
        <v>2956375</v>
      </c>
      <c r="I60" s="132">
        <f t="shared" si="20"/>
        <v>282927890</v>
      </c>
      <c r="J60" s="565"/>
      <c r="K60" s="565"/>
    </row>
    <row r="61" spans="1:11" ht="12" customHeight="1" x14ac:dyDescent="0.3">
      <c r="A61" s="133"/>
      <c r="B61" s="134"/>
      <c r="C61" s="135"/>
      <c r="D61" s="135"/>
      <c r="E61" s="135"/>
      <c r="F61" s="135"/>
      <c r="G61" s="135"/>
      <c r="H61" s="129"/>
      <c r="I61" s="129"/>
      <c r="J61" s="129"/>
      <c r="K61" s="129"/>
    </row>
    <row r="62" spans="1:11" ht="12" customHeight="1" x14ac:dyDescent="0.3">
      <c r="A62" s="133"/>
      <c r="B62" s="134"/>
      <c r="C62" s="135"/>
      <c r="D62" s="135"/>
      <c r="E62" s="135"/>
      <c r="F62" s="135"/>
      <c r="G62" s="135"/>
      <c r="H62" s="129"/>
      <c r="I62" s="129"/>
      <c r="J62" s="129"/>
      <c r="K62" s="129"/>
    </row>
    <row r="63" spans="1:11" x14ac:dyDescent="0.3">
      <c r="A63" s="136"/>
      <c r="B63" s="137"/>
      <c r="C63" s="137"/>
    </row>
    <row r="64" spans="1:11" x14ac:dyDescent="0.3">
      <c r="A64" s="136"/>
      <c r="B64" s="137"/>
      <c r="C64" s="137"/>
    </row>
    <row r="65" spans="1:3" x14ac:dyDescent="0.3">
      <c r="A65" s="136"/>
      <c r="B65" s="137"/>
      <c r="C65" s="137"/>
    </row>
  </sheetData>
  <sheetProtection formatCells="0"/>
  <mergeCells count="3">
    <mergeCell ref="A1:I1"/>
    <mergeCell ref="A5:I5"/>
    <mergeCell ref="A44:I44"/>
  </mergeCells>
  <printOptions horizontalCentered="1"/>
  <pageMargins left="0.25" right="0.25" top="0.75" bottom="0.75" header="0.3" footer="0.3"/>
  <pageSetup paperSize="9" scale="71" orientation="landscape" verticalDpi="300" r:id="rId1"/>
  <headerFooter alignWithMargins="0">
    <oddHeader>&amp;R&amp;"Times New Roman CE,Félkövér dőlt"&amp;11 10. melléklet a 16/2017. (IX.04.)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Layout" zoomScaleNormal="100" workbookViewId="0">
      <selection activeCell="E5" sqref="E5"/>
    </sheetView>
  </sheetViews>
  <sheetFormatPr defaultRowHeight="13" x14ac:dyDescent="0.3"/>
  <cols>
    <col min="1" max="1" width="6.69921875" style="99" customWidth="1"/>
    <col min="2" max="2" width="24.69921875" style="74" customWidth="1"/>
    <col min="3" max="3" width="13" style="74" customWidth="1"/>
    <col min="4" max="4" width="12.5" style="100" customWidth="1"/>
    <col min="5" max="5" width="15.5" style="100" customWidth="1"/>
    <col min="6" max="6" width="11.5" style="100" customWidth="1"/>
    <col min="7" max="7" width="13" style="100" customWidth="1"/>
    <col min="8" max="9" width="14" style="100" customWidth="1"/>
    <col min="10" max="10" width="13.296875" style="74" customWidth="1"/>
    <col min="11" max="11" width="14.796875" style="74" customWidth="1"/>
    <col min="12" max="12" width="14.69921875" style="74" customWidth="1"/>
    <col min="13" max="257" width="9.296875" style="74"/>
    <col min="258" max="258" width="6.69921875" style="74" customWidth="1"/>
    <col min="259" max="259" width="24.69921875" style="74" customWidth="1"/>
    <col min="260" max="260" width="13" style="74" customWidth="1"/>
    <col min="261" max="262" width="15.5" style="74" customWidth="1"/>
    <col min="263" max="263" width="11.5" style="74" customWidth="1"/>
    <col min="264" max="264" width="13" style="74" customWidth="1"/>
    <col min="265" max="266" width="14" style="74" customWidth="1"/>
    <col min="267" max="267" width="13.296875" style="74" customWidth="1"/>
    <col min="268" max="268" width="14.69921875" style="74" customWidth="1"/>
    <col min="269" max="513" width="9.296875" style="74"/>
    <col min="514" max="514" width="6.69921875" style="74" customWidth="1"/>
    <col min="515" max="515" width="24.69921875" style="74" customWidth="1"/>
    <col min="516" max="516" width="13" style="74" customWidth="1"/>
    <col min="517" max="518" width="15.5" style="74" customWidth="1"/>
    <col min="519" max="519" width="11.5" style="74" customWidth="1"/>
    <col min="520" max="520" width="13" style="74" customWidth="1"/>
    <col min="521" max="522" width="14" style="74" customWidth="1"/>
    <col min="523" max="523" width="13.296875" style="74" customWidth="1"/>
    <col min="524" max="524" width="14.69921875" style="74" customWidth="1"/>
    <col min="525" max="769" width="9.296875" style="74"/>
    <col min="770" max="770" width="6.69921875" style="74" customWidth="1"/>
    <col min="771" max="771" width="24.69921875" style="74" customWidth="1"/>
    <col min="772" max="772" width="13" style="74" customWidth="1"/>
    <col min="773" max="774" width="15.5" style="74" customWidth="1"/>
    <col min="775" max="775" width="11.5" style="74" customWidth="1"/>
    <col min="776" max="776" width="13" style="74" customWidth="1"/>
    <col min="777" max="778" width="14" style="74" customWidth="1"/>
    <col min="779" max="779" width="13.296875" style="74" customWidth="1"/>
    <col min="780" max="780" width="14.69921875" style="74" customWidth="1"/>
    <col min="781" max="1025" width="9.296875" style="74"/>
    <col min="1026" max="1026" width="6.69921875" style="74" customWidth="1"/>
    <col min="1027" max="1027" width="24.69921875" style="74" customWidth="1"/>
    <col min="1028" max="1028" width="13" style="74" customWidth="1"/>
    <col min="1029" max="1030" width="15.5" style="74" customWidth="1"/>
    <col min="1031" max="1031" width="11.5" style="74" customWidth="1"/>
    <col min="1032" max="1032" width="13" style="74" customWidth="1"/>
    <col min="1033" max="1034" width="14" style="74" customWidth="1"/>
    <col min="1035" max="1035" width="13.296875" style="74" customWidth="1"/>
    <col min="1036" max="1036" width="14.69921875" style="74" customWidth="1"/>
    <col min="1037" max="1281" width="9.296875" style="74"/>
    <col min="1282" max="1282" width="6.69921875" style="74" customWidth="1"/>
    <col min="1283" max="1283" width="24.69921875" style="74" customWidth="1"/>
    <col min="1284" max="1284" width="13" style="74" customWidth="1"/>
    <col min="1285" max="1286" width="15.5" style="74" customWidth="1"/>
    <col min="1287" max="1287" width="11.5" style="74" customWidth="1"/>
    <col min="1288" max="1288" width="13" style="74" customWidth="1"/>
    <col min="1289" max="1290" width="14" style="74" customWidth="1"/>
    <col min="1291" max="1291" width="13.296875" style="74" customWidth="1"/>
    <col min="1292" max="1292" width="14.69921875" style="74" customWidth="1"/>
    <col min="1293" max="1537" width="9.296875" style="74"/>
    <col min="1538" max="1538" width="6.69921875" style="74" customWidth="1"/>
    <col min="1539" max="1539" width="24.69921875" style="74" customWidth="1"/>
    <col min="1540" max="1540" width="13" style="74" customWidth="1"/>
    <col min="1541" max="1542" width="15.5" style="74" customWidth="1"/>
    <col min="1543" max="1543" width="11.5" style="74" customWidth="1"/>
    <col min="1544" max="1544" width="13" style="74" customWidth="1"/>
    <col min="1545" max="1546" width="14" style="74" customWidth="1"/>
    <col min="1547" max="1547" width="13.296875" style="74" customWidth="1"/>
    <col min="1548" max="1548" width="14.69921875" style="74" customWidth="1"/>
    <col min="1549" max="1793" width="9.296875" style="74"/>
    <col min="1794" max="1794" width="6.69921875" style="74" customWidth="1"/>
    <col min="1795" max="1795" width="24.69921875" style="74" customWidth="1"/>
    <col min="1796" max="1796" width="13" style="74" customWidth="1"/>
    <col min="1797" max="1798" width="15.5" style="74" customWidth="1"/>
    <col min="1799" max="1799" width="11.5" style="74" customWidth="1"/>
    <col min="1800" max="1800" width="13" style="74" customWidth="1"/>
    <col min="1801" max="1802" width="14" style="74" customWidth="1"/>
    <col min="1803" max="1803" width="13.296875" style="74" customWidth="1"/>
    <col min="1804" max="1804" width="14.69921875" style="74" customWidth="1"/>
    <col min="1805" max="2049" width="9.296875" style="74"/>
    <col min="2050" max="2050" width="6.69921875" style="74" customWidth="1"/>
    <col min="2051" max="2051" width="24.69921875" style="74" customWidth="1"/>
    <col min="2052" max="2052" width="13" style="74" customWidth="1"/>
    <col min="2053" max="2054" width="15.5" style="74" customWidth="1"/>
    <col min="2055" max="2055" width="11.5" style="74" customWidth="1"/>
    <col min="2056" max="2056" width="13" style="74" customWidth="1"/>
    <col min="2057" max="2058" width="14" style="74" customWidth="1"/>
    <col min="2059" max="2059" width="13.296875" style="74" customWidth="1"/>
    <col min="2060" max="2060" width="14.69921875" style="74" customWidth="1"/>
    <col min="2061" max="2305" width="9.296875" style="74"/>
    <col min="2306" max="2306" width="6.69921875" style="74" customWidth="1"/>
    <col min="2307" max="2307" width="24.69921875" style="74" customWidth="1"/>
    <col min="2308" max="2308" width="13" style="74" customWidth="1"/>
    <col min="2309" max="2310" width="15.5" style="74" customWidth="1"/>
    <col min="2311" max="2311" width="11.5" style="74" customWidth="1"/>
    <col min="2312" max="2312" width="13" style="74" customWidth="1"/>
    <col min="2313" max="2314" width="14" style="74" customWidth="1"/>
    <col min="2315" max="2315" width="13.296875" style="74" customWidth="1"/>
    <col min="2316" max="2316" width="14.69921875" style="74" customWidth="1"/>
    <col min="2317" max="2561" width="9.296875" style="74"/>
    <col min="2562" max="2562" width="6.69921875" style="74" customWidth="1"/>
    <col min="2563" max="2563" width="24.69921875" style="74" customWidth="1"/>
    <col min="2564" max="2564" width="13" style="74" customWidth="1"/>
    <col min="2565" max="2566" width="15.5" style="74" customWidth="1"/>
    <col min="2567" max="2567" width="11.5" style="74" customWidth="1"/>
    <col min="2568" max="2568" width="13" style="74" customWidth="1"/>
    <col min="2569" max="2570" width="14" style="74" customWidth="1"/>
    <col min="2571" max="2571" width="13.296875" style="74" customWidth="1"/>
    <col min="2572" max="2572" width="14.69921875" style="74" customWidth="1"/>
    <col min="2573" max="2817" width="9.296875" style="74"/>
    <col min="2818" max="2818" width="6.69921875" style="74" customWidth="1"/>
    <col min="2819" max="2819" width="24.69921875" style="74" customWidth="1"/>
    <col min="2820" max="2820" width="13" style="74" customWidth="1"/>
    <col min="2821" max="2822" width="15.5" style="74" customWidth="1"/>
    <col min="2823" max="2823" width="11.5" style="74" customWidth="1"/>
    <col min="2824" max="2824" width="13" style="74" customWidth="1"/>
    <col min="2825" max="2826" width="14" style="74" customWidth="1"/>
    <col min="2827" max="2827" width="13.296875" style="74" customWidth="1"/>
    <col min="2828" max="2828" width="14.69921875" style="74" customWidth="1"/>
    <col min="2829" max="3073" width="9.296875" style="74"/>
    <col min="3074" max="3074" width="6.69921875" style="74" customWidth="1"/>
    <col min="3075" max="3075" width="24.69921875" style="74" customWidth="1"/>
    <col min="3076" max="3076" width="13" style="74" customWidth="1"/>
    <col min="3077" max="3078" width="15.5" style="74" customWidth="1"/>
    <col min="3079" max="3079" width="11.5" style="74" customWidth="1"/>
    <col min="3080" max="3080" width="13" style="74" customWidth="1"/>
    <col min="3081" max="3082" width="14" style="74" customWidth="1"/>
    <col min="3083" max="3083" width="13.296875" style="74" customWidth="1"/>
    <col min="3084" max="3084" width="14.69921875" style="74" customWidth="1"/>
    <col min="3085" max="3329" width="9.296875" style="74"/>
    <col min="3330" max="3330" width="6.69921875" style="74" customWidth="1"/>
    <col min="3331" max="3331" width="24.69921875" style="74" customWidth="1"/>
    <col min="3332" max="3332" width="13" style="74" customWidth="1"/>
    <col min="3333" max="3334" width="15.5" style="74" customWidth="1"/>
    <col min="3335" max="3335" width="11.5" style="74" customWidth="1"/>
    <col min="3336" max="3336" width="13" style="74" customWidth="1"/>
    <col min="3337" max="3338" width="14" style="74" customWidth="1"/>
    <col min="3339" max="3339" width="13.296875" style="74" customWidth="1"/>
    <col min="3340" max="3340" width="14.69921875" style="74" customWidth="1"/>
    <col min="3341" max="3585" width="9.296875" style="74"/>
    <col min="3586" max="3586" width="6.69921875" style="74" customWidth="1"/>
    <col min="3587" max="3587" width="24.69921875" style="74" customWidth="1"/>
    <col min="3588" max="3588" width="13" style="74" customWidth="1"/>
    <col min="3589" max="3590" width="15.5" style="74" customWidth="1"/>
    <col min="3591" max="3591" width="11.5" style="74" customWidth="1"/>
    <col min="3592" max="3592" width="13" style="74" customWidth="1"/>
    <col min="3593" max="3594" width="14" style="74" customWidth="1"/>
    <col min="3595" max="3595" width="13.296875" style="74" customWidth="1"/>
    <col min="3596" max="3596" width="14.69921875" style="74" customWidth="1"/>
    <col min="3597" max="3841" width="9.296875" style="74"/>
    <col min="3842" max="3842" width="6.69921875" style="74" customWidth="1"/>
    <col min="3843" max="3843" width="24.69921875" style="74" customWidth="1"/>
    <col min="3844" max="3844" width="13" style="74" customWidth="1"/>
    <col min="3845" max="3846" width="15.5" style="74" customWidth="1"/>
    <col min="3847" max="3847" width="11.5" style="74" customWidth="1"/>
    <col min="3848" max="3848" width="13" style="74" customWidth="1"/>
    <col min="3849" max="3850" width="14" style="74" customWidth="1"/>
    <col min="3851" max="3851" width="13.296875" style="74" customWidth="1"/>
    <col min="3852" max="3852" width="14.69921875" style="74" customWidth="1"/>
    <col min="3853" max="4097" width="9.296875" style="74"/>
    <col min="4098" max="4098" width="6.69921875" style="74" customWidth="1"/>
    <col min="4099" max="4099" width="24.69921875" style="74" customWidth="1"/>
    <col min="4100" max="4100" width="13" style="74" customWidth="1"/>
    <col min="4101" max="4102" width="15.5" style="74" customWidth="1"/>
    <col min="4103" max="4103" width="11.5" style="74" customWidth="1"/>
    <col min="4104" max="4104" width="13" style="74" customWidth="1"/>
    <col min="4105" max="4106" width="14" style="74" customWidth="1"/>
    <col min="4107" max="4107" width="13.296875" style="74" customWidth="1"/>
    <col min="4108" max="4108" width="14.69921875" style="74" customWidth="1"/>
    <col min="4109" max="4353" width="9.296875" style="74"/>
    <col min="4354" max="4354" width="6.69921875" style="74" customWidth="1"/>
    <col min="4355" max="4355" width="24.69921875" style="74" customWidth="1"/>
    <col min="4356" max="4356" width="13" style="74" customWidth="1"/>
    <col min="4357" max="4358" width="15.5" style="74" customWidth="1"/>
    <col min="4359" max="4359" width="11.5" style="74" customWidth="1"/>
    <col min="4360" max="4360" width="13" style="74" customWidth="1"/>
    <col min="4361" max="4362" width="14" style="74" customWidth="1"/>
    <col min="4363" max="4363" width="13.296875" style="74" customWidth="1"/>
    <col min="4364" max="4364" width="14.69921875" style="74" customWidth="1"/>
    <col min="4365" max="4609" width="9.296875" style="74"/>
    <col min="4610" max="4610" width="6.69921875" style="74" customWidth="1"/>
    <col min="4611" max="4611" width="24.69921875" style="74" customWidth="1"/>
    <col min="4612" max="4612" width="13" style="74" customWidth="1"/>
    <col min="4613" max="4614" width="15.5" style="74" customWidth="1"/>
    <col min="4615" max="4615" width="11.5" style="74" customWidth="1"/>
    <col min="4616" max="4616" width="13" style="74" customWidth="1"/>
    <col min="4617" max="4618" width="14" style="74" customWidth="1"/>
    <col min="4619" max="4619" width="13.296875" style="74" customWidth="1"/>
    <col min="4620" max="4620" width="14.69921875" style="74" customWidth="1"/>
    <col min="4621" max="4865" width="9.296875" style="74"/>
    <col min="4866" max="4866" width="6.69921875" style="74" customWidth="1"/>
    <col min="4867" max="4867" width="24.69921875" style="74" customWidth="1"/>
    <col min="4868" max="4868" width="13" style="74" customWidth="1"/>
    <col min="4869" max="4870" width="15.5" style="74" customWidth="1"/>
    <col min="4871" max="4871" width="11.5" style="74" customWidth="1"/>
    <col min="4872" max="4872" width="13" style="74" customWidth="1"/>
    <col min="4873" max="4874" width="14" style="74" customWidth="1"/>
    <col min="4875" max="4875" width="13.296875" style="74" customWidth="1"/>
    <col min="4876" max="4876" width="14.69921875" style="74" customWidth="1"/>
    <col min="4877" max="5121" width="9.296875" style="74"/>
    <col min="5122" max="5122" width="6.69921875" style="74" customWidth="1"/>
    <col min="5123" max="5123" width="24.69921875" style="74" customWidth="1"/>
    <col min="5124" max="5124" width="13" style="74" customWidth="1"/>
    <col min="5125" max="5126" width="15.5" style="74" customWidth="1"/>
    <col min="5127" max="5127" width="11.5" style="74" customWidth="1"/>
    <col min="5128" max="5128" width="13" style="74" customWidth="1"/>
    <col min="5129" max="5130" width="14" style="74" customWidth="1"/>
    <col min="5131" max="5131" width="13.296875" style="74" customWidth="1"/>
    <col min="5132" max="5132" width="14.69921875" style="74" customWidth="1"/>
    <col min="5133" max="5377" width="9.296875" style="74"/>
    <col min="5378" max="5378" width="6.69921875" style="74" customWidth="1"/>
    <col min="5379" max="5379" width="24.69921875" style="74" customWidth="1"/>
    <col min="5380" max="5380" width="13" style="74" customWidth="1"/>
    <col min="5381" max="5382" width="15.5" style="74" customWidth="1"/>
    <col min="5383" max="5383" width="11.5" style="74" customWidth="1"/>
    <col min="5384" max="5384" width="13" style="74" customWidth="1"/>
    <col min="5385" max="5386" width="14" style="74" customWidth="1"/>
    <col min="5387" max="5387" width="13.296875" style="74" customWidth="1"/>
    <col min="5388" max="5388" width="14.69921875" style="74" customWidth="1"/>
    <col min="5389" max="5633" width="9.296875" style="74"/>
    <col min="5634" max="5634" width="6.69921875" style="74" customWidth="1"/>
    <col min="5635" max="5635" width="24.69921875" style="74" customWidth="1"/>
    <col min="5636" max="5636" width="13" style="74" customWidth="1"/>
    <col min="5637" max="5638" width="15.5" style="74" customWidth="1"/>
    <col min="5639" max="5639" width="11.5" style="74" customWidth="1"/>
    <col min="5640" max="5640" width="13" style="74" customWidth="1"/>
    <col min="5641" max="5642" width="14" style="74" customWidth="1"/>
    <col min="5643" max="5643" width="13.296875" style="74" customWidth="1"/>
    <col min="5644" max="5644" width="14.69921875" style="74" customWidth="1"/>
    <col min="5645" max="5889" width="9.296875" style="74"/>
    <col min="5890" max="5890" width="6.69921875" style="74" customWidth="1"/>
    <col min="5891" max="5891" width="24.69921875" style="74" customWidth="1"/>
    <col min="5892" max="5892" width="13" style="74" customWidth="1"/>
    <col min="5893" max="5894" width="15.5" style="74" customWidth="1"/>
    <col min="5895" max="5895" width="11.5" style="74" customWidth="1"/>
    <col min="5896" max="5896" width="13" style="74" customWidth="1"/>
    <col min="5897" max="5898" width="14" style="74" customWidth="1"/>
    <col min="5899" max="5899" width="13.296875" style="74" customWidth="1"/>
    <col min="5900" max="5900" width="14.69921875" style="74" customWidth="1"/>
    <col min="5901" max="6145" width="9.296875" style="74"/>
    <col min="6146" max="6146" width="6.69921875" style="74" customWidth="1"/>
    <col min="6147" max="6147" width="24.69921875" style="74" customWidth="1"/>
    <col min="6148" max="6148" width="13" style="74" customWidth="1"/>
    <col min="6149" max="6150" width="15.5" style="74" customWidth="1"/>
    <col min="6151" max="6151" width="11.5" style="74" customWidth="1"/>
    <col min="6152" max="6152" width="13" style="74" customWidth="1"/>
    <col min="6153" max="6154" width="14" style="74" customWidth="1"/>
    <col min="6155" max="6155" width="13.296875" style="74" customWidth="1"/>
    <col min="6156" max="6156" width="14.69921875" style="74" customWidth="1"/>
    <col min="6157" max="6401" width="9.296875" style="74"/>
    <col min="6402" max="6402" width="6.69921875" style="74" customWidth="1"/>
    <col min="6403" max="6403" width="24.69921875" style="74" customWidth="1"/>
    <col min="6404" max="6404" width="13" style="74" customWidth="1"/>
    <col min="6405" max="6406" width="15.5" style="74" customWidth="1"/>
    <col min="6407" max="6407" width="11.5" style="74" customWidth="1"/>
    <col min="6408" max="6408" width="13" style="74" customWidth="1"/>
    <col min="6409" max="6410" width="14" style="74" customWidth="1"/>
    <col min="6411" max="6411" width="13.296875" style="74" customWidth="1"/>
    <col min="6412" max="6412" width="14.69921875" style="74" customWidth="1"/>
    <col min="6413" max="6657" width="9.296875" style="74"/>
    <col min="6658" max="6658" width="6.69921875" style="74" customWidth="1"/>
    <col min="6659" max="6659" width="24.69921875" style="74" customWidth="1"/>
    <col min="6660" max="6660" width="13" style="74" customWidth="1"/>
    <col min="6661" max="6662" width="15.5" style="74" customWidth="1"/>
    <col min="6663" max="6663" width="11.5" style="74" customWidth="1"/>
    <col min="6664" max="6664" width="13" style="74" customWidth="1"/>
    <col min="6665" max="6666" width="14" style="74" customWidth="1"/>
    <col min="6667" max="6667" width="13.296875" style="74" customWidth="1"/>
    <col min="6668" max="6668" width="14.69921875" style="74" customWidth="1"/>
    <col min="6669" max="6913" width="9.296875" style="74"/>
    <col min="6914" max="6914" width="6.69921875" style="74" customWidth="1"/>
    <col min="6915" max="6915" width="24.69921875" style="74" customWidth="1"/>
    <col min="6916" max="6916" width="13" style="74" customWidth="1"/>
    <col min="6917" max="6918" width="15.5" style="74" customWidth="1"/>
    <col min="6919" max="6919" width="11.5" style="74" customWidth="1"/>
    <col min="6920" max="6920" width="13" style="74" customWidth="1"/>
    <col min="6921" max="6922" width="14" style="74" customWidth="1"/>
    <col min="6923" max="6923" width="13.296875" style="74" customWidth="1"/>
    <col min="6924" max="6924" width="14.69921875" style="74" customWidth="1"/>
    <col min="6925" max="7169" width="9.296875" style="74"/>
    <col min="7170" max="7170" width="6.69921875" style="74" customWidth="1"/>
    <col min="7171" max="7171" width="24.69921875" style="74" customWidth="1"/>
    <col min="7172" max="7172" width="13" style="74" customWidth="1"/>
    <col min="7173" max="7174" width="15.5" style="74" customWidth="1"/>
    <col min="7175" max="7175" width="11.5" style="74" customWidth="1"/>
    <col min="7176" max="7176" width="13" style="74" customWidth="1"/>
    <col min="7177" max="7178" width="14" style="74" customWidth="1"/>
    <col min="7179" max="7179" width="13.296875" style="74" customWidth="1"/>
    <col min="7180" max="7180" width="14.69921875" style="74" customWidth="1"/>
    <col min="7181" max="7425" width="9.296875" style="74"/>
    <col min="7426" max="7426" width="6.69921875" style="74" customWidth="1"/>
    <col min="7427" max="7427" width="24.69921875" style="74" customWidth="1"/>
    <col min="7428" max="7428" width="13" style="74" customWidth="1"/>
    <col min="7429" max="7430" width="15.5" style="74" customWidth="1"/>
    <col min="7431" max="7431" width="11.5" style="74" customWidth="1"/>
    <col min="7432" max="7432" width="13" style="74" customWidth="1"/>
    <col min="7433" max="7434" width="14" style="74" customWidth="1"/>
    <col min="7435" max="7435" width="13.296875" style="74" customWidth="1"/>
    <col min="7436" max="7436" width="14.69921875" style="74" customWidth="1"/>
    <col min="7437" max="7681" width="9.296875" style="74"/>
    <col min="7682" max="7682" width="6.69921875" style="74" customWidth="1"/>
    <col min="7683" max="7683" width="24.69921875" style="74" customWidth="1"/>
    <col min="7684" max="7684" width="13" style="74" customWidth="1"/>
    <col min="7685" max="7686" width="15.5" style="74" customWidth="1"/>
    <col min="7687" max="7687" width="11.5" style="74" customWidth="1"/>
    <col min="7688" max="7688" width="13" style="74" customWidth="1"/>
    <col min="7689" max="7690" width="14" style="74" customWidth="1"/>
    <col min="7691" max="7691" width="13.296875" style="74" customWidth="1"/>
    <col min="7692" max="7692" width="14.69921875" style="74" customWidth="1"/>
    <col min="7693" max="7937" width="9.296875" style="74"/>
    <col min="7938" max="7938" width="6.69921875" style="74" customWidth="1"/>
    <col min="7939" max="7939" width="24.69921875" style="74" customWidth="1"/>
    <col min="7940" max="7940" width="13" style="74" customWidth="1"/>
    <col min="7941" max="7942" width="15.5" style="74" customWidth="1"/>
    <col min="7943" max="7943" width="11.5" style="74" customWidth="1"/>
    <col min="7944" max="7944" width="13" style="74" customWidth="1"/>
    <col min="7945" max="7946" width="14" style="74" customWidth="1"/>
    <col min="7947" max="7947" width="13.296875" style="74" customWidth="1"/>
    <col min="7948" max="7948" width="14.69921875" style="74" customWidth="1"/>
    <col min="7949" max="8193" width="9.296875" style="74"/>
    <col min="8194" max="8194" width="6.69921875" style="74" customWidth="1"/>
    <col min="8195" max="8195" width="24.69921875" style="74" customWidth="1"/>
    <col min="8196" max="8196" width="13" style="74" customWidth="1"/>
    <col min="8197" max="8198" width="15.5" style="74" customWidth="1"/>
    <col min="8199" max="8199" width="11.5" style="74" customWidth="1"/>
    <col min="8200" max="8200" width="13" style="74" customWidth="1"/>
    <col min="8201" max="8202" width="14" style="74" customWidth="1"/>
    <col min="8203" max="8203" width="13.296875" style="74" customWidth="1"/>
    <col min="8204" max="8204" width="14.69921875" style="74" customWidth="1"/>
    <col min="8205" max="8449" width="9.296875" style="74"/>
    <col min="8450" max="8450" width="6.69921875" style="74" customWidth="1"/>
    <col min="8451" max="8451" width="24.69921875" style="74" customWidth="1"/>
    <col min="8452" max="8452" width="13" style="74" customWidth="1"/>
    <col min="8453" max="8454" width="15.5" style="74" customWidth="1"/>
    <col min="8455" max="8455" width="11.5" style="74" customWidth="1"/>
    <col min="8456" max="8456" width="13" style="74" customWidth="1"/>
    <col min="8457" max="8458" width="14" style="74" customWidth="1"/>
    <col min="8459" max="8459" width="13.296875" style="74" customWidth="1"/>
    <col min="8460" max="8460" width="14.69921875" style="74" customWidth="1"/>
    <col min="8461" max="8705" width="9.296875" style="74"/>
    <col min="8706" max="8706" width="6.69921875" style="74" customWidth="1"/>
    <col min="8707" max="8707" width="24.69921875" style="74" customWidth="1"/>
    <col min="8708" max="8708" width="13" style="74" customWidth="1"/>
    <col min="8709" max="8710" width="15.5" style="74" customWidth="1"/>
    <col min="8711" max="8711" width="11.5" style="74" customWidth="1"/>
    <col min="8712" max="8712" width="13" style="74" customWidth="1"/>
    <col min="8713" max="8714" width="14" style="74" customWidth="1"/>
    <col min="8715" max="8715" width="13.296875" style="74" customWidth="1"/>
    <col min="8716" max="8716" width="14.69921875" style="74" customWidth="1"/>
    <col min="8717" max="8961" width="9.296875" style="74"/>
    <col min="8962" max="8962" width="6.69921875" style="74" customWidth="1"/>
    <col min="8963" max="8963" width="24.69921875" style="74" customWidth="1"/>
    <col min="8964" max="8964" width="13" style="74" customWidth="1"/>
    <col min="8965" max="8966" width="15.5" style="74" customWidth="1"/>
    <col min="8967" max="8967" width="11.5" style="74" customWidth="1"/>
    <col min="8968" max="8968" width="13" style="74" customWidth="1"/>
    <col min="8969" max="8970" width="14" style="74" customWidth="1"/>
    <col min="8971" max="8971" width="13.296875" style="74" customWidth="1"/>
    <col min="8972" max="8972" width="14.69921875" style="74" customWidth="1"/>
    <col min="8973" max="9217" width="9.296875" style="74"/>
    <col min="9218" max="9218" width="6.69921875" style="74" customWidth="1"/>
    <col min="9219" max="9219" width="24.69921875" style="74" customWidth="1"/>
    <col min="9220" max="9220" width="13" style="74" customWidth="1"/>
    <col min="9221" max="9222" width="15.5" style="74" customWidth="1"/>
    <col min="9223" max="9223" width="11.5" style="74" customWidth="1"/>
    <col min="9224" max="9224" width="13" style="74" customWidth="1"/>
    <col min="9225" max="9226" width="14" style="74" customWidth="1"/>
    <col min="9227" max="9227" width="13.296875" style="74" customWidth="1"/>
    <col min="9228" max="9228" width="14.69921875" style="74" customWidth="1"/>
    <col min="9229" max="9473" width="9.296875" style="74"/>
    <col min="9474" max="9474" width="6.69921875" style="74" customWidth="1"/>
    <col min="9475" max="9475" width="24.69921875" style="74" customWidth="1"/>
    <col min="9476" max="9476" width="13" style="74" customWidth="1"/>
    <col min="9477" max="9478" width="15.5" style="74" customWidth="1"/>
    <col min="9479" max="9479" width="11.5" style="74" customWidth="1"/>
    <col min="9480" max="9480" width="13" style="74" customWidth="1"/>
    <col min="9481" max="9482" width="14" style="74" customWidth="1"/>
    <col min="9483" max="9483" width="13.296875" style="74" customWidth="1"/>
    <col min="9484" max="9484" width="14.69921875" style="74" customWidth="1"/>
    <col min="9485" max="9729" width="9.296875" style="74"/>
    <col min="9730" max="9730" width="6.69921875" style="74" customWidth="1"/>
    <col min="9731" max="9731" width="24.69921875" style="74" customWidth="1"/>
    <col min="9732" max="9732" width="13" style="74" customWidth="1"/>
    <col min="9733" max="9734" width="15.5" style="74" customWidth="1"/>
    <col min="9735" max="9735" width="11.5" style="74" customWidth="1"/>
    <col min="9736" max="9736" width="13" style="74" customWidth="1"/>
    <col min="9737" max="9738" width="14" style="74" customWidth="1"/>
    <col min="9739" max="9739" width="13.296875" style="74" customWidth="1"/>
    <col min="9740" max="9740" width="14.69921875" style="74" customWidth="1"/>
    <col min="9741" max="9985" width="9.296875" style="74"/>
    <col min="9986" max="9986" width="6.69921875" style="74" customWidth="1"/>
    <col min="9987" max="9987" width="24.69921875" style="74" customWidth="1"/>
    <col min="9988" max="9988" width="13" style="74" customWidth="1"/>
    <col min="9989" max="9990" width="15.5" style="74" customWidth="1"/>
    <col min="9991" max="9991" width="11.5" style="74" customWidth="1"/>
    <col min="9992" max="9992" width="13" style="74" customWidth="1"/>
    <col min="9993" max="9994" width="14" style="74" customWidth="1"/>
    <col min="9995" max="9995" width="13.296875" style="74" customWidth="1"/>
    <col min="9996" max="9996" width="14.69921875" style="74" customWidth="1"/>
    <col min="9997" max="10241" width="9.296875" style="74"/>
    <col min="10242" max="10242" width="6.69921875" style="74" customWidth="1"/>
    <col min="10243" max="10243" width="24.69921875" style="74" customWidth="1"/>
    <col min="10244" max="10244" width="13" style="74" customWidth="1"/>
    <col min="10245" max="10246" width="15.5" style="74" customWidth="1"/>
    <col min="10247" max="10247" width="11.5" style="74" customWidth="1"/>
    <col min="10248" max="10248" width="13" style="74" customWidth="1"/>
    <col min="10249" max="10250" width="14" style="74" customWidth="1"/>
    <col min="10251" max="10251" width="13.296875" style="74" customWidth="1"/>
    <col min="10252" max="10252" width="14.69921875" style="74" customWidth="1"/>
    <col min="10253" max="10497" width="9.296875" style="74"/>
    <col min="10498" max="10498" width="6.69921875" style="74" customWidth="1"/>
    <col min="10499" max="10499" width="24.69921875" style="74" customWidth="1"/>
    <col min="10500" max="10500" width="13" style="74" customWidth="1"/>
    <col min="10501" max="10502" width="15.5" style="74" customWidth="1"/>
    <col min="10503" max="10503" width="11.5" style="74" customWidth="1"/>
    <col min="10504" max="10504" width="13" style="74" customWidth="1"/>
    <col min="10505" max="10506" width="14" style="74" customWidth="1"/>
    <col min="10507" max="10507" width="13.296875" style="74" customWidth="1"/>
    <col min="10508" max="10508" width="14.69921875" style="74" customWidth="1"/>
    <col min="10509" max="10753" width="9.296875" style="74"/>
    <col min="10754" max="10754" width="6.69921875" style="74" customWidth="1"/>
    <col min="10755" max="10755" width="24.69921875" style="74" customWidth="1"/>
    <col min="10756" max="10756" width="13" style="74" customWidth="1"/>
    <col min="10757" max="10758" width="15.5" style="74" customWidth="1"/>
    <col min="10759" max="10759" width="11.5" style="74" customWidth="1"/>
    <col min="10760" max="10760" width="13" style="74" customWidth="1"/>
    <col min="10761" max="10762" width="14" style="74" customWidth="1"/>
    <col min="10763" max="10763" width="13.296875" style="74" customWidth="1"/>
    <col min="10764" max="10764" width="14.69921875" style="74" customWidth="1"/>
    <col min="10765" max="11009" width="9.296875" style="74"/>
    <col min="11010" max="11010" width="6.69921875" style="74" customWidth="1"/>
    <col min="11011" max="11011" width="24.69921875" style="74" customWidth="1"/>
    <col min="11012" max="11012" width="13" style="74" customWidth="1"/>
    <col min="11013" max="11014" width="15.5" style="74" customWidth="1"/>
    <col min="11015" max="11015" width="11.5" style="74" customWidth="1"/>
    <col min="11016" max="11016" width="13" style="74" customWidth="1"/>
    <col min="11017" max="11018" width="14" style="74" customWidth="1"/>
    <col min="11019" max="11019" width="13.296875" style="74" customWidth="1"/>
    <col min="11020" max="11020" width="14.69921875" style="74" customWidth="1"/>
    <col min="11021" max="11265" width="9.296875" style="74"/>
    <col min="11266" max="11266" width="6.69921875" style="74" customWidth="1"/>
    <col min="11267" max="11267" width="24.69921875" style="74" customWidth="1"/>
    <col min="11268" max="11268" width="13" style="74" customWidth="1"/>
    <col min="11269" max="11270" width="15.5" style="74" customWidth="1"/>
    <col min="11271" max="11271" width="11.5" style="74" customWidth="1"/>
    <col min="11272" max="11272" width="13" style="74" customWidth="1"/>
    <col min="11273" max="11274" width="14" style="74" customWidth="1"/>
    <col min="11275" max="11275" width="13.296875" style="74" customWidth="1"/>
    <col min="11276" max="11276" width="14.69921875" style="74" customWidth="1"/>
    <col min="11277" max="11521" width="9.296875" style="74"/>
    <col min="11522" max="11522" width="6.69921875" style="74" customWidth="1"/>
    <col min="11523" max="11523" width="24.69921875" style="74" customWidth="1"/>
    <col min="11524" max="11524" width="13" style="74" customWidth="1"/>
    <col min="11525" max="11526" width="15.5" style="74" customWidth="1"/>
    <col min="11527" max="11527" width="11.5" style="74" customWidth="1"/>
    <col min="11528" max="11528" width="13" style="74" customWidth="1"/>
    <col min="11529" max="11530" width="14" style="74" customWidth="1"/>
    <col min="11531" max="11531" width="13.296875" style="74" customWidth="1"/>
    <col min="11532" max="11532" width="14.69921875" style="74" customWidth="1"/>
    <col min="11533" max="11777" width="9.296875" style="74"/>
    <col min="11778" max="11778" width="6.69921875" style="74" customWidth="1"/>
    <col min="11779" max="11779" width="24.69921875" style="74" customWidth="1"/>
    <col min="11780" max="11780" width="13" style="74" customWidth="1"/>
    <col min="11781" max="11782" width="15.5" style="74" customWidth="1"/>
    <col min="11783" max="11783" width="11.5" style="74" customWidth="1"/>
    <col min="11784" max="11784" width="13" style="74" customWidth="1"/>
    <col min="11785" max="11786" width="14" style="74" customWidth="1"/>
    <col min="11787" max="11787" width="13.296875" style="74" customWidth="1"/>
    <col min="11788" max="11788" width="14.69921875" style="74" customWidth="1"/>
    <col min="11789" max="12033" width="9.296875" style="74"/>
    <col min="12034" max="12034" width="6.69921875" style="74" customWidth="1"/>
    <col min="12035" max="12035" width="24.69921875" style="74" customWidth="1"/>
    <col min="12036" max="12036" width="13" style="74" customWidth="1"/>
    <col min="12037" max="12038" width="15.5" style="74" customWidth="1"/>
    <col min="12039" max="12039" width="11.5" style="74" customWidth="1"/>
    <col min="12040" max="12040" width="13" style="74" customWidth="1"/>
    <col min="12041" max="12042" width="14" style="74" customWidth="1"/>
    <col min="12043" max="12043" width="13.296875" style="74" customWidth="1"/>
    <col min="12044" max="12044" width="14.69921875" style="74" customWidth="1"/>
    <col min="12045" max="12289" width="9.296875" style="74"/>
    <col min="12290" max="12290" width="6.69921875" style="74" customWidth="1"/>
    <col min="12291" max="12291" width="24.69921875" style="74" customWidth="1"/>
    <col min="12292" max="12292" width="13" style="74" customWidth="1"/>
    <col min="12293" max="12294" width="15.5" style="74" customWidth="1"/>
    <col min="12295" max="12295" width="11.5" style="74" customWidth="1"/>
    <col min="12296" max="12296" width="13" style="74" customWidth="1"/>
    <col min="12297" max="12298" width="14" style="74" customWidth="1"/>
    <col min="12299" max="12299" width="13.296875" style="74" customWidth="1"/>
    <col min="12300" max="12300" width="14.69921875" style="74" customWidth="1"/>
    <col min="12301" max="12545" width="9.296875" style="74"/>
    <col min="12546" max="12546" width="6.69921875" style="74" customWidth="1"/>
    <col min="12547" max="12547" width="24.69921875" style="74" customWidth="1"/>
    <col min="12548" max="12548" width="13" style="74" customWidth="1"/>
    <col min="12549" max="12550" width="15.5" style="74" customWidth="1"/>
    <col min="12551" max="12551" width="11.5" style="74" customWidth="1"/>
    <col min="12552" max="12552" width="13" style="74" customWidth="1"/>
    <col min="12553" max="12554" width="14" style="74" customWidth="1"/>
    <col min="12555" max="12555" width="13.296875" style="74" customWidth="1"/>
    <col min="12556" max="12556" width="14.69921875" style="74" customWidth="1"/>
    <col min="12557" max="12801" width="9.296875" style="74"/>
    <col min="12802" max="12802" width="6.69921875" style="74" customWidth="1"/>
    <col min="12803" max="12803" width="24.69921875" style="74" customWidth="1"/>
    <col min="12804" max="12804" width="13" style="74" customWidth="1"/>
    <col min="12805" max="12806" width="15.5" style="74" customWidth="1"/>
    <col min="12807" max="12807" width="11.5" style="74" customWidth="1"/>
    <col min="12808" max="12808" width="13" style="74" customWidth="1"/>
    <col min="12809" max="12810" width="14" style="74" customWidth="1"/>
    <col min="12811" max="12811" width="13.296875" style="74" customWidth="1"/>
    <col min="12812" max="12812" width="14.69921875" style="74" customWidth="1"/>
    <col min="12813" max="13057" width="9.296875" style="74"/>
    <col min="13058" max="13058" width="6.69921875" style="74" customWidth="1"/>
    <col min="13059" max="13059" width="24.69921875" style="74" customWidth="1"/>
    <col min="13060" max="13060" width="13" style="74" customWidth="1"/>
    <col min="13061" max="13062" width="15.5" style="74" customWidth="1"/>
    <col min="13063" max="13063" width="11.5" style="74" customWidth="1"/>
    <col min="13064" max="13064" width="13" style="74" customWidth="1"/>
    <col min="13065" max="13066" width="14" style="74" customWidth="1"/>
    <col min="13067" max="13067" width="13.296875" style="74" customWidth="1"/>
    <col min="13068" max="13068" width="14.69921875" style="74" customWidth="1"/>
    <col min="13069" max="13313" width="9.296875" style="74"/>
    <col min="13314" max="13314" width="6.69921875" style="74" customWidth="1"/>
    <col min="13315" max="13315" width="24.69921875" style="74" customWidth="1"/>
    <col min="13316" max="13316" width="13" style="74" customWidth="1"/>
    <col min="13317" max="13318" width="15.5" style="74" customWidth="1"/>
    <col min="13319" max="13319" width="11.5" style="74" customWidth="1"/>
    <col min="13320" max="13320" width="13" style="74" customWidth="1"/>
    <col min="13321" max="13322" width="14" style="74" customWidth="1"/>
    <col min="13323" max="13323" width="13.296875" style="74" customWidth="1"/>
    <col min="13324" max="13324" width="14.69921875" style="74" customWidth="1"/>
    <col min="13325" max="13569" width="9.296875" style="74"/>
    <col min="13570" max="13570" width="6.69921875" style="74" customWidth="1"/>
    <col min="13571" max="13571" width="24.69921875" style="74" customWidth="1"/>
    <col min="13572" max="13572" width="13" style="74" customWidth="1"/>
    <col min="13573" max="13574" width="15.5" style="74" customWidth="1"/>
    <col min="13575" max="13575" width="11.5" style="74" customWidth="1"/>
    <col min="13576" max="13576" width="13" style="74" customWidth="1"/>
    <col min="13577" max="13578" width="14" style="74" customWidth="1"/>
    <col min="13579" max="13579" width="13.296875" style="74" customWidth="1"/>
    <col min="13580" max="13580" width="14.69921875" style="74" customWidth="1"/>
    <col min="13581" max="13825" width="9.296875" style="74"/>
    <col min="13826" max="13826" width="6.69921875" style="74" customWidth="1"/>
    <col min="13827" max="13827" width="24.69921875" style="74" customWidth="1"/>
    <col min="13828" max="13828" width="13" style="74" customWidth="1"/>
    <col min="13829" max="13830" width="15.5" style="74" customWidth="1"/>
    <col min="13831" max="13831" width="11.5" style="74" customWidth="1"/>
    <col min="13832" max="13832" width="13" style="74" customWidth="1"/>
    <col min="13833" max="13834" width="14" style="74" customWidth="1"/>
    <col min="13835" max="13835" width="13.296875" style="74" customWidth="1"/>
    <col min="13836" max="13836" width="14.69921875" style="74" customWidth="1"/>
    <col min="13837" max="14081" width="9.296875" style="74"/>
    <col min="14082" max="14082" width="6.69921875" style="74" customWidth="1"/>
    <col min="14083" max="14083" width="24.69921875" style="74" customWidth="1"/>
    <col min="14084" max="14084" width="13" style="74" customWidth="1"/>
    <col min="14085" max="14086" width="15.5" style="74" customWidth="1"/>
    <col min="14087" max="14087" width="11.5" style="74" customWidth="1"/>
    <col min="14088" max="14088" width="13" style="74" customWidth="1"/>
    <col min="14089" max="14090" width="14" style="74" customWidth="1"/>
    <col min="14091" max="14091" width="13.296875" style="74" customWidth="1"/>
    <col min="14092" max="14092" width="14.69921875" style="74" customWidth="1"/>
    <col min="14093" max="14337" width="9.296875" style="74"/>
    <col min="14338" max="14338" width="6.69921875" style="74" customWidth="1"/>
    <col min="14339" max="14339" width="24.69921875" style="74" customWidth="1"/>
    <col min="14340" max="14340" width="13" style="74" customWidth="1"/>
    <col min="14341" max="14342" width="15.5" style="74" customWidth="1"/>
    <col min="14343" max="14343" width="11.5" style="74" customWidth="1"/>
    <col min="14344" max="14344" width="13" style="74" customWidth="1"/>
    <col min="14345" max="14346" width="14" style="74" customWidth="1"/>
    <col min="14347" max="14347" width="13.296875" style="74" customWidth="1"/>
    <col min="14348" max="14348" width="14.69921875" style="74" customWidth="1"/>
    <col min="14349" max="14593" width="9.296875" style="74"/>
    <col min="14594" max="14594" width="6.69921875" style="74" customWidth="1"/>
    <col min="14595" max="14595" width="24.69921875" style="74" customWidth="1"/>
    <col min="14596" max="14596" width="13" style="74" customWidth="1"/>
    <col min="14597" max="14598" width="15.5" style="74" customWidth="1"/>
    <col min="14599" max="14599" width="11.5" style="74" customWidth="1"/>
    <col min="14600" max="14600" width="13" style="74" customWidth="1"/>
    <col min="14601" max="14602" width="14" style="74" customWidth="1"/>
    <col min="14603" max="14603" width="13.296875" style="74" customWidth="1"/>
    <col min="14604" max="14604" width="14.69921875" style="74" customWidth="1"/>
    <col min="14605" max="14849" width="9.296875" style="74"/>
    <col min="14850" max="14850" width="6.69921875" style="74" customWidth="1"/>
    <col min="14851" max="14851" width="24.69921875" style="74" customWidth="1"/>
    <col min="14852" max="14852" width="13" style="74" customWidth="1"/>
    <col min="14853" max="14854" width="15.5" style="74" customWidth="1"/>
    <col min="14855" max="14855" width="11.5" style="74" customWidth="1"/>
    <col min="14856" max="14856" width="13" style="74" customWidth="1"/>
    <col min="14857" max="14858" width="14" style="74" customWidth="1"/>
    <col min="14859" max="14859" width="13.296875" style="74" customWidth="1"/>
    <col min="14860" max="14860" width="14.69921875" style="74" customWidth="1"/>
    <col min="14861" max="15105" width="9.296875" style="74"/>
    <col min="15106" max="15106" width="6.69921875" style="74" customWidth="1"/>
    <col min="15107" max="15107" width="24.69921875" style="74" customWidth="1"/>
    <col min="15108" max="15108" width="13" style="74" customWidth="1"/>
    <col min="15109" max="15110" width="15.5" style="74" customWidth="1"/>
    <col min="15111" max="15111" width="11.5" style="74" customWidth="1"/>
    <col min="15112" max="15112" width="13" style="74" customWidth="1"/>
    <col min="15113" max="15114" width="14" style="74" customWidth="1"/>
    <col min="15115" max="15115" width="13.296875" style="74" customWidth="1"/>
    <col min="15116" max="15116" width="14.69921875" style="74" customWidth="1"/>
    <col min="15117" max="15361" width="9.296875" style="74"/>
    <col min="15362" max="15362" width="6.69921875" style="74" customWidth="1"/>
    <col min="15363" max="15363" width="24.69921875" style="74" customWidth="1"/>
    <col min="15364" max="15364" width="13" style="74" customWidth="1"/>
    <col min="15365" max="15366" width="15.5" style="74" customWidth="1"/>
    <col min="15367" max="15367" width="11.5" style="74" customWidth="1"/>
    <col min="15368" max="15368" width="13" style="74" customWidth="1"/>
    <col min="15369" max="15370" width="14" style="74" customWidth="1"/>
    <col min="15371" max="15371" width="13.296875" style="74" customWidth="1"/>
    <col min="15372" max="15372" width="14.69921875" style="74" customWidth="1"/>
    <col min="15373" max="15617" width="9.296875" style="74"/>
    <col min="15618" max="15618" width="6.69921875" style="74" customWidth="1"/>
    <col min="15619" max="15619" width="24.69921875" style="74" customWidth="1"/>
    <col min="15620" max="15620" width="13" style="74" customWidth="1"/>
    <col min="15621" max="15622" width="15.5" style="74" customWidth="1"/>
    <col min="15623" max="15623" width="11.5" style="74" customWidth="1"/>
    <col min="15624" max="15624" width="13" style="74" customWidth="1"/>
    <col min="15625" max="15626" width="14" style="74" customWidth="1"/>
    <col min="15627" max="15627" width="13.296875" style="74" customWidth="1"/>
    <col min="15628" max="15628" width="14.69921875" style="74" customWidth="1"/>
    <col min="15629" max="15873" width="9.296875" style="74"/>
    <col min="15874" max="15874" width="6.69921875" style="74" customWidth="1"/>
    <col min="15875" max="15875" width="24.69921875" style="74" customWidth="1"/>
    <col min="15876" max="15876" width="13" style="74" customWidth="1"/>
    <col min="15877" max="15878" width="15.5" style="74" customWidth="1"/>
    <col min="15879" max="15879" width="11.5" style="74" customWidth="1"/>
    <col min="15880" max="15880" width="13" style="74" customWidth="1"/>
    <col min="15881" max="15882" width="14" style="74" customWidth="1"/>
    <col min="15883" max="15883" width="13.296875" style="74" customWidth="1"/>
    <col min="15884" max="15884" width="14.69921875" style="74" customWidth="1"/>
    <col min="15885" max="16129" width="9.296875" style="74"/>
    <col min="16130" max="16130" width="6.69921875" style="74" customWidth="1"/>
    <col min="16131" max="16131" width="24.69921875" style="74" customWidth="1"/>
    <col min="16132" max="16132" width="13" style="74" customWidth="1"/>
    <col min="16133" max="16134" width="15.5" style="74" customWidth="1"/>
    <col min="16135" max="16135" width="11.5" style="74" customWidth="1"/>
    <col min="16136" max="16136" width="13" style="74" customWidth="1"/>
    <col min="16137" max="16138" width="14" style="74" customWidth="1"/>
    <col min="16139" max="16139" width="13.296875" style="74" customWidth="1"/>
    <col min="16140" max="16140" width="14.69921875" style="74" customWidth="1"/>
    <col min="16141" max="16384" width="9.296875" style="74"/>
  </cols>
  <sheetData>
    <row r="1" spans="1:12" ht="33" customHeight="1" x14ac:dyDescent="0.3">
      <c r="A1" s="757" t="s">
        <v>528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</row>
    <row r="2" spans="1:12" ht="14" x14ac:dyDescent="0.3">
      <c r="A2" s="75"/>
      <c r="B2" s="76"/>
      <c r="C2" s="76"/>
      <c r="D2" s="77"/>
      <c r="E2" s="78"/>
      <c r="F2" s="78"/>
      <c r="G2" s="79"/>
      <c r="H2" s="79"/>
      <c r="I2" s="78"/>
    </row>
    <row r="3" spans="1:12" ht="14" x14ac:dyDescent="0.3">
      <c r="A3" s="75"/>
      <c r="B3" s="80"/>
      <c r="C3" s="80"/>
      <c r="D3" s="81"/>
      <c r="E3" s="77"/>
      <c r="F3" s="77"/>
      <c r="G3" s="77"/>
      <c r="H3" s="77"/>
      <c r="I3" s="77"/>
      <c r="L3" s="101"/>
    </row>
    <row r="4" spans="1:12" s="83" customFormat="1" ht="85.5" customHeight="1" x14ac:dyDescent="0.3">
      <c r="A4" s="499" t="s">
        <v>407</v>
      </c>
      <c r="B4" s="499" t="s">
        <v>454</v>
      </c>
      <c r="C4" s="499" t="s">
        <v>455</v>
      </c>
      <c r="D4" s="499" t="s">
        <v>744</v>
      </c>
      <c r="E4" s="499" t="s">
        <v>456</v>
      </c>
      <c r="F4" s="499" t="s">
        <v>457</v>
      </c>
      <c r="G4" s="500" t="s">
        <v>458</v>
      </c>
      <c r="H4" s="500" t="s">
        <v>427</v>
      </c>
      <c r="I4" s="259" t="s">
        <v>459</v>
      </c>
      <c r="J4" s="501" t="s">
        <v>189</v>
      </c>
      <c r="K4" s="501" t="s">
        <v>745</v>
      </c>
      <c r="L4" s="259" t="s">
        <v>460</v>
      </c>
    </row>
    <row r="5" spans="1:12" ht="57" customHeight="1" x14ac:dyDescent="0.3">
      <c r="A5" s="502" t="s">
        <v>10</v>
      </c>
      <c r="B5" s="503" t="s">
        <v>461</v>
      </c>
      <c r="C5" s="504" t="s">
        <v>462</v>
      </c>
      <c r="D5" s="505"/>
      <c r="E5" s="506"/>
      <c r="F5" s="506">
        <f>'10.sz.mell'!G29</f>
        <v>6620344</v>
      </c>
      <c r="G5" s="507"/>
      <c r="H5" s="507"/>
      <c r="I5" s="506"/>
      <c r="J5" s="508"/>
      <c r="K5" s="508"/>
      <c r="L5" s="508">
        <f>SUM(D5:K5)</f>
        <v>6620344</v>
      </c>
    </row>
    <row r="6" spans="1:12" ht="57" customHeight="1" x14ac:dyDescent="0.3">
      <c r="A6" s="502"/>
      <c r="B6" s="503" t="s">
        <v>860</v>
      </c>
      <c r="C6" s="504"/>
      <c r="D6" s="505"/>
      <c r="E6" s="506"/>
      <c r="F6" s="506">
        <f>F7-F5</f>
        <v>331455</v>
      </c>
      <c r="G6" s="507"/>
      <c r="H6" s="507"/>
      <c r="I6" s="506"/>
      <c r="J6" s="508"/>
      <c r="K6" s="508"/>
      <c r="L6" s="508">
        <f t="shared" ref="L6:L7" si="0">SUM(D6:K6)</f>
        <v>331455</v>
      </c>
    </row>
    <row r="7" spans="1:12" s="84" customFormat="1" ht="57" customHeight="1" x14ac:dyDescent="0.35">
      <c r="A7" s="499"/>
      <c r="B7" s="509" t="s">
        <v>859</v>
      </c>
      <c r="C7" s="510"/>
      <c r="D7" s="511"/>
      <c r="E7" s="512"/>
      <c r="F7" s="512">
        <v>6951799</v>
      </c>
      <c r="G7" s="513"/>
      <c r="H7" s="513"/>
      <c r="I7" s="512"/>
      <c r="J7" s="514"/>
      <c r="K7" s="514"/>
      <c r="L7" s="514">
        <f t="shared" si="0"/>
        <v>6951799</v>
      </c>
    </row>
    <row r="8" spans="1:12" ht="45.75" customHeight="1" x14ac:dyDescent="0.3">
      <c r="A8" s="502" t="s">
        <v>13</v>
      </c>
      <c r="B8" s="503" t="s">
        <v>463</v>
      </c>
      <c r="C8" s="504" t="s">
        <v>464</v>
      </c>
      <c r="D8" s="505"/>
      <c r="E8" s="506"/>
      <c r="F8" s="506"/>
      <c r="G8" s="507"/>
      <c r="H8" s="507"/>
      <c r="I8" s="506"/>
      <c r="J8" s="508"/>
      <c r="K8" s="508">
        <f>'10.sz.mell'!G37</f>
        <v>273351171</v>
      </c>
      <c r="L8" s="508">
        <f>SUM(D8:K8)</f>
        <v>273351171</v>
      </c>
    </row>
    <row r="9" spans="1:12" ht="45.75" customHeight="1" x14ac:dyDescent="0.3">
      <c r="A9" s="502"/>
      <c r="B9" s="503" t="s">
        <v>860</v>
      </c>
      <c r="C9" s="504"/>
      <c r="D9" s="505"/>
      <c r="E9" s="506"/>
      <c r="F9" s="506"/>
      <c r="G9" s="507"/>
      <c r="H9" s="507"/>
      <c r="I9" s="506"/>
      <c r="J9" s="508"/>
      <c r="K9" s="508">
        <f>K10-K8</f>
        <v>2624920</v>
      </c>
      <c r="L9" s="508">
        <f t="shared" ref="L9:L10" si="1">SUM(D9:K9)</f>
        <v>2624920</v>
      </c>
    </row>
    <row r="10" spans="1:12" s="84" customFormat="1" ht="45.75" customHeight="1" x14ac:dyDescent="0.35">
      <c r="A10" s="499"/>
      <c r="B10" s="509" t="s">
        <v>859</v>
      </c>
      <c r="C10" s="510"/>
      <c r="D10" s="511"/>
      <c r="E10" s="512"/>
      <c r="F10" s="512"/>
      <c r="G10" s="513"/>
      <c r="H10" s="513"/>
      <c r="I10" s="512"/>
      <c r="J10" s="514"/>
      <c r="K10" s="514">
        <v>275976091</v>
      </c>
      <c r="L10" s="514">
        <f t="shared" si="1"/>
        <v>275976091</v>
      </c>
    </row>
    <row r="11" spans="1:12" s="84" customFormat="1" ht="33" customHeight="1" x14ac:dyDescent="0.35">
      <c r="A11" s="566" t="s">
        <v>16</v>
      </c>
      <c r="B11" s="517" t="s">
        <v>408</v>
      </c>
      <c r="C11" s="518"/>
      <c r="D11" s="529">
        <f>SUM(D5:D8)</f>
        <v>0</v>
      </c>
      <c r="E11" s="529">
        <f t="shared" ref="E11" si="2">SUM(E5:E8)</f>
        <v>0</v>
      </c>
      <c r="F11" s="529">
        <f>F10+F7</f>
        <v>6951799</v>
      </c>
      <c r="G11" s="529">
        <f t="shared" ref="G11:K11" si="3">G10+G7</f>
        <v>0</v>
      </c>
      <c r="H11" s="529">
        <f t="shared" si="3"/>
        <v>0</v>
      </c>
      <c r="I11" s="529">
        <f t="shared" si="3"/>
        <v>0</v>
      </c>
      <c r="J11" s="529">
        <f t="shared" si="3"/>
        <v>0</v>
      </c>
      <c r="K11" s="529">
        <f t="shared" si="3"/>
        <v>275976091</v>
      </c>
      <c r="L11" s="529">
        <f>L10+L7</f>
        <v>282927890</v>
      </c>
    </row>
    <row r="12" spans="1:12" ht="21" customHeight="1" x14ac:dyDescent="0.3">
      <c r="A12" s="85"/>
      <c r="B12" s="86"/>
      <c r="C12" s="86"/>
      <c r="D12" s="87"/>
      <c r="E12" s="88"/>
      <c r="F12" s="87"/>
      <c r="G12" s="87"/>
      <c r="H12" s="87"/>
      <c r="I12" s="89"/>
    </row>
    <row r="13" spans="1:12" ht="42" customHeight="1" x14ac:dyDescent="0.3">
      <c r="A13" s="85"/>
      <c r="B13" s="90"/>
      <c r="C13" s="91"/>
      <c r="D13" s="92"/>
      <c r="E13" s="88"/>
      <c r="F13" s="88"/>
      <c r="G13" s="87"/>
      <c r="H13" s="87"/>
      <c r="I13" s="87"/>
    </row>
    <row r="14" spans="1:12" ht="42" customHeight="1" x14ac:dyDescent="0.3">
      <c r="A14" s="93"/>
      <c r="B14" s="94"/>
      <c r="C14" s="95"/>
      <c r="D14" s="96"/>
      <c r="E14" s="78"/>
      <c r="F14" s="78"/>
      <c r="G14" s="79"/>
      <c r="H14" s="79"/>
      <c r="I14" s="79"/>
    </row>
    <row r="15" spans="1:12" ht="14" x14ac:dyDescent="0.3">
      <c r="A15" s="75"/>
      <c r="B15" s="76"/>
      <c r="C15" s="76"/>
      <c r="D15" s="77"/>
      <c r="E15" s="77"/>
      <c r="F15" s="77"/>
      <c r="G15" s="77"/>
      <c r="H15" s="77"/>
      <c r="I15" s="77"/>
    </row>
    <row r="16" spans="1:12" s="98" customFormat="1" ht="14" x14ac:dyDescent="0.3">
      <c r="A16" s="75"/>
      <c r="B16" s="76"/>
      <c r="C16" s="76"/>
      <c r="D16" s="77"/>
      <c r="E16" s="78"/>
      <c r="F16" s="97"/>
      <c r="G16" s="97"/>
      <c r="H16" s="97"/>
      <c r="I16" s="97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16/2017. (IX.04.)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Layout" topLeftCell="C1" zoomScaleNormal="130" workbookViewId="0">
      <selection activeCell="E5" sqref="E5"/>
    </sheetView>
  </sheetViews>
  <sheetFormatPr defaultRowHeight="13" x14ac:dyDescent="0.3"/>
  <cols>
    <col min="1" max="1" width="5.796875" style="99" customWidth="1"/>
    <col min="2" max="2" width="22.296875" style="74" customWidth="1"/>
    <col min="3" max="3" width="13" style="74" customWidth="1"/>
    <col min="4" max="4" width="13.19921875" style="100" customWidth="1"/>
    <col min="5" max="5" width="15.5" style="100" customWidth="1"/>
    <col min="6" max="6" width="11.19921875" style="100" customWidth="1"/>
    <col min="7" max="7" width="13.296875" style="100" customWidth="1"/>
    <col min="8" max="9" width="14" style="100" customWidth="1"/>
    <col min="10" max="10" width="13.296875" style="74" customWidth="1"/>
    <col min="11" max="11" width="12.296875" style="74" customWidth="1"/>
    <col min="12" max="12" width="14.296875" style="74" customWidth="1"/>
    <col min="13" max="13" width="15.19921875" style="74" customWidth="1"/>
    <col min="14" max="256" width="9.296875" style="74"/>
    <col min="257" max="257" width="5.796875" style="74" customWidth="1"/>
    <col min="258" max="258" width="22.296875" style="74" customWidth="1"/>
    <col min="259" max="259" width="13" style="74" customWidth="1"/>
    <col min="260" max="260" width="11" style="74" customWidth="1"/>
    <col min="261" max="261" width="15.5" style="74" customWidth="1"/>
    <col min="262" max="262" width="11.19921875" style="74" customWidth="1"/>
    <col min="263" max="263" width="13.296875" style="74" customWidth="1"/>
    <col min="264" max="265" width="14" style="74" customWidth="1"/>
    <col min="266" max="266" width="13.296875" style="74" customWidth="1"/>
    <col min="267" max="267" width="12.296875" style="74" customWidth="1"/>
    <col min="268" max="268" width="14.296875" style="74" customWidth="1"/>
    <col min="269" max="269" width="15.19921875" style="74" customWidth="1"/>
    <col min="270" max="512" width="9.296875" style="74"/>
    <col min="513" max="513" width="5.796875" style="74" customWidth="1"/>
    <col min="514" max="514" width="22.296875" style="74" customWidth="1"/>
    <col min="515" max="515" width="13" style="74" customWidth="1"/>
    <col min="516" max="516" width="11" style="74" customWidth="1"/>
    <col min="517" max="517" width="15.5" style="74" customWidth="1"/>
    <col min="518" max="518" width="11.19921875" style="74" customWidth="1"/>
    <col min="519" max="519" width="13.296875" style="74" customWidth="1"/>
    <col min="520" max="521" width="14" style="74" customWidth="1"/>
    <col min="522" max="522" width="13.296875" style="74" customWidth="1"/>
    <col min="523" max="523" width="12.296875" style="74" customWidth="1"/>
    <col min="524" max="524" width="14.296875" style="74" customWidth="1"/>
    <col min="525" max="525" width="15.19921875" style="74" customWidth="1"/>
    <col min="526" max="768" width="9.296875" style="74"/>
    <col min="769" max="769" width="5.796875" style="74" customWidth="1"/>
    <col min="770" max="770" width="22.296875" style="74" customWidth="1"/>
    <col min="771" max="771" width="13" style="74" customWidth="1"/>
    <col min="772" max="772" width="11" style="74" customWidth="1"/>
    <col min="773" max="773" width="15.5" style="74" customWidth="1"/>
    <col min="774" max="774" width="11.19921875" style="74" customWidth="1"/>
    <col min="775" max="775" width="13.296875" style="74" customWidth="1"/>
    <col min="776" max="777" width="14" style="74" customWidth="1"/>
    <col min="778" max="778" width="13.296875" style="74" customWidth="1"/>
    <col min="779" max="779" width="12.296875" style="74" customWidth="1"/>
    <col min="780" max="780" width="14.296875" style="74" customWidth="1"/>
    <col min="781" max="781" width="15.19921875" style="74" customWidth="1"/>
    <col min="782" max="1024" width="9.296875" style="74"/>
    <col min="1025" max="1025" width="5.796875" style="74" customWidth="1"/>
    <col min="1026" max="1026" width="22.296875" style="74" customWidth="1"/>
    <col min="1027" max="1027" width="13" style="74" customWidth="1"/>
    <col min="1028" max="1028" width="11" style="74" customWidth="1"/>
    <col min="1029" max="1029" width="15.5" style="74" customWidth="1"/>
    <col min="1030" max="1030" width="11.19921875" style="74" customWidth="1"/>
    <col min="1031" max="1031" width="13.296875" style="74" customWidth="1"/>
    <col min="1032" max="1033" width="14" style="74" customWidth="1"/>
    <col min="1034" max="1034" width="13.296875" style="74" customWidth="1"/>
    <col min="1035" max="1035" width="12.296875" style="74" customWidth="1"/>
    <col min="1036" max="1036" width="14.296875" style="74" customWidth="1"/>
    <col min="1037" max="1037" width="15.19921875" style="74" customWidth="1"/>
    <col min="1038" max="1280" width="9.296875" style="74"/>
    <col min="1281" max="1281" width="5.796875" style="74" customWidth="1"/>
    <col min="1282" max="1282" width="22.296875" style="74" customWidth="1"/>
    <col min="1283" max="1283" width="13" style="74" customWidth="1"/>
    <col min="1284" max="1284" width="11" style="74" customWidth="1"/>
    <col min="1285" max="1285" width="15.5" style="74" customWidth="1"/>
    <col min="1286" max="1286" width="11.19921875" style="74" customWidth="1"/>
    <col min="1287" max="1287" width="13.296875" style="74" customWidth="1"/>
    <col min="1288" max="1289" width="14" style="74" customWidth="1"/>
    <col min="1290" max="1290" width="13.296875" style="74" customWidth="1"/>
    <col min="1291" max="1291" width="12.296875" style="74" customWidth="1"/>
    <col min="1292" max="1292" width="14.296875" style="74" customWidth="1"/>
    <col min="1293" max="1293" width="15.19921875" style="74" customWidth="1"/>
    <col min="1294" max="1536" width="9.296875" style="74"/>
    <col min="1537" max="1537" width="5.796875" style="74" customWidth="1"/>
    <col min="1538" max="1538" width="22.296875" style="74" customWidth="1"/>
    <col min="1539" max="1539" width="13" style="74" customWidth="1"/>
    <col min="1540" max="1540" width="11" style="74" customWidth="1"/>
    <col min="1541" max="1541" width="15.5" style="74" customWidth="1"/>
    <col min="1542" max="1542" width="11.19921875" style="74" customWidth="1"/>
    <col min="1543" max="1543" width="13.296875" style="74" customWidth="1"/>
    <col min="1544" max="1545" width="14" style="74" customWidth="1"/>
    <col min="1546" max="1546" width="13.296875" style="74" customWidth="1"/>
    <col min="1547" max="1547" width="12.296875" style="74" customWidth="1"/>
    <col min="1548" max="1548" width="14.296875" style="74" customWidth="1"/>
    <col min="1549" max="1549" width="15.19921875" style="74" customWidth="1"/>
    <col min="1550" max="1792" width="9.296875" style="74"/>
    <col min="1793" max="1793" width="5.796875" style="74" customWidth="1"/>
    <col min="1794" max="1794" width="22.296875" style="74" customWidth="1"/>
    <col min="1795" max="1795" width="13" style="74" customWidth="1"/>
    <col min="1796" max="1796" width="11" style="74" customWidth="1"/>
    <col min="1797" max="1797" width="15.5" style="74" customWidth="1"/>
    <col min="1798" max="1798" width="11.19921875" style="74" customWidth="1"/>
    <col min="1799" max="1799" width="13.296875" style="74" customWidth="1"/>
    <col min="1800" max="1801" width="14" style="74" customWidth="1"/>
    <col min="1802" max="1802" width="13.296875" style="74" customWidth="1"/>
    <col min="1803" max="1803" width="12.296875" style="74" customWidth="1"/>
    <col min="1804" max="1804" width="14.296875" style="74" customWidth="1"/>
    <col min="1805" max="1805" width="15.19921875" style="74" customWidth="1"/>
    <col min="1806" max="2048" width="9.296875" style="74"/>
    <col min="2049" max="2049" width="5.796875" style="74" customWidth="1"/>
    <col min="2050" max="2050" width="22.296875" style="74" customWidth="1"/>
    <col min="2051" max="2051" width="13" style="74" customWidth="1"/>
    <col min="2052" max="2052" width="11" style="74" customWidth="1"/>
    <col min="2053" max="2053" width="15.5" style="74" customWidth="1"/>
    <col min="2054" max="2054" width="11.19921875" style="74" customWidth="1"/>
    <col min="2055" max="2055" width="13.296875" style="74" customWidth="1"/>
    <col min="2056" max="2057" width="14" style="74" customWidth="1"/>
    <col min="2058" max="2058" width="13.296875" style="74" customWidth="1"/>
    <col min="2059" max="2059" width="12.296875" style="74" customWidth="1"/>
    <col min="2060" max="2060" width="14.296875" style="74" customWidth="1"/>
    <col min="2061" max="2061" width="15.19921875" style="74" customWidth="1"/>
    <col min="2062" max="2304" width="9.296875" style="74"/>
    <col min="2305" max="2305" width="5.796875" style="74" customWidth="1"/>
    <col min="2306" max="2306" width="22.296875" style="74" customWidth="1"/>
    <col min="2307" max="2307" width="13" style="74" customWidth="1"/>
    <col min="2308" max="2308" width="11" style="74" customWidth="1"/>
    <col min="2309" max="2309" width="15.5" style="74" customWidth="1"/>
    <col min="2310" max="2310" width="11.19921875" style="74" customWidth="1"/>
    <col min="2311" max="2311" width="13.296875" style="74" customWidth="1"/>
    <col min="2312" max="2313" width="14" style="74" customWidth="1"/>
    <col min="2314" max="2314" width="13.296875" style="74" customWidth="1"/>
    <col min="2315" max="2315" width="12.296875" style="74" customWidth="1"/>
    <col min="2316" max="2316" width="14.296875" style="74" customWidth="1"/>
    <col min="2317" max="2317" width="15.19921875" style="74" customWidth="1"/>
    <col min="2318" max="2560" width="9.296875" style="74"/>
    <col min="2561" max="2561" width="5.796875" style="74" customWidth="1"/>
    <col min="2562" max="2562" width="22.296875" style="74" customWidth="1"/>
    <col min="2563" max="2563" width="13" style="74" customWidth="1"/>
    <col min="2564" max="2564" width="11" style="74" customWidth="1"/>
    <col min="2565" max="2565" width="15.5" style="74" customWidth="1"/>
    <col min="2566" max="2566" width="11.19921875" style="74" customWidth="1"/>
    <col min="2567" max="2567" width="13.296875" style="74" customWidth="1"/>
    <col min="2568" max="2569" width="14" style="74" customWidth="1"/>
    <col min="2570" max="2570" width="13.296875" style="74" customWidth="1"/>
    <col min="2571" max="2571" width="12.296875" style="74" customWidth="1"/>
    <col min="2572" max="2572" width="14.296875" style="74" customWidth="1"/>
    <col min="2573" max="2573" width="15.19921875" style="74" customWidth="1"/>
    <col min="2574" max="2816" width="9.296875" style="74"/>
    <col min="2817" max="2817" width="5.796875" style="74" customWidth="1"/>
    <col min="2818" max="2818" width="22.296875" style="74" customWidth="1"/>
    <col min="2819" max="2819" width="13" style="74" customWidth="1"/>
    <col min="2820" max="2820" width="11" style="74" customWidth="1"/>
    <col min="2821" max="2821" width="15.5" style="74" customWidth="1"/>
    <col min="2822" max="2822" width="11.19921875" style="74" customWidth="1"/>
    <col min="2823" max="2823" width="13.296875" style="74" customWidth="1"/>
    <col min="2824" max="2825" width="14" style="74" customWidth="1"/>
    <col min="2826" max="2826" width="13.296875" style="74" customWidth="1"/>
    <col min="2827" max="2827" width="12.296875" style="74" customWidth="1"/>
    <col min="2828" max="2828" width="14.296875" style="74" customWidth="1"/>
    <col min="2829" max="2829" width="15.19921875" style="74" customWidth="1"/>
    <col min="2830" max="3072" width="9.296875" style="74"/>
    <col min="3073" max="3073" width="5.796875" style="74" customWidth="1"/>
    <col min="3074" max="3074" width="22.296875" style="74" customWidth="1"/>
    <col min="3075" max="3075" width="13" style="74" customWidth="1"/>
    <col min="3076" max="3076" width="11" style="74" customWidth="1"/>
    <col min="3077" max="3077" width="15.5" style="74" customWidth="1"/>
    <col min="3078" max="3078" width="11.19921875" style="74" customWidth="1"/>
    <col min="3079" max="3079" width="13.296875" style="74" customWidth="1"/>
    <col min="3080" max="3081" width="14" style="74" customWidth="1"/>
    <col min="3082" max="3082" width="13.296875" style="74" customWidth="1"/>
    <col min="3083" max="3083" width="12.296875" style="74" customWidth="1"/>
    <col min="3084" max="3084" width="14.296875" style="74" customWidth="1"/>
    <col min="3085" max="3085" width="15.19921875" style="74" customWidth="1"/>
    <col min="3086" max="3328" width="9.296875" style="74"/>
    <col min="3329" max="3329" width="5.796875" style="74" customWidth="1"/>
    <col min="3330" max="3330" width="22.296875" style="74" customWidth="1"/>
    <col min="3331" max="3331" width="13" style="74" customWidth="1"/>
    <col min="3332" max="3332" width="11" style="74" customWidth="1"/>
    <col min="3333" max="3333" width="15.5" style="74" customWidth="1"/>
    <col min="3334" max="3334" width="11.19921875" style="74" customWidth="1"/>
    <col min="3335" max="3335" width="13.296875" style="74" customWidth="1"/>
    <col min="3336" max="3337" width="14" style="74" customWidth="1"/>
    <col min="3338" max="3338" width="13.296875" style="74" customWidth="1"/>
    <col min="3339" max="3339" width="12.296875" style="74" customWidth="1"/>
    <col min="3340" max="3340" width="14.296875" style="74" customWidth="1"/>
    <col min="3341" max="3341" width="15.19921875" style="74" customWidth="1"/>
    <col min="3342" max="3584" width="9.296875" style="74"/>
    <col min="3585" max="3585" width="5.796875" style="74" customWidth="1"/>
    <col min="3586" max="3586" width="22.296875" style="74" customWidth="1"/>
    <col min="3587" max="3587" width="13" style="74" customWidth="1"/>
    <col min="3588" max="3588" width="11" style="74" customWidth="1"/>
    <col min="3589" max="3589" width="15.5" style="74" customWidth="1"/>
    <col min="3590" max="3590" width="11.19921875" style="74" customWidth="1"/>
    <col min="3591" max="3591" width="13.296875" style="74" customWidth="1"/>
    <col min="3592" max="3593" width="14" style="74" customWidth="1"/>
    <col min="3594" max="3594" width="13.296875" style="74" customWidth="1"/>
    <col min="3595" max="3595" width="12.296875" style="74" customWidth="1"/>
    <col min="3596" max="3596" width="14.296875" style="74" customWidth="1"/>
    <col min="3597" max="3597" width="15.19921875" style="74" customWidth="1"/>
    <col min="3598" max="3840" width="9.296875" style="74"/>
    <col min="3841" max="3841" width="5.796875" style="74" customWidth="1"/>
    <col min="3842" max="3842" width="22.296875" style="74" customWidth="1"/>
    <col min="3843" max="3843" width="13" style="74" customWidth="1"/>
    <col min="3844" max="3844" width="11" style="74" customWidth="1"/>
    <col min="3845" max="3845" width="15.5" style="74" customWidth="1"/>
    <col min="3846" max="3846" width="11.19921875" style="74" customWidth="1"/>
    <col min="3847" max="3847" width="13.296875" style="74" customWidth="1"/>
    <col min="3848" max="3849" width="14" style="74" customWidth="1"/>
    <col min="3850" max="3850" width="13.296875" style="74" customWidth="1"/>
    <col min="3851" max="3851" width="12.296875" style="74" customWidth="1"/>
    <col min="3852" max="3852" width="14.296875" style="74" customWidth="1"/>
    <col min="3853" max="3853" width="15.19921875" style="74" customWidth="1"/>
    <col min="3854" max="4096" width="9.296875" style="74"/>
    <col min="4097" max="4097" width="5.796875" style="74" customWidth="1"/>
    <col min="4098" max="4098" width="22.296875" style="74" customWidth="1"/>
    <col min="4099" max="4099" width="13" style="74" customWidth="1"/>
    <col min="4100" max="4100" width="11" style="74" customWidth="1"/>
    <col min="4101" max="4101" width="15.5" style="74" customWidth="1"/>
    <col min="4102" max="4102" width="11.19921875" style="74" customWidth="1"/>
    <col min="4103" max="4103" width="13.296875" style="74" customWidth="1"/>
    <col min="4104" max="4105" width="14" style="74" customWidth="1"/>
    <col min="4106" max="4106" width="13.296875" style="74" customWidth="1"/>
    <col min="4107" max="4107" width="12.296875" style="74" customWidth="1"/>
    <col min="4108" max="4108" width="14.296875" style="74" customWidth="1"/>
    <col min="4109" max="4109" width="15.19921875" style="74" customWidth="1"/>
    <col min="4110" max="4352" width="9.296875" style="74"/>
    <col min="4353" max="4353" width="5.796875" style="74" customWidth="1"/>
    <col min="4354" max="4354" width="22.296875" style="74" customWidth="1"/>
    <col min="4355" max="4355" width="13" style="74" customWidth="1"/>
    <col min="4356" max="4356" width="11" style="74" customWidth="1"/>
    <col min="4357" max="4357" width="15.5" style="74" customWidth="1"/>
    <col min="4358" max="4358" width="11.19921875" style="74" customWidth="1"/>
    <col min="4359" max="4359" width="13.296875" style="74" customWidth="1"/>
    <col min="4360" max="4361" width="14" style="74" customWidth="1"/>
    <col min="4362" max="4362" width="13.296875" style="74" customWidth="1"/>
    <col min="4363" max="4363" width="12.296875" style="74" customWidth="1"/>
    <col min="4364" max="4364" width="14.296875" style="74" customWidth="1"/>
    <col min="4365" max="4365" width="15.19921875" style="74" customWidth="1"/>
    <col min="4366" max="4608" width="9.296875" style="74"/>
    <col min="4609" max="4609" width="5.796875" style="74" customWidth="1"/>
    <col min="4610" max="4610" width="22.296875" style="74" customWidth="1"/>
    <col min="4611" max="4611" width="13" style="74" customWidth="1"/>
    <col min="4612" max="4612" width="11" style="74" customWidth="1"/>
    <col min="4613" max="4613" width="15.5" style="74" customWidth="1"/>
    <col min="4614" max="4614" width="11.19921875" style="74" customWidth="1"/>
    <col min="4615" max="4615" width="13.296875" style="74" customWidth="1"/>
    <col min="4616" max="4617" width="14" style="74" customWidth="1"/>
    <col min="4618" max="4618" width="13.296875" style="74" customWidth="1"/>
    <col min="4619" max="4619" width="12.296875" style="74" customWidth="1"/>
    <col min="4620" max="4620" width="14.296875" style="74" customWidth="1"/>
    <col min="4621" max="4621" width="15.19921875" style="74" customWidth="1"/>
    <col min="4622" max="4864" width="9.296875" style="74"/>
    <col min="4865" max="4865" width="5.796875" style="74" customWidth="1"/>
    <col min="4866" max="4866" width="22.296875" style="74" customWidth="1"/>
    <col min="4867" max="4867" width="13" style="74" customWidth="1"/>
    <col min="4868" max="4868" width="11" style="74" customWidth="1"/>
    <col min="4869" max="4869" width="15.5" style="74" customWidth="1"/>
    <col min="4870" max="4870" width="11.19921875" style="74" customWidth="1"/>
    <col min="4871" max="4871" width="13.296875" style="74" customWidth="1"/>
    <col min="4872" max="4873" width="14" style="74" customWidth="1"/>
    <col min="4874" max="4874" width="13.296875" style="74" customWidth="1"/>
    <col min="4875" max="4875" width="12.296875" style="74" customWidth="1"/>
    <col min="4876" max="4876" width="14.296875" style="74" customWidth="1"/>
    <col min="4877" max="4877" width="15.19921875" style="74" customWidth="1"/>
    <col min="4878" max="5120" width="9.296875" style="74"/>
    <col min="5121" max="5121" width="5.796875" style="74" customWidth="1"/>
    <col min="5122" max="5122" width="22.296875" style="74" customWidth="1"/>
    <col min="5123" max="5123" width="13" style="74" customWidth="1"/>
    <col min="5124" max="5124" width="11" style="74" customWidth="1"/>
    <col min="5125" max="5125" width="15.5" style="74" customWidth="1"/>
    <col min="5126" max="5126" width="11.19921875" style="74" customWidth="1"/>
    <col min="5127" max="5127" width="13.296875" style="74" customWidth="1"/>
    <col min="5128" max="5129" width="14" style="74" customWidth="1"/>
    <col min="5130" max="5130" width="13.296875" style="74" customWidth="1"/>
    <col min="5131" max="5131" width="12.296875" style="74" customWidth="1"/>
    <col min="5132" max="5132" width="14.296875" style="74" customWidth="1"/>
    <col min="5133" max="5133" width="15.19921875" style="74" customWidth="1"/>
    <col min="5134" max="5376" width="9.296875" style="74"/>
    <col min="5377" max="5377" width="5.796875" style="74" customWidth="1"/>
    <col min="5378" max="5378" width="22.296875" style="74" customWidth="1"/>
    <col min="5379" max="5379" width="13" style="74" customWidth="1"/>
    <col min="5380" max="5380" width="11" style="74" customWidth="1"/>
    <col min="5381" max="5381" width="15.5" style="74" customWidth="1"/>
    <col min="5382" max="5382" width="11.19921875" style="74" customWidth="1"/>
    <col min="5383" max="5383" width="13.296875" style="74" customWidth="1"/>
    <col min="5384" max="5385" width="14" style="74" customWidth="1"/>
    <col min="5386" max="5386" width="13.296875" style="74" customWidth="1"/>
    <col min="5387" max="5387" width="12.296875" style="74" customWidth="1"/>
    <col min="5388" max="5388" width="14.296875" style="74" customWidth="1"/>
    <col min="5389" max="5389" width="15.19921875" style="74" customWidth="1"/>
    <col min="5390" max="5632" width="9.296875" style="74"/>
    <col min="5633" max="5633" width="5.796875" style="74" customWidth="1"/>
    <col min="5634" max="5634" width="22.296875" style="74" customWidth="1"/>
    <col min="5635" max="5635" width="13" style="74" customWidth="1"/>
    <col min="5636" max="5636" width="11" style="74" customWidth="1"/>
    <col min="5637" max="5637" width="15.5" style="74" customWidth="1"/>
    <col min="5638" max="5638" width="11.19921875" style="74" customWidth="1"/>
    <col min="5639" max="5639" width="13.296875" style="74" customWidth="1"/>
    <col min="5640" max="5641" width="14" style="74" customWidth="1"/>
    <col min="5642" max="5642" width="13.296875" style="74" customWidth="1"/>
    <col min="5643" max="5643" width="12.296875" style="74" customWidth="1"/>
    <col min="5644" max="5644" width="14.296875" style="74" customWidth="1"/>
    <col min="5645" max="5645" width="15.19921875" style="74" customWidth="1"/>
    <col min="5646" max="5888" width="9.296875" style="74"/>
    <col min="5889" max="5889" width="5.796875" style="74" customWidth="1"/>
    <col min="5890" max="5890" width="22.296875" style="74" customWidth="1"/>
    <col min="5891" max="5891" width="13" style="74" customWidth="1"/>
    <col min="5892" max="5892" width="11" style="74" customWidth="1"/>
    <col min="5893" max="5893" width="15.5" style="74" customWidth="1"/>
    <col min="5894" max="5894" width="11.19921875" style="74" customWidth="1"/>
    <col min="5895" max="5895" width="13.296875" style="74" customWidth="1"/>
    <col min="5896" max="5897" width="14" style="74" customWidth="1"/>
    <col min="5898" max="5898" width="13.296875" style="74" customWidth="1"/>
    <col min="5899" max="5899" width="12.296875" style="74" customWidth="1"/>
    <col min="5900" max="5900" width="14.296875" style="74" customWidth="1"/>
    <col min="5901" max="5901" width="15.19921875" style="74" customWidth="1"/>
    <col min="5902" max="6144" width="9.296875" style="74"/>
    <col min="6145" max="6145" width="5.796875" style="74" customWidth="1"/>
    <col min="6146" max="6146" width="22.296875" style="74" customWidth="1"/>
    <col min="6147" max="6147" width="13" style="74" customWidth="1"/>
    <col min="6148" max="6148" width="11" style="74" customWidth="1"/>
    <col min="6149" max="6149" width="15.5" style="74" customWidth="1"/>
    <col min="6150" max="6150" width="11.19921875" style="74" customWidth="1"/>
    <col min="6151" max="6151" width="13.296875" style="74" customWidth="1"/>
    <col min="6152" max="6153" width="14" style="74" customWidth="1"/>
    <col min="6154" max="6154" width="13.296875" style="74" customWidth="1"/>
    <col min="6155" max="6155" width="12.296875" style="74" customWidth="1"/>
    <col min="6156" max="6156" width="14.296875" style="74" customWidth="1"/>
    <col min="6157" max="6157" width="15.19921875" style="74" customWidth="1"/>
    <col min="6158" max="6400" width="9.296875" style="74"/>
    <col min="6401" max="6401" width="5.796875" style="74" customWidth="1"/>
    <col min="6402" max="6402" width="22.296875" style="74" customWidth="1"/>
    <col min="6403" max="6403" width="13" style="74" customWidth="1"/>
    <col min="6404" max="6404" width="11" style="74" customWidth="1"/>
    <col min="6405" max="6405" width="15.5" style="74" customWidth="1"/>
    <col min="6406" max="6406" width="11.19921875" style="74" customWidth="1"/>
    <col min="6407" max="6407" width="13.296875" style="74" customWidth="1"/>
    <col min="6408" max="6409" width="14" style="74" customWidth="1"/>
    <col min="6410" max="6410" width="13.296875" style="74" customWidth="1"/>
    <col min="6411" max="6411" width="12.296875" style="74" customWidth="1"/>
    <col min="6412" max="6412" width="14.296875" style="74" customWidth="1"/>
    <col min="6413" max="6413" width="15.19921875" style="74" customWidth="1"/>
    <col min="6414" max="6656" width="9.296875" style="74"/>
    <col min="6657" max="6657" width="5.796875" style="74" customWidth="1"/>
    <col min="6658" max="6658" width="22.296875" style="74" customWidth="1"/>
    <col min="6659" max="6659" width="13" style="74" customWidth="1"/>
    <col min="6660" max="6660" width="11" style="74" customWidth="1"/>
    <col min="6661" max="6661" width="15.5" style="74" customWidth="1"/>
    <col min="6662" max="6662" width="11.19921875" style="74" customWidth="1"/>
    <col min="6663" max="6663" width="13.296875" style="74" customWidth="1"/>
    <col min="6664" max="6665" width="14" style="74" customWidth="1"/>
    <col min="6666" max="6666" width="13.296875" style="74" customWidth="1"/>
    <col min="6667" max="6667" width="12.296875" style="74" customWidth="1"/>
    <col min="6668" max="6668" width="14.296875" style="74" customWidth="1"/>
    <col min="6669" max="6669" width="15.19921875" style="74" customWidth="1"/>
    <col min="6670" max="6912" width="9.296875" style="74"/>
    <col min="6913" max="6913" width="5.796875" style="74" customWidth="1"/>
    <col min="6914" max="6914" width="22.296875" style="74" customWidth="1"/>
    <col min="6915" max="6915" width="13" style="74" customWidth="1"/>
    <col min="6916" max="6916" width="11" style="74" customWidth="1"/>
    <col min="6917" max="6917" width="15.5" style="74" customWidth="1"/>
    <col min="6918" max="6918" width="11.19921875" style="74" customWidth="1"/>
    <col min="6919" max="6919" width="13.296875" style="74" customWidth="1"/>
    <col min="6920" max="6921" width="14" style="74" customWidth="1"/>
    <col min="6922" max="6922" width="13.296875" style="74" customWidth="1"/>
    <col min="6923" max="6923" width="12.296875" style="74" customWidth="1"/>
    <col min="6924" max="6924" width="14.296875" style="74" customWidth="1"/>
    <col min="6925" max="6925" width="15.19921875" style="74" customWidth="1"/>
    <col min="6926" max="7168" width="9.296875" style="74"/>
    <col min="7169" max="7169" width="5.796875" style="74" customWidth="1"/>
    <col min="7170" max="7170" width="22.296875" style="74" customWidth="1"/>
    <col min="7171" max="7171" width="13" style="74" customWidth="1"/>
    <col min="7172" max="7172" width="11" style="74" customWidth="1"/>
    <col min="7173" max="7173" width="15.5" style="74" customWidth="1"/>
    <col min="7174" max="7174" width="11.19921875" style="74" customWidth="1"/>
    <col min="7175" max="7175" width="13.296875" style="74" customWidth="1"/>
    <col min="7176" max="7177" width="14" style="74" customWidth="1"/>
    <col min="7178" max="7178" width="13.296875" style="74" customWidth="1"/>
    <col min="7179" max="7179" width="12.296875" style="74" customWidth="1"/>
    <col min="7180" max="7180" width="14.296875" style="74" customWidth="1"/>
    <col min="7181" max="7181" width="15.19921875" style="74" customWidth="1"/>
    <col min="7182" max="7424" width="9.296875" style="74"/>
    <col min="7425" max="7425" width="5.796875" style="74" customWidth="1"/>
    <col min="7426" max="7426" width="22.296875" style="74" customWidth="1"/>
    <col min="7427" max="7427" width="13" style="74" customWidth="1"/>
    <col min="7428" max="7428" width="11" style="74" customWidth="1"/>
    <col min="7429" max="7429" width="15.5" style="74" customWidth="1"/>
    <col min="7430" max="7430" width="11.19921875" style="74" customWidth="1"/>
    <col min="7431" max="7431" width="13.296875" style="74" customWidth="1"/>
    <col min="7432" max="7433" width="14" style="74" customWidth="1"/>
    <col min="7434" max="7434" width="13.296875" style="74" customWidth="1"/>
    <col min="7435" max="7435" width="12.296875" style="74" customWidth="1"/>
    <col min="7436" max="7436" width="14.296875" style="74" customWidth="1"/>
    <col min="7437" max="7437" width="15.19921875" style="74" customWidth="1"/>
    <col min="7438" max="7680" width="9.296875" style="74"/>
    <col min="7681" max="7681" width="5.796875" style="74" customWidth="1"/>
    <col min="7682" max="7682" width="22.296875" style="74" customWidth="1"/>
    <col min="7683" max="7683" width="13" style="74" customWidth="1"/>
    <col min="7684" max="7684" width="11" style="74" customWidth="1"/>
    <col min="7685" max="7685" width="15.5" style="74" customWidth="1"/>
    <col min="7686" max="7686" width="11.19921875" style="74" customWidth="1"/>
    <col min="7687" max="7687" width="13.296875" style="74" customWidth="1"/>
    <col min="7688" max="7689" width="14" style="74" customWidth="1"/>
    <col min="7690" max="7690" width="13.296875" style="74" customWidth="1"/>
    <col min="7691" max="7691" width="12.296875" style="74" customWidth="1"/>
    <col min="7692" max="7692" width="14.296875" style="74" customWidth="1"/>
    <col min="7693" max="7693" width="15.19921875" style="74" customWidth="1"/>
    <col min="7694" max="7936" width="9.296875" style="74"/>
    <col min="7937" max="7937" width="5.796875" style="74" customWidth="1"/>
    <col min="7938" max="7938" width="22.296875" style="74" customWidth="1"/>
    <col min="7939" max="7939" width="13" style="74" customWidth="1"/>
    <col min="7940" max="7940" width="11" style="74" customWidth="1"/>
    <col min="7941" max="7941" width="15.5" style="74" customWidth="1"/>
    <col min="7942" max="7942" width="11.19921875" style="74" customWidth="1"/>
    <col min="7943" max="7943" width="13.296875" style="74" customWidth="1"/>
    <col min="7944" max="7945" width="14" style="74" customWidth="1"/>
    <col min="7946" max="7946" width="13.296875" style="74" customWidth="1"/>
    <col min="7947" max="7947" width="12.296875" style="74" customWidth="1"/>
    <col min="7948" max="7948" width="14.296875" style="74" customWidth="1"/>
    <col min="7949" max="7949" width="15.19921875" style="74" customWidth="1"/>
    <col min="7950" max="8192" width="9.296875" style="74"/>
    <col min="8193" max="8193" width="5.796875" style="74" customWidth="1"/>
    <col min="8194" max="8194" width="22.296875" style="74" customWidth="1"/>
    <col min="8195" max="8195" width="13" style="74" customWidth="1"/>
    <col min="8196" max="8196" width="11" style="74" customWidth="1"/>
    <col min="8197" max="8197" width="15.5" style="74" customWidth="1"/>
    <col min="8198" max="8198" width="11.19921875" style="74" customWidth="1"/>
    <col min="8199" max="8199" width="13.296875" style="74" customWidth="1"/>
    <col min="8200" max="8201" width="14" style="74" customWidth="1"/>
    <col min="8202" max="8202" width="13.296875" style="74" customWidth="1"/>
    <col min="8203" max="8203" width="12.296875" style="74" customWidth="1"/>
    <col min="8204" max="8204" width="14.296875" style="74" customWidth="1"/>
    <col min="8205" max="8205" width="15.19921875" style="74" customWidth="1"/>
    <col min="8206" max="8448" width="9.296875" style="74"/>
    <col min="8449" max="8449" width="5.796875" style="74" customWidth="1"/>
    <col min="8450" max="8450" width="22.296875" style="74" customWidth="1"/>
    <col min="8451" max="8451" width="13" style="74" customWidth="1"/>
    <col min="8452" max="8452" width="11" style="74" customWidth="1"/>
    <col min="8453" max="8453" width="15.5" style="74" customWidth="1"/>
    <col min="8454" max="8454" width="11.19921875" style="74" customWidth="1"/>
    <col min="8455" max="8455" width="13.296875" style="74" customWidth="1"/>
    <col min="8456" max="8457" width="14" style="74" customWidth="1"/>
    <col min="8458" max="8458" width="13.296875" style="74" customWidth="1"/>
    <col min="8459" max="8459" width="12.296875" style="74" customWidth="1"/>
    <col min="8460" max="8460" width="14.296875" style="74" customWidth="1"/>
    <col min="8461" max="8461" width="15.19921875" style="74" customWidth="1"/>
    <col min="8462" max="8704" width="9.296875" style="74"/>
    <col min="8705" max="8705" width="5.796875" style="74" customWidth="1"/>
    <col min="8706" max="8706" width="22.296875" style="74" customWidth="1"/>
    <col min="8707" max="8707" width="13" style="74" customWidth="1"/>
    <col min="8708" max="8708" width="11" style="74" customWidth="1"/>
    <col min="8709" max="8709" width="15.5" style="74" customWidth="1"/>
    <col min="8710" max="8710" width="11.19921875" style="74" customWidth="1"/>
    <col min="8711" max="8711" width="13.296875" style="74" customWidth="1"/>
    <col min="8712" max="8713" width="14" style="74" customWidth="1"/>
    <col min="8714" max="8714" width="13.296875" style="74" customWidth="1"/>
    <col min="8715" max="8715" width="12.296875" style="74" customWidth="1"/>
    <col min="8716" max="8716" width="14.296875" style="74" customWidth="1"/>
    <col min="8717" max="8717" width="15.19921875" style="74" customWidth="1"/>
    <col min="8718" max="8960" width="9.296875" style="74"/>
    <col min="8961" max="8961" width="5.796875" style="74" customWidth="1"/>
    <col min="8962" max="8962" width="22.296875" style="74" customWidth="1"/>
    <col min="8963" max="8963" width="13" style="74" customWidth="1"/>
    <col min="8964" max="8964" width="11" style="74" customWidth="1"/>
    <col min="8965" max="8965" width="15.5" style="74" customWidth="1"/>
    <col min="8966" max="8966" width="11.19921875" style="74" customWidth="1"/>
    <col min="8967" max="8967" width="13.296875" style="74" customWidth="1"/>
    <col min="8968" max="8969" width="14" style="74" customWidth="1"/>
    <col min="8970" max="8970" width="13.296875" style="74" customWidth="1"/>
    <col min="8971" max="8971" width="12.296875" style="74" customWidth="1"/>
    <col min="8972" max="8972" width="14.296875" style="74" customWidth="1"/>
    <col min="8973" max="8973" width="15.19921875" style="74" customWidth="1"/>
    <col min="8974" max="9216" width="9.296875" style="74"/>
    <col min="9217" max="9217" width="5.796875" style="74" customWidth="1"/>
    <col min="9218" max="9218" width="22.296875" style="74" customWidth="1"/>
    <col min="9219" max="9219" width="13" style="74" customWidth="1"/>
    <col min="9220" max="9220" width="11" style="74" customWidth="1"/>
    <col min="9221" max="9221" width="15.5" style="74" customWidth="1"/>
    <col min="9222" max="9222" width="11.19921875" style="74" customWidth="1"/>
    <col min="9223" max="9223" width="13.296875" style="74" customWidth="1"/>
    <col min="9224" max="9225" width="14" style="74" customWidth="1"/>
    <col min="9226" max="9226" width="13.296875" style="74" customWidth="1"/>
    <col min="9227" max="9227" width="12.296875" style="74" customWidth="1"/>
    <col min="9228" max="9228" width="14.296875" style="74" customWidth="1"/>
    <col min="9229" max="9229" width="15.19921875" style="74" customWidth="1"/>
    <col min="9230" max="9472" width="9.296875" style="74"/>
    <col min="9473" max="9473" width="5.796875" style="74" customWidth="1"/>
    <col min="9474" max="9474" width="22.296875" style="74" customWidth="1"/>
    <col min="9475" max="9475" width="13" style="74" customWidth="1"/>
    <col min="9476" max="9476" width="11" style="74" customWidth="1"/>
    <col min="9477" max="9477" width="15.5" style="74" customWidth="1"/>
    <col min="9478" max="9478" width="11.19921875" style="74" customWidth="1"/>
    <col min="9479" max="9479" width="13.296875" style="74" customWidth="1"/>
    <col min="9480" max="9481" width="14" style="74" customWidth="1"/>
    <col min="9482" max="9482" width="13.296875" style="74" customWidth="1"/>
    <col min="9483" max="9483" width="12.296875" style="74" customWidth="1"/>
    <col min="9484" max="9484" width="14.296875" style="74" customWidth="1"/>
    <col min="9485" max="9485" width="15.19921875" style="74" customWidth="1"/>
    <col min="9486" max="9728" width="9.296875" style="74"/>
    <col min="9729" max="9729" width="5.796875" style="74" customWidth="1"/>
    <col min="9730" max="9730" width="22.296875" style="74" customWidth="1"/>
    <col min="9731" max="9731" width="13" style="74" customWidth="1"/>
    <col min="9732" max="9732" width="11" style="74" customWidth="1"/>
    <col min="9733" max="9733" width="15.5" style="74" customWidth="1"/>
    <col min="9734" max="9734" width="11.19921875" style="74" customWidth="1"/>
    <col min="9735" max="9735" width="13.296875" style="74" customWidth="1"/>
    <col min="9736" max="9737" width="14" style="74" customWidth="1"/>
    <col min="9738" max="9738" width="13.296875" style="74" customWidth="1"/>
    <col min="9739" max="9739" width="12.296875" style="74" customWidth="1"/>
    <col min="9740" max="9740" width="14.296875" style="74" customWidth="1"/>
    <col min="9741" max="9741" width="15.19921875" style="74" customWidth="1"/>
    <col min="9742" max="9984" width="9.296875" style="74"/>
    <col min="9985" max="9985" width="5.796875" style="74" customWidth="1"/>
    <col min="9986" max="9986" width="22.296875" style="74" customWidth="1"/>
    <col min="9987" max="9987" width="13" style="74" customWidth="1"/>
    <col min="9988" max="9988" width="11" style="74" customWidth="1"/>
    <col min="9989" max="9989" width="15.5" style="74" customWidth="1"/>
    <col min="9990" max="9990" width="11.19921875" style="74" customWidth="1"/>
    <col min="9991" max="9991" width="13.296875" style="74" customWidth="1"/>
    <col min="9992" max="9993" width="14" style="74" customWidth="1"/>
    <col min="9994" max="9994" width="13.296875" style="74" customWidth="1"/>
    <col min="9995" max="9995" width="12.296875" style="74" customWidth="1"/>
    <col min="9996" max="9996" width="14.296875" style="74" customWidth="1"/>
    <col min="9997" max="9997" width="15.19921875" style="74" customWidth="1"/>
    <col min="9998" max="10240" width="9.296875" style="74"/>
    <col min="10241" max="10241" width="5.796875" style="74" customWidth="1"/>
    <col min="10242" max="10242" width="22.296875" style="74" customWidth="1"/>
    <col min="10243" max="10243" width="13" style="74" customWidth="1"/>
    <col min="10244" max="10244" width="11" style="74" customWidth="1"/>
    <col min="10245" max="10245" width="15.5" style="74" customWidth="1"/>
    <col min="10246" max="10246" width="11.19921875" style="74" customWidth="1"/>
    <col min="10247" max="10247" width="13.296875" style="74" customWidth="1"/>
    <col min="10248" max="10249" width="14" style="74" customWidth="1"/>
    <col min="10250" max="10250" width="13.296875" style="74" customWidth="1"/>
    <col min="10251" max="10251" width="12.296875" style="74" customWidth="1"/>
    <col min="10252" max="10252" width="14.296875" style="74" customWidth="1"/>
    <col min="10253" max="10253" width="15.19921875" style="74" customWidth="1"/>
    <col min="10254" max="10496" width="9.296875" style="74"/>
    <col min="10497" max="10497" width="5.796875" style="74" customWidth="1"/>
    <col min="10498" max="10498" width="22.296875" style="74" customWidth="1"/>
    <col min="10499" max="10499" width="13" style="74" customWidth="1"/>
    <col min="10500" max="10500" width="11" style="74" customWidth="1"/>
    <col min="10501" max="10501" width="15.5" style="74" customWidth="1"/>
    <col min="10502" max="10502" width="11.19921875" style="74" customWidth="1"/>
    <col min="10503" max="10503" width="13.296875" style="74" customWidth="1"/>
    <col min="10504" max="10505" width="14" style="74" customWidth="1"/>
    <col min="10506" max="10506" width="13.296875" style="74" customWidth="1"/>
    <col min="10507" max="10507" width="12.296875" style="74" customWidth="1"/>
    <col min="10508" max="10508" width="14.296875" style="74" customWidth="1"/>
    <col min="10509" max="10509" width="15.19921875" style="74" customWidth="1"/>
    <col min="10510" max="10752" width="9.296875" style="74"/>
    <col min="10753" max="10753" width="5.796875" style="74" customWidth="1"/>
    <col min="10754" max="10754" width="22.296875" style="74" customWidth="1"/>
    <col min="10755" max="10755" width="13" style="74" customWidth="1"/>
    <col min="10756" max="10756" width="11" style="74" customWidth="1"/>
    <col min="10757" max="10757" width="15.5" style="74" customWidth="1"/>
    <col min="10758" max="10758" width="11.19921875" style="74" customWidth="1"/>
    <col min="10759" max="10759" width="13.296875" style="74" customWidth="1"/>
    <col min="10760" max="10761" width="14" style="74" customWidth="1"/>
    <col min="10762" max="10762" width="13.296875" style="74" customWidth="1"/>
    <col min="10763" max="10763" width="12.296875" style="74" customWidth="1"/>
    <col min="10764" max="10764" width="14.296875" style="74" customWidth="1"/>
    <col min="10765" max="10765" width="15.19921875" style="74" customWidth="1"/>
    <col min="10766" max="11008" width="9.296875" style="74"/>
    <col min="11009" max="11009" width="5.796875" style="74" customWidth="1"/>
    <col min="11010" max="11010" width="22.296875" style="74" customWidth="1"/>
    <col min="11011" max="11011" width="13" style="74" customWidth="1"/>
    <col min="11012" max="11012" width="11" style="74" customWidth="1"/>
    <col min="11013" max="11013" width="15.5" style="74" customWidth="1"/>
    <col min="11014" max="11014" width="11.19921875" style="74" customWidth="1"/>
    <col min="11015" max="11015" width="13.296875" style="74" customWidth="1"/>
    <col min="11016" max="11017" width="14" style="74" customWidth="1"/>
    <col min="11018" max="11018" width="13.296875" style="74" customWidth="1"/>
    <col min="11019" max="11019" width="12.296875" style="74" customWidth="1"/>
    <col min="11020" max="11020" width="14.296875" style="74" customWidth="1"/>
    <col min="11021" max="11021" width="15.19921875" style="74" customWidth="1"/>
    <col min="11022" max="11264" width="9.296875" style="74"/>
    <col min="11265" max="11265" width="5.796875" style="74" customWidth="1"/>
    <col min="11266" max="11266" width="22.296875" style="74" customWidth="1"/>
    <col min="11267" max="11267" width="13" style="74" customWidth="1"/>
    <col min="11268" max="11268" width="11" style="74" customWidth="1"/>
    <col min="11269" max="11269" width="15.5" style="74" customWidth="1"/>
    <col min="11270" max="11270" width="11.19921875" style="74" customWidth="1"/>
    <col min="11271" max="11271" width="13.296875" style="74" customWidth="1"/>
    <col min="11272" max="11273" width="14" style="74" customWidth="1"/>
    <col min="11274" max="11274" width="13.296875" style="74" customWidth="1"/>
    <col min="11275" max="11275" width="12.296875" style="74" customWidth="1"/>
    <col min="11276" max="11276" width="14.296875" style="74" customWidth="1"/>
    <col min="11277" max="11277" width="15.19921875" style="74" customWidth="1"/>
    <col min="11278" max="11520" width="9.296875" style="74"/>
    <col min="11521" max="11521" width="5.796875" style="74" customWidth="1"/>
    <col min="11522" max="11522" width="22.296875" style="74" customWidth="1"/>
    <col min="11523" max="11523" width="13" style="74" customWidth="1"/>
    <col min="11524" max="11524" width="11" style="74" customWidth="1"/>
    <col min="11525" max="11525" width="15.5" style="74" customWidth="1"/>
    <col min="11526" max="11526" width="11.19921875" style="74" customWidth="1"/>
    <col min="11527" max="11527" width="13.296875" style="74" customWidth="1"/>
    <col min="11528" max="11529" width="14" style="74" customWidth="1"/>
    <col min="11530" max="11530" width="13.296875" style="74" customWidth="1"/>
    <col min="11531" max="11531" width="12.296875" style="74" customWidth="1"/>
    <col min="11532" max="11532" width="14.296875" style="74" customWidth="1"/>
    <col min="11533" max="11533" width="15.19921875" style="74" customWidth="1"/>
    <col min="11534" max="11776" width="9.296875" style="74"/>
    <col min="11777" max="11777" width="5.796875" style="74" customWidth="1"/>
    <col min="11778" max="11778" width="22.296875" style="74" customWidth="1"/>
    <col min="11779" max="11779" width="13" style="74" customWidth="1"/>
    <col min="11780" max="11780" width="11" style="74" customWidth="1"/>
    <col min="11781" max="11781" width="15.5" style="74" customWidth="1"/>
    <col min="11782" max="11782" width="11.19921875" style="74" customWidth="1"/>
    <col min="11783" max="11783" width="13.296875" style="74" customWidth="1"/>
    <col min="11784" max="11785" width="14" style="74" customWidth="1"/>
    <col min="11786" max="11786" width="13.296875" style="74" customWidth="1"/>
    <col min="11787" max="11787" width="12.296875" style="74" customWidth="1"/>
    <col min="11788" max="11788" width="14.296875" style="74" customWidth="1"/>
    <col min="11789" max="11789" width="15.19921875" style="74" customWidth="1"/>
    <col min="11790" max="12032" width="9.296875" style="74"/>
    <col min="12033" max="12033" width="5.796875" style="74" customWidth="1"/>
    <col min="12034" max="12034" width="22.296875" style="74" customWidth="1"/>
    <col min="12035" max="12035" width="13" style="74" customWidth="1"/>
    <col min="12036" max="12036" width="11" style="74" customWidth="1"/>
    <col min="12037" max="12037" width="15.5" style="74" customWidth="1"/>
    <col min="12038" max="12038" width="11.19921875" style="74" customWidth="1"/>
    <col min="12039" max="12039" width="13.296875" style="74" customWidth="1"/>
    <col min="12040" max="12041" width="14" style="74" customWidth="1"/>
    <col min="12042" max="12042" width="13.296875" style="74" customWidth="1"/>
    <col min="12043" max="12043" width="12.296875" style="74" customWidth="1"/>
    <col min="12044" max="12044" width="14.296875" style="74" customWidth="1"/>
    <col min="12045" max="12045" width="15.19921875" style="74" customWidth="1"/>
    <col min="12046" max="12288" width="9.296875" style="74"/>
    <col min="12289" max="12289" width="5.796875" style="74" customWidth="1"/>
    <col min="12290" max="12290" width="22.296875" style="74" customWidth="1"/>
    <col min="12291" max="12291" width="13" style="74" customWidth="1"/>
    <col min="12292" max="12292" width="11" style="74" customWidth="1"/>
    <col min="12293" max="12293" width="15.5" style="74" customWidth="1"/>
    <col min="12294" max="12294" width="11.19921875" style="74" customWidth="1"/>
    <col min="12295" max="12295" width="13.296875" style="74" customWidth="1"/>
    <col min="12296" max="12297" width="14" style="74" customWidth="1"/>
    <col min="12298" max="12298" width="13.296875" style="74" customWidth="1"/>
    <col min="12299" max="12299" width="12.296875" style="74" customWidth="1"/>
    <col min="12300" max="12300" width="14.296875" style="74" customWidth="1"/>
    <col min="12301" max="12301" width="15.19921875" style="74" customWidth="1"/>
    <col min="12302" max="12544" width="9.296875" style="74"/>
    <col min="12545" max="12545" width="5.796875" style="74" customWidth="1"/>
    <col min="12546" max="12546" width="22.296875" style="74" customWidth="1"/>
    <col min="12547" max="12547" width="13" style="74" customWidth="1"/>
    <col min="12548" max="12548" width="11" style="74" customWidth="1"/>
    <col min="12549" max="12549" width="15.5" style="74" customWidth="1"/>
    <col min="12550" max="12550" width="11.19921875" style="74" customWidth="1"/>
    <col min="12551" max="12551" width="13.296875" style="74" customWidth="1"/>
    <col min="12552" max="12553" width="14" style="74" customWidth="1"/>
    <col min="12554" max="12554" width="13.296875" style="74" customWidth="1"/>
    <col min="12555" max="12555" width="12.296875" style="74" customWidth="1"/>
    <col min="12556" max="12556" width="14.296875" style="74" customWidth="1"/>
    <col min="12557" max="12557" width="15.19921875" style="74" customWidth="1"/>
    <col min="12558" max="12800" width="9.296875" style="74"/>
    <col min="12801" max="12801" width="5.796875" style="74" customWidth="1"/>
    <col min="12802" max="12802" width="22.296875" style="74" customWidth="1"/>
    <col min="12803" max="12803" width="13" style="74" customWidth="1"/>
    <col min="12804" max="12804" width="11" style="74" customWidth="1"/>
    <col min="12805" max="12805" width="15.5" style="74" customWidth="1"/>
    <col min="12806" max="12806" width="11.19921875" style="74" customWidth="1"/>
    <col min="12807" max="12807" width="13.296875" style="74" customWidth="1"/>
    <col min="12808" max="12809" width="14" style="74" customWidth="1"/>
    <col min="12810" max="12810" width="13.296875" style="74" customWidth="1"/>
    <col min="12811" max="12811" width="12.296875" style="74" customWidth="1"/>
    <col min="12812" max="12812" width="14.296875" style="74" customWidth="1"/>
    <col min="12813" max="12813" width="15.19921875" style="74" customWidth="1"/>
    <col min="12814" max="13056" width="9.296875" style="74"/>
    <col min="13057" max="13057" width="5.796875" style="74" customWidth="1"/>
    <col min="13058" max="13058" width="22.296875" style="74" customWidth="1"/>
    <col min="13059" max="13059" width="13" style="74" customWidth="1"/>
    <col min="13060" max="13060" width="11" style="74" customWidth="1"/>
    <col min="13061" max="13061" width="15.5" style="74" customWidth="1"/>
    <col min="13062" max="13062" width="11.19921875" style="74" customWidth="1"/>
    <col min="13063" max="13063" width="13.296875" style="74" customWidth="1"/>
    <col min="13064" max="13065" width="14" style="74" customWidth="1"/>
    <col min="13066" max="13066" width="13.296875" style="74" customWidth="1"/>
    <col min="13067" max="13067" width="12.296875" style="74" customWidth="1"/>
    <col min="13068" max="13068" width="14.296875" style="74" customWidth="1"/>
    <col min="13069" max="13069" width="15.19921875" style="74" customWidth="1"/>
    <col min="13070" max="13312" width="9.296875" style="74"/>
    <col min="13313" max="13313" width="5.796875" style="74" customWidth="1"/>
    <col min="13314" max="13314" width="22.296875" style="74" customWidth="1"/>
    <col min="13315" max="13315" width="13" style="74" customWidth="1"/>
    <col min="13316" max="13316" width="11" style="74" customWidth="1"/>
    <col min="13317" max="13317" width="15.5" style="74" customWidth="1"/>
    <col min="13318" max="13318" width="11.19921875" style="74" customWidth="1"/>
    <col min="13319" max="13319" width="13.296875" style="74" customWidth="1"/>
    <col min="13320" max="13321" width="14" style="74" customWidth="1"/>
    <col min="13322" max="13322" width="13.296875" style="74" customWidth="1"/>
    <col min="13323" max="13323" width="12.296875" style="74" customWidth="1"/>
    <col min="13324" max="13324" width="14.296875" style="74" customWidth="1"/>
    <col min="13325" max="13325" width="15.19921875" style="74" customWidth="1"/>
    <col min="13326" max="13568" width="9.296875" style="74"/>
    <col min="13569" max="13569" width="5.796875" style="74" customWidth="1"/>
    <col min="13570" max="13570" width="22.296875" style="74" customWidth="1"/>
    <col min="13571" max="13571" width="13" style="74" customWidth="1"/>
    <col min="13572" max="13572" width="11" style="74" customWidth="1"/>
    <col min="13573" max="13573" width="15.5" style="74" customWidth="1"/>
    <col min="13574" max="13574" width="11.19921875" style="74" customWidth="1"/>
    <col min="13575" max="13575" width="13.296875" style="74" customWidth="1"/>
    <col min="13576" max="13577" width="14" style="74" customWidth="1"/>
    <col min="13578" max="13578" width="13.296875" style="74" customWidth="1"/>
    <col min="13579" max="13579" width="12.296875" style="74" customWidth="1"/>
    <col min="13580" max="13580" width="14.296875" style="74" customWidth="1"/>
    <col min="13581" max="13581" width="15.19921875" style="74" customWidth="1"/>
    <col min="13582" max="13824" width="9.296875" style="74"/>
    <col min="13825" max="13825" width="5.796875" style="74" customWidth="1"/>
    <col min="13826" max="13826" width="22.296875" style="74" customWidth="1"/>
    <col min="13827" max="13827" width="13" style="74" customWidth="1"/>
    <col min="13828" max="13828" width="11" style="74" customWidth="1"/>
    <col min="13829" max="13829" width="15.5" style="74" customWidth="1"/>
    <col min="13830" max="13830" width="11.19921875" style="74" customWidth="1"/>
    <col min="13831" max="13831" width="13.296875" style="74" customWidth="1"/>
    <col min="13832" max="13833" width="14" style="74" customWidth="1"/>
    <col min="13834" max="13834" width="13.296875" style="74" customWidth="1"/>
    <col min="13835" max="13835" width="12.296875" style="74" customWidth="1"/>
    <col min="13836" max="13836" width="14.296875" style="74" customWidth="1"/>
    <col min="13837" max="13837" width="15.19921875" style="74" customWidth="1"/>
    <col min="13838" max="14080" width="9.296875" style="74"/>
    <col min="14081" max="14081" width="5.796875" style="74" customWidth="1"/>
    <col min="14082" max="14082" width="22.296875" style="74" customWidth="1"/>
    <col min="14083" max="14083" width="13" style="74" customWidth="1"/>
    <col min="14084" max="14084" width="11" style="74" customWidth="1"/>
    <col min="14085" max="14085" width="15.5" style="74" customWidth="1"/>
    <col min="14086" max="14086" width="11.19921875" style="74" customWidth="1"/>
    <col min="14087" max="14087" width="13.296875" style="74" customWidth="1"/>
    <col min="14088" max="14089" width="14" style="74" customWidth="1"/>
    <col min="14090" max="14090" width="13.296875" style="74" customWidth="1"/>
    <col min="14091" max="14091" width="12.296875" style="74" customWidth="1"/>
    <col min="14092" max="14092" width="14.296875" style="74" customWidth="1"/>
    <col min="14093" max="14093" width="15.19921875" style="74" customWidth="1"/>
    <col min="14094" max="14336" width="9.296875" style="74"/>
    <col min="14337" max="14337" width="5.796875" style="74" customWidth="1"/>
    <col min="14338" max="14338" width="22.296875" style="74" customWidth="1"/>
    <col min="14339" max="14339" width="13" style="74" customWidth="1"/>
    <col min="14340" max="14340" width="11" style="74" customWidth="1"/>
    <col min="14341" max="14341" width="15.5" style="74" customWidth="1"/>
    <col min="14342" max="14342" width="11.19921875" style="74" customWidth="1"/>
    <col min="14343" max="14343" width="13.296875" style="74" customWidth="1"/>
    <col min="14344" max="14345" width="14" style="74" customWidth="1"/>
    <col min="14346" max="14346" width="13.296875" style="74" customWidth="1"/>
    <col min="14347" max="14347" width="12.296875" style="74" customWidth="1"/>
    <col min="14348" max="14348" width="14.296875" style="74" customWidth="1"/>
    <col min="14349" max="14349" width="15.19921875" style="74" customWidth="1"/>
    <col min="14350" max="14592" width="9.296875" style="74"/>
    <col min="14593" max="14593" width="5.796875" style="74" customWidth="1"/>
    <col min="14594" max="14594" width="22.296875" style="74" customWidth="1"/>
    <col min="14595" max="14595" width="13" style="74" customWidth="1"/>
    <col min="14596" max="14596" width="11" style="74" customWidth="1"/>
    <col min="14597" max="14597" width="15.5" style="74" customWidth="1"/>
    <col min="14598" max="14598" width="11.19921875" style="74" customWidth="1"/>
    <col min="14599" max="14599" width="13.296875" style="74" customWidth="1"/>
    <col min="14600" max="14601" width="14" style="74" customWidth="1"/>
    <col min="14602" max="14602" width="13.296875" style="74" customWidth="1"/>
    <col min="14603" max="14603" width="12.296875" style="74" customWidth="1"/>
    <col min="14604" max="14604" width="14.296875" style="74" customWidth="1"/>
    <col min="14605" max="14605" width="15.19921875" style="74" customWidth="1"/>
    <col min="14606" max="14848" width="9.296875" style="74"/>
    <col min="14849" max="14849" width="5.796875" style="74" customWidth="1"/>
    <col min="14850" max="14850" width="22.296875" style="74" customWidth="1"/>
    <col min="14851" max="14851" width="13" style="74" customWidth="1"/>
    <col min="14852" max="14852" width="11" style="74" customWidth="1"/>
    <col min="14853" max="14853" width="15.5" style="74" customWidth="1"/>
    <col min="14854" max="14854" width="11.19921875" style="74" customWidth="1"/>
    <col min="14855" max="14855" width="13.296875" style="74" customWidth="1"/>
    <col min="14856" max="14857" width="14" style="74" customWidth="1"/>
    <col min="14858" max="14858" width="13.296875" style="74" customWidth="1"/>
    <col min="14859" max="14859" width="12.296875" style="74" customWidth="1"/>
    <col min="14860" max="14860" width="14.296875" style="74" customWidth="1"/>
    <col min="14861" max="14861" width="15.19921875" style="74" customWidth="1"/>
    <col min="14862" max="15104" width="9.296875" style="74"/>
    <col min="15105" max="15105" width="5.796875" style="74" customWidth="1"/>
    <col min="15106" max="15106" width="22.296875" style="74" customWidth="1"/>
    <col min="15107" max="15107" width="13" style="74" customWidth="1"/>
    <col min="15108" max="15108" width="11" style="74" customWidth="1"/>
    <col min="15109" max="15109" width="15.5" style="74" customWidth="1"/>
    <col min="15110" max="15110" width="11.19921875" style="74" customWidth="1"/>
    <col min="15111" max="15111" width="13.296875" style="74" customWidth="1"/>
    <col min="15112" max="15113" width="14" style="74" customWidth="1"/>
    <col min="15114" max="15114" width="13.296875" style="74" customWidth="1"/>
    <col min="15115" max="15115" width="12.296875" style="74" customWidth="1"/>
    <col min="15116" max="15116" width="14.296875" style="74" customWidth="1"/>
    <col min="15117" max="15117" width="15.19921875" style="74" customWidth="1"/>
    <col min="15118" max="15360" width="9.296875" style="74"/>
    <col min="15361" max="15361" width="5.796875" style="74" customWidth="1"/>
    <col min="15362" max="15362" width="22.296875" style="74" customWidth="1"/>
    <col min="15363" max="15363" width="13" style="74" customWidth="1"/>
    <col min="15364" max="15364" width="11" style="74" customWidth="1"/>
    <col min="15365" max="15365" width="15.5" style="74" customWidth="1"/>
    <col min="15366" max="15366" width="11.19921875" style="74" customWidth="1"/>
    <col min="15367" max="15367" width="13.296875" style="74" customWidth="1"/>
    <col min="15368" max="15369" width="14" style="74" customWidth="1"/>
    <col min="15370" max="15370" width="13.296875" style="74" customWidth="1"/>
    <col min="15371" max="15371" width="12.296875" style="74" customWidth="1"/>
    <col min="15372" max="15372" width="14.296875" style="74" customWidth="1"/>
    <col min="15373" max="15373" width="15.19921875" style="74" customWidth="1"/>
    <col min="15374" max="15616" width="9.296875" style="74"/>
    <col min="15617" max="15617" width="5.796875" style="74" customWidth="1"/>
    <col min="15618" max="15618" width="22.296875" style="74" customWidth="1"/>
    <col min="15619" max="15619" width="13" style="74" customWidth="1"/>
    <col min="15620" max="15620" width="11" style="74" customWidth="1"/>
    <col min="15621" max="15621" width="15.5" style="74" customWidth="1"/>
    <col min="15622" max="15622" width="11.19921875" style="74" customWidth="1"/>
    <col min="15623" max="15623" width="13.296875" style="74" customWidth="1"/>
    <col min="15624" max="15625" width="14" style="74" customWidth="1"/>
    <col min="15626" max="15626" width="13.296875" style="74" customWidth="1"/>
    <col min="15627" max="15627" width="12.296875" style="74" customWidth="1"/>
    <col min="15628" max="15628" width="14.296875" style="74" customWidth="1"/>
    <col min="15629" max="15629" width="15.19921875" style="74" customWidth="1"/>
    <col min="15630" max="15872" width="9.296875" style="74"/>
    <col min="15873" max="15873" width="5.796875" style="74" customWidth="1"/>
    <col min="15874" max="15874" width="22.296875" style="74" customWidth="1"/>
    <col min="15875" max="15875" width="13" style="74" customWidth="1"/>
    <col min="15876" max="15876" width="11" style="74" customWidth="1"/>
    <col min="15877" max="15877" width="15.5" style="74" customWidth="1"/>
    <col min="15878" max="15878" width="11.19921875" style="74" customWidth="1"/>
    <col min="15879" max="15879" width="13.296875" style="74" customWidth="1"/>
    <col min="15880" max="15881" width="14" style="74" customWidth="1"/>
    <col min="15882" max="15882" width="13.296875" style="74" customWidth="1"/>
    <col min="15883" max="15883" width="12.296875" style="74" customWidth="1"/>
    <col min="15884" max="15884" width="14.296875" style="74" customWidth="1"/>
    <col min="15885" max="15885" width="15.19921875" style="74" customWidth="1"/>
    <col min="15886" max="16128" width="9.296875" style="74"/>
    <col min="16129" max="16129" width="5.796875" style="74" customWidth="1"/>
    <col min="16130" max="16130" width="22.296875" style="74" customWidth="1"/>
    <col min="16131" max="16131" width="13" style="74" customWidth="1"/>
    <col min="16132" max="16132" width="11" style="74" customWidth="1"/>
    <col min="16133" max="16133" width="15.5" style="74" customWidth="1"/>
    <col min="16134" max="16134" width="11.19921875" style="74" customWidth="1"/>
    <col min="16135" max="16135" width="13.296875" style="74" customWidth="1"/>
    <col min="16136" max="16137" width="14" style="74" customWidth="1"/>
    <col min="16138" max="16138" width="13.296875" style="74" customWidth="1"/>
    <col min="16139" max="16139" width="12.296875" style="74" customWidth="1"/>
    <col min="16140" max="16140" width="14.296875" style="74" customWidth="1"/>
    <col min="16141" max="16141" width="15.19921875" style="74" customWidth="1"/>
    <col min="16142" max="16384" width="9.296875" style="74"/>
  </cols>
  <sheetData>
    <row r="1" spans="1:13" ht="33" customHeight="1" x14ac:dyDescent="0.3">
      <c r="A1" s="757" t="s">
        <v>526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</row>
    <row r="2" spans="1:13" ht="14" x14ac:dyDescent="0.3">
      <c r="A2" s="75"/>
      <c r="B2" s="76"/>
      <c r="C2" s="76"/>
      <c r="D2" s="77"/>
      <c r="E2" s="78"/>
      <c r="F2" s="78"/>
      <c r="G2" s="79"/>
      <c r="H2" s="79"/>
      <c r="I2" s="78"/>
    </row>
    <row r="3" spans="1:13" ht="14" x14ac:dyDescent="0.3">
      <c r="A3" s="75"/>
      <c r="B3" s="80"/>
      <c r="C3" s="80"/>
      <c r="D3" s="81"/>
      <c r="E3" s="77"/>
      <c r="F3" s="77"/>
      <c r="G3" s="77"/>
      <c r="H3" s="77"/>
      <c r="I3" s="77"/>
      <c r="K3" s="765" t="s">
        <v>423</v>
      </c>
      <c r="L3" s="765"/>
      <c r="M3" s="765"/>
    </row>
    <row r="4" spans="1:13" s="83" customFormat="1" ht="75.75" customHeight="1" x14ac:dyDescent="0.3">
      <c r="A4" s="499" t="s">
        <v>407</v>
      </c>
      <c r="B4" s="499" t="s">
        <v>454</v>
      </c>
      <c r="C4" s="499" t="s">
        <v>455</v>
      </c>
      <c r="D4" s="499" t="s">
        <v>465</v>
      </c>
      <c r="E4" s="499" t="s">
        <v>206</v>
      </c>
      <c r="F4" s="499" t="s">
        <v>466</v>
      </c>
      <c r="G4" s="500" t="s">
        <v>210</v>
      </c>
      <c r="H4" s="500" t="s">
        <v>467</v>
      </c>
      <c r="I4" s="500" t="s">
        <v>231</v>
      </c>
      <c r="J4" s="501" t="s">
        <v>233</v>
      </c>
      <c r="K4" s="259" t="s">
        <v>235</v>
      </c>
      <c r="L4" s="501" t="s">
        <v>468</v>
      </c>
      <c r="M4" s="259" t="s">
        <v>469</v>
      </c>
    </row>
    <row r="5" spans="1:13" ht="65.25" customHeight="1" x14ac:dyDescent="0.3">
      <c r="A5" s="502" t="s">
        <v>10</v>
      </c>
      <c r="B5" s="503" t="s">
        <v>461</v>
      </c>
      <c r="C5" s="504" t="s">
        <v>462</v>
      </c>
      <c r="D5" s="524">
        <v>165241715</v>
      </c>
      <c r="E5" s="525">
        <v>38887585</v>
      </c>
      <c r="F5" s="525">
        <v>49162000</v>
      </c>
      <c r="G5" s="526"/>
      <c r="H5" s="526"/>
      <c r="I5" s="525">
        <v>3429000</v>
      </c>
      <c r="J5" s="567"/>
      <c r="K5" s="567"/>
      <c r="L5" s="567"/>
      <c r="M5" s="568">
        <f>SUM(D5:L5)</f>
        <v>256720300</v>
      </c>
    </row>
    <row r="6" spans="1:13" ht="65.25" customHeight="1" x14ac:dyDescent="0.3">
      <c r="A6" s="502"/>
      <c r="B6" s="503" t="s">
        <v>860</v>
      </c>
      <c r="C6" s="504"/>
      <c r="D6" s="524">
        <f>D7-D5</f>
        <v>810600</v>
      </c>
      <c r="E6" s="524">
        <f t="shared" ref="E6:L6" si="0">E7-E5</f>
        <v>222882</v>
      </c>
      <c r="F6" s="524">
        <f t="shared" si="0"/>
        <v>1647024</v>
      </c>
      <c r="G6" s="524">
        <v>56430</v>
      </c>
      <c r="H6" s="524">
        <f t="shared" si="0"/>
        <v>0</v>
      </c>
      <c r="I6" s="524">
        <f t="shared" si="0"/>
        <v>0</v>
      </c>
      <c r="J6" s="524">
        <f t="shared" si="0"/>
        <v>0</v>
      </c>
      <c r="K6" s="524">
        <f t="shared" si="0"/>
        <v>0</v>
      </c>
      <c r="L6" s="524">
        <f t="shared" si="0"/>
        <v>0</v>
      </c>
      <c r="M6" s="568">
        <f t="shared" ref="M6:M7" si="1">SUM(D6:L6)</f>
        <v>2736936</v>
      </c>
    </row>
    <row r="7" spans="1:13" s="84" customFormat="1" ht="65.25" customHeight="1" x14ac:dyDescent="0.35">
      <c r="A7" s="499"/>
      <c r="B7" s="509" t="s">
        <v>859</v>
      </c>
      <c r="C7" s="510"/>
      <c r="D7" s="529">
        <v>166052315</v>
      </c>
      <c r="E7" s="530">
        <v>39110467</v>
      </c>
      <c r="F7" s="530">
        <v>50809024</v>
      </c>
      <c r="G7" s="531">
        <v>56430</v>
      </c>
      <c r="H7" s="531"/>
      <c r="I7" s="530">
        <v>3429000</v>
      </c>
      <c r="J7" s="569"/>
      <c r="K7" s="569"/>
      <c r="L7" s="569"/>
      <c r="M7" s="570">
        <f t="shared" si="1"/>
        <v>259457236</v>
      </c>
    </row>
    <row r="8" spans="1:13" ht="33.75" customHeight="1" x14ac:dyDescent="0.3">
      <c r="A8" s="502" t="s">
        <v>13</v>
      </c>
      <c r="B8" s="503" t="s">
        <v>776</v>
      </c>
      <c r="C8" s="504" t="s">
        <v>775</v>
      </c>
      <c r="D8" s="524">
        <v>8909833</v>
      </c>
      <c r="E8" s="525">
        <v>2335439</v>
      </c>
      <c r="F8" s="525">
        <v>2280000</v>
      </c>
      <c r="G8" s="526"/>
      <c r="H8" s="526"/>
      <c r="I8" s="525"/>
      <c r="J8" s="567"/>
      <c r="K8" s="567"/>
      <c r="L8" s="567"/>
      <c r="M8" s="568">
        <f t="shared" ref="M8:M19" si="2">SUM(D8:L8)</f>
        <v>13525272</v>
      </c>
    </row>
    <row r="9" spans="1:13" ht="65.25" customHeight="1" x14ac:dyDescent="0.3">
      <c r="A9" s="502"/>
      <c r="B9" s="503" t="s">
        <v>860</v>
      </c>
      <c r="C9" s="504"/>
      <c r="D9" s="524">
        <f>D10-D8</f>
        <v>244800</v>
      </c>
      <c r="E9" s="524">
        <f t="shared" ref="E9:L9" si="3">E10-E8</f>
        <v>26180</v>
      </c>
      <c r="F9" s="524">
        <f t="shared" si="3"/>
        <v>-334000</v>
      </c>
      <c r="G9" s="524">
        <f t="shared" si="3"/>
        <v>0</v>
      </c>
      <c r="H9" s="524">
        <f t="shared" si="3"/>
        <v>0</v>
      </c>
      <c r="I9" s="524">
        <f t="shared" si="3"/>
        <v>0</v>
      </c>
      <c r="J9" s="524">
        <f t="shared" si="3"/>
        <v>0</v>
      </c>
      <c r="K9" s="524">
        <f t="shared" si="3"/>
        <v>0</v>
      </c>
      <c r="L9" s="524">
        <f t="shared" si="3"/>
        <v>0</v>
      </c>
      <c r="M9" s="568">
        <f t="shared" si="2"/>
        <v>-63020</v>
      </c>
    </row>
    <row r="10" spans="1:13" s="84" customFormat="1" ht="65.25" customHeight="1" x14ac:dyDescent="0.35">
      <c r="A10" s="499"/>
      <c r="B10" s="509" t="s">
        <v>859</v>
      </c>
      <c r="C10" s="510"/>
      <c r="D10" s="529">
        <v>9154633</v>
      </c>
      <c r="E10" s="530">
        <v>2361619</v>
      </c>
      <c r="F10" s="530">
        <v>1946000</v>
      </c>
      <c r="G10" s="531"/>
      <c r="H10" s="531"/>
      <c r="I10" s="530"/>
      <c r="J10" s="569"/>
      <c r="K10" s="569"/>
      <c r="L10" s="569"/>
      <c r="M10" s="568">
        <f t="shared" si="2"/>
        <v>13462252</v>
      </c>
    </row>
    <row r="11" spans="1:13" ht="31.5" customHeight="1" x14ac:dyDescent="0.3">
      <c r="A11" s="502" t="s">
        <v>16</v>
      </c>
      <c r="B11" s="503" t="s">
        <v>463</v>
      </c>
      <c r="C11" s="504" t="s">
        <v>464</v>
      </c>
      <c r="D11" s="524"/>
      <c r="E11" s="525"/>
      <c r="F11" s="525"/>
      <c r="G11" s="526"/>
      <c r="H11" s="526"/>
      <c r="I11" s="525"/>
      <c r="J11" s="567"/>
      <c r="K11" s="567"/>
      <c r="L11" s="508"/>
      <c r="M11" s="568">
        <f t="shared" si="2"/>
        <v>0</v>
      </c>
    </row>
    <row r="12" spans="1:13" ht="65.25" customHeight="1" x14ac:dyDescent="0.3">
      <c r="A12" s="502"/>
      <c r="B12" s="503" t="s">
        <v>860</v>
      </c>
      <c r="C12" s="504"/>
      <c r="D12" s="524"/>
      <c r="E12" s="525"/>
      <c r="F12" s="525"/>
      <c r="G12" s="526"/>
      <c r="H12" s="526"/>
      <c r="I12" s="525"/>
      <c r="J12" s="567"/>
      <c r="K12" s="567"/>
      <c r="L12" s="567"/>
      <c r="M12" s="568"/>
    </row>
    <row r="13" spans="1:13" s="84" customFormat="1" ht="65.25" customHeight="1" x14ac:dyDescent="0.35">
      <c r="A13" s="499"/>
      <c r="B13" s="509" t="s">
        <v>859</v>
      </c>
      <c r="C13" s="510"/>
      <c r="D13" s="529"/>
      <c r="E13" s="530"/>
      <c r="F13" s="530"/>
      <c r="G13" s="531"/>
      <c r="H13" s="531"/>
      <c r="I13" s="530"/>
      <c r="J13" s="569"/>
      <c r="K13" s="569"/>
      <c r="L13" s="569"/>
      <c r="M13" s="570"/>
    </row>
    <row r="14" spans="1:13" ht="31.5" customHeight="1" x14ac:dyDescent="0.3">
      <c r="A14" s="502" t="s">
        <v>19</v>
      </c>
      <c r="B14" s="503" t="s">
        <v>779</v>
      </c>
      <c r="C14" s="504" t="s">
        <v>777</v>
      </c>
      <c r="D14" s="524">
        <v>5883261</v>
      </c>
      <c r="E14" s="525">
        <v>1510522</v>
      </c>
      <c r="F14" s="525">
        <v>1020000</v>
      </c>
      <c r="G14" s="526"/>
      <c r="H14" s="526"/>
      <c r="I14" s="525">
        <v>635000</v>
      </c>
      <c r="J14" s="567"/>
      <c r="K14" s="567"/>
      <c r="L14" s="567"/>
      <c r="M14" s="568">
        <f t="shared" si="2"/>
        <v>9048783</v>
      </c>
    </row>
    <row r="15" spans="1:13" ht="65.25" customHeight="1" x14ac:dyDescent="0.3">
      <c r="A15" s="502"/>
      <c r="B15" s="503" t="s">
        <v>860</v>
      </c>
      <c r="C15" s="504"/>
      <c r="D15" s="524">
        <f>D16-D14</f>
        <v>167528</v>
      </c>
      <c r="E15" s="524">
        <f t="shared" ref="E15:L15" si="4">E16-E14</f>
        <v>15312</v>
      </c>
      <c r="F15" s="524">
        <f t="shared" si="4"/>
        <v>43189</v>
      </c>
      <c r="G15" s="524">
        <f t="shared" si="4"/>
        <v>0</v>
      </c>
      <c r="H15" s="524">
        <f t="shared" si="4"/>
        <v>0</v>
      </c>
      <c r="I15" s="524">
        <f t="shared" si="4"/>
        <v>0</v>
      </c>
      <c r="J15" s="524">
        <f t="shared" si="4"/>
        <v>0</v>
      </c>
      <c r="K15" s="524">
        <f t="shared" si="4"/>
        <v>0</v>
      </c>
      <c r="L15" s="524">
        <f t="shared" si="4"/>
        <v>0</v>
      </c>
      <c r="M15" s="568">
        <f t="shared" si="2"/>
        <v>226029</v>
      </c>
    </row>
    <row r="16" spans="1:13" s="84" customFormat="1" ht="65.25" customHeight="1" x14ac:dyDescent="0.35">
      <c r="A16" s="499"/>
      <c r="B16" s="509" t="s">
        <v>859</v>
      </c>
      <c r="C16" s="510"/>
      <c r="D16" s="529">
        <v>6050789</v>
      </c>
      <c r="E16" s="530">
        <v>1525834</v>
      </c>
      <c r="F16" s="530">
        <v>1063189</v>
      </c>
      <c r="G16" s="531"/>
      <c r="H16" s="531"/>
      <c r="I16" s="530">
        <v>635000</v>
      </c>
      <c r="J16" s="569"/>
      <c r="K16" s="569"/>
      <c r="L16" s="569"/>
      <c r="M16" s="570">
        <f t="shared" si="2"/>
        <v>9274812</v>
      </c>
    </row>
    <row r="17" spans="1:13" ht="43.5" customHeight="1" x14ac:dyDescent="0.3">
      <c r="A17" s="502" t="s">
        <v>22</v>
      </c>
      <c r="B17" s="503" t="s">
        <v>780</v>
      </c>
      <c r="C17" s="504" t="s">
        <v>778</v>
      </c>
      <c r="D17" s="524"/>
      <c r="E17" s="525"/>
      <c r="F17" s="525"/>
      <c r="G17" s="526">
        <v>677160</v>
      </c>
      <c r="H17" s="526"/>
      <c r="I17" s="525"/>
      <c r="J17" s="567"/>
      <c r="K17" s="567"/>
      <c r="L17" s="508"/>
      <c r="M17" s="568">
        <f t="shared" si="2"/>
        <v>677160</v>
      </c>
    </row>
    <row r="18" spans="1:13" ht="65.25" customHeight="1" x14ac:dyDescent="0.3">
      <c r="A18" s="502"/>
      <c r="B18" s="503" t="s">
        <v>860</v>
      </c>
      <c r="C18" s="504"/>
      <c r="D18" s="524"/>
      <c r="E18" s="525"/>
      <c r="F18" s="525"/>
      <c r="G18" s="526"/>
      <c r="H18" s="526"/>
      <c r="I18" s="525"/>
      <c r="J18" s="567"/>
      <c r="K18" s="567"/>
      <c r="L18" s="567"/>
      <c r="M18" s="568">
        <f t="shared" si="2"/>
        <v>0</v>
      </c>
    </row>
    <row r="19" spans="1:13" s="84" customFormat="1" ht="65.25" customHeight="1" x14ac:dyDescent="0.35">
      <c r="A19" s="499"/>
      <c r="B19" s="509" t="s">
        <v>859</v>
      </c>
      <c r="C19" s="510"/>
      <c r="D19" s="529"/>
      <c r="E19" s="530"/>
      <c r="F19" s="530"/>
      <c r="G19" s="531">
        <v>733590</v>
      </c>
      <c r="H19" s="531"/>
      <c r="I19" s="530"/>
      <c r="J19" s="569"/>
      <c r="K19" s="569"/>
      <c r="L19" s="569"/>
      <c r="M19" s="570">
        <f t="shared" si="2"/>
        <v>733590</v>
      </c>
    </row>
    <row r="20" spans="1:13" s="84" customFormat="1" ht="33" customHeight="1" x14ac:dyDescent="0.35">
      <c r="A20" s="566" t="s">
        <v>25</v>
      </c>
      <c r="B20" s="517" t="s">
        <v>408</v>
      </c>
      <c r="C20" s="518"/>
      <c r="D20" s="529">
        <f>D19+D16+D13+D10+D7</f>
        <v>181257737</v>
      </c>
      <c r="E20" s="529">
        <f t="shared" ref="E20:M20" si="5">E19+E16+E13+E10+E7</f>
        <v>42997920</v>
      </c>
      <c r="F20" s="529">
        <f t="shared" si="5"/>
        <v>53818213</v>
      </c>
      <c r="G20" s="529">
        <f t="shared" si="5"/>
        <v>790020</v>
      </c>
      <c r="H20" s="529">
        <f t="shared" si="5"/>
        <v>0</v>
      </c>
      <c r="I20" s="529">
        <f t="shared" si="5"/>
        <v>4064000</v>
      </c>
      <c r="J20" s="529">
        <f t="shared" si="5"/>
        <v>0</v>
      </c>
      <c r="K20" s="529">
        <f t="shared" si="5"/>
        <v>0</v>
      </c>
      <c r="L20" s="529">
        <f t="shared" si="5"/>
        <v>0</v>
      </c>
      <c r="M20" s="529">
        <f t="shared" si="5"/>
        <v>282927890</v>
      </c>
    </row>
    <row r="21" spans="1:13" ht="21" customHeight="1" x14ac:dyDescent="0.3">
      <c r="A21" s="85"/>
      <c r="B21" s="86"/>
      <c r="C21" s="86"/>
      <c r="D21" s="87"/>
      <c r="E21" s="88"/>
      <c r="F21" s="87"/>
      <c r="G21" s="87"/>
      <c r="H21" s="87"/>
      <c r="I21" s="89"/>
    </row>
    <row r="22" spans="1:13" ht="42" customHeight="1" x14ac:dyDescent="0.3">
      <c r="A22" s="85"/>
      <c r="B22" s="90"/>
      <c r="C22" s="91"/>
      <c r="D22" s="92"/>
      <c r="E22" s="88"/>
      <c r="F22" s="88"/>
      <c r="G22" s="87"/>
      <c r="H22" s="87"/>
      <c r="I22" s="87"/>
    </row>
    <row r="23" spans="1:13" ht="42" customHeight="1" x14ac:dyDescent="0.3">
      <c r="A23" s="93"/>
      <c r="B23" s="94"/>
      <c r="C23" s="95"/>
      <c r="D23" s="96"/>
      <c r="E23" s="78"/>
      <c r="F23" s="78"/>
      <c r="G23" s="79"/>
      <c r="H23" s="79"/>
      <c r="I23" s="79"/>
    </row>
    <row r="24" spans="1:13" ht="14" x14ac:dyDescent="0.3">
      <c r="A24" s="75"/>
      <c r="B24" s="76"/>
      <c r="C24" s="76"/>
      <c r="D24" s="77"/>
      <c r="E24" s="77"/>
      <c r="F24" s="77"/>
      <c r="G24" s="77"/>
      <c r="H24" s="77"/>
      <c r="I24" s="77"/>
    </row>
    <row r="25" spans="1:13" s="98" customFormat="1" ht="14" x14ac:dyDescent="0.3">
      <c r="A25" s="75"/>
      <c r="B25" s="76"/>
      <c r="C25" s="76"/>
      <c r="D25" s="77"/>
      <c r="E25" s="78"/>
      <c r="F25" s="97"/>
      <c r="G25" s="97"/>
      <c r="H25" s="97"/>
      <c r="I25" s="97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16/2017. (IX.04.)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topLeftCell="C1" zoomScaleNormal="87" zoomScaleSheetLayoutView="100" workbookViewId="0">
      <selection activeCell="A5" sqref="A5:H5"/>
    </sheetView>
  </sheetViews>
  <sheetFormatPr defaultRowHeight="13" x14ac:dyDescent="0.3"/>
  <cols>
    <col min="1" max="1" width="6.796875" style="138" customWidth="1"/>
    <col min="2" max="2" width="66.796875" style="139" customWidth="1"/>
    <col min="3" max="3" width="8.19921875" style="139" customWidth="1"/>
    <col min="4" max="6" width="16.296875" style="108" customWidth="1"/>
    <col min="7" max="7" width="14.5" style="349" customWidth="1"/>
    <col min="8" max="8" width="13.296875" style="349" bestFit="1" customWidth="1"/>
    <col min="9" max="256" width="9.296875" style="108"/>
    <col min="257" max="257" width="6.796875" style="108" customWidth="1"/>
    <col min="258" max="258" width="60.19921875" style="108" customWidth="1"/>
    <col min="259" max="259" width="8.19921875" style="108" customWidth="1"/>
    <col min="260" max="262" width="14.5" style="108" customWidth="1"/>
    <col min="263" max="512" width="9.296875" style="108"/>
    <col min="513" max="513" width="6.796875" style="108" customWidth="1"/>
    <col min="514" max="514" width="60.19921875" style="108" customWidth="1"/>
    <col min="515" max="515" width="8.19921875" style="108" customWidth="1"/>
    <col min="516" max="518" width="14.5" style="108" customWidth="1"/>
    <col min="519" max="768" width="9.296875" style="108"/>
    <col min="769" max="769" width="6.796875" style="108" customWidth="1"/>
    <col min="770" max="770" width="60.19921875" style="108" customWidth="1"/>
    <col min="771" max="771" width="8.19921875" style="108" customWidth="1"/>
    <col min="772" max="774" width="14.5" style="108" customWidth="1"/>
    <col min="775" max="1024" width="9.296875" style="108"/>
    <col min="1025" max="1025" width="6.796875" style="108" customWidth="1"/>
    <col min="1026" max="1026" width="60.19921875" style="108" customWidth="1"/>
    <col min="1027" max="1027" width="8.19921875" style="108" customWidth="1"/>
    <col min="1028" max="1030" width="14.5" style="108" customWidth="1"/>
    <col min="1031" max="1280" width="9.296875" style="108"/>
    <col min="1281" max="1281" width="6.796875" style="108" customWidth="1"/>
    <col min="1282" max="1282" width="60.19921875" style="108" customWidth="1"/>
    <col min="1283" max="1283" width="8.19921875" style="108" customWidth="1"/>
    <col min="1284" max="1286" width="14.5" style="108" customWidth="1"/>
    <col min="1287" max="1536" width="9.296875" style="108"/>
    <col min="1537" max="1537" width="6.796875" style="108" customWidth="1"/>
    <col min="1538" max="1538" width="60.19921875" style="108" customWidth="1"/>
    <col min="1539" max="1539" width="8.19921875" style="108" customWidth="1"/>
    <col min="1540" max="1542" width="14.5" style="108" customWidth="1"/>
    <col min="1543" max="1792" width="9.296875" style="108"/>
    <col min="1793" max="1793" width="6.796875" style="108" customWidth="1"/>
    <col min="1794" max="1794" width="60.19921875" style="108" customWidth="1"/>
    <col min="1795" max="1795" width="8.19921875" style="108" customWidth="1"/>
    <col min="1796" max="1798" width="14.5" style="108" customWidth="1"/>
    <col min="1799" max="2048" width="9.296875" style="108"/>
    <col min="2049" max="2049" width="6.796875" style="108" customWidth="1"/>
    <col min="2050" max="2050" width="60.19921875" style="108" customWidth="1"/>
    <col min="2051" max="2051" width="8.19921875" style="108" customWidth="1"/>
    <col min="2052" max="2054" width="14.5" style="108" customWidth="1"/>
    <col min="2055" max="2304" width="9.296875" style="108"/>
    <col min="2305" max="2305" width="6.796875" style="108" customWidth="1"/>
    <col min="2306" max="2306" width="60.19921875" style="108" customWidth="1"/>
    <col min="2307" max="2307" width="8.19921875" style="108" customWidth="1"/>
    <col min="2308" max="2310" width="14.5" style="108" customWidth="1"/>
    <col min="2311" max="2560" width="9.296875" style="108"/>
    <col min="2561" max="2561" width="6.796875" style="108" customWidth="1"/>
    <col min="2562" max="2562" width="60.19921875" style="108" customWidth="1"/>
    <col min="2563" max="2563" width="8.19921875" style="108" customWidth="1"/>
    <col min="2564" max="2566" width="14.5" style="108" customWidth="1"/>
    <col min="2567" max="2816" width="9.296875" style="108"/>
    <col min="2817" max="2817" width="6.796875" style="108" customWidth="1"/>
    <col min="2818" max="2818" width="60.19921875" style="108" customWidth="1"/>
    <col min="2819" max="2819" width="8.19921875" style="108" customWidth="1"/>
    <col min="2820" max="2822" width="14.5" style="108" customWidth="1"/>
    <col min="2823" max="3072" width="9.296875" style="108"/>
    <col min="3073" max="3073" width="6.796875" style="108" customWidth="1"/>
    <col min="3074" max="3074" width="60.19921875" style="108" customWidth="1"/>
    <col min="3075" max="3075" width="8.19921875" style="108" customWidth="1"/>
    <col min="3076" max="3078" width="14.5" style="108" customWidth="1"/>
    <col min="3079" max="3328" width="9.296875" style="108"/>
    <col min="3329" max="3329" width="6.796875" style="108" customWidth="1"/>
    <col min="3330" max="3330" width="60.19921875" style="108" customWidth="1"/>
    <col min="3331" max="3331" width="8.19921875" style="108" customWidth="1"/>
    <col min="3332" max="3334" width="14.5" style="108" customWidth="1"/>
    <col min="3335" max="3584" width="9.296875" style="108"/>
    <col min="3585" max="3585" width="6.796875" style="108" customWidth="1"/>
    <col min="3586" max="3586" width="60.19921875" style="108" customWidth="1"/>
    <col min="3587" max="3587" width="8.19921875" style="108" customWidth="1"/>
    <col min="3588" max="3590" width="14.5" style="108" customWidth="1"/>
    <col min="3591" max="3840" width="9.296875" style="108"/>
    <col min="3841" max="3841" width="6.796875" style="108" customWidth="1"/>
    <col min="3842" max="3842" width="60.19921875" style="108" customWidth="1"/>
    <col min="3843" max="3843" width="8.19921875" style="108" customWidth="1"/>
    <col min="3844" max="3846" width="14.5" style="108" customWidth="1"/>
    <col min="3847" max="4096" width="9.296875" style="108"/>
    <col min="4097" max="4097" width="6.796875" style="108" customWidth="1"/>
    <col min="4098" max="4098" width="60.19921875" style="108" customWidth="1"/>
    <col min="4099" max="4099" width="8.19921875" style="108" customWidth="1"/>
    <col min="4100" max="4102" width="14.5" style="108" customWidth="1"/>
    <col min="4103" max="4352" width="9.296875" style="108"/>
    <col min="4353" max="4353" width="6.796875" style="108" customWidth="1"/>
    <col min="4354" max="4354" width="60.19921875" style="108" customWidth="1"/>
    <col min="4355" max="4355" width="8.19921875" style="108" customWidth="1"/>
    <col min="4356" max="4358" width="14.5" style="108" customWidth="1"/>
    <col min="4359" max="4608" width="9.296875" style="108"/>
    <col min="4609" max="4609" width="6.796875" style="108" customWidth="1"/>
    <col min="4610" max="4610" width="60.19921875" style="108" customWidth="1"/>
    <col min="4611" max="4611" width="8.19921875" style="108" customWidth="1"/>
    <col min="4612" max="4614" width="14.5" style="108" customWidth="1"/>
    <col min="4615" max="4864" width="9.296875" style="108"/>
    <col min="4865" max="4865" width="6.796875" style="108" customWidth="1"/>
    <col min="4866" max="4866" width="60.19921875" style="108" customWidth="1"/>
    <col min="4867" max="4867" width="8.19921875" style="108" customWidth="1"/>
    <col min="4868" max="4870" width="14.5" style="108" customWidth="1"/>
    <col min="4871" max="5120" width="9.296875" style="108"/>
    <col min="5121" max="5121" width="6.796875" style="108" customWidth="1"/>
    <col min="5122" max="5122" width="60.19921875" style="108" customWidth="1"/>
    <col min="5123" max="5123" width="8.19921875" style="108" customWidth="1"/>
    <col min="5124" max="5126" width="14.5" style="108" customWidth="1"/>
    <col min="5127" max="5376" width="9.296875" style="108"/>
    <col min="5377" max="5377" width="6.796875" style="108" customWidth="1"/>
    <col min="5378" max="5378" width="60.19921875" style="108" customWidth="1"/>
    <col min="5379" max="5379" width="8.19921875" style="108" customWidth="1"/>
    <col min="5380" max="5382" width="14.5" style="108" customWidth="1"/>
    <col min="5383" max="5632" width="9.296875" style="108"/>
    <col min="5633" max="5633" width="6.796875" style="108" customWidth="1"/>
    <col min="5634" max="5634" width="60.19921875" style="108" customWidth="1"/>
    <col min="5635" max="5635" width="8.19921875" style="108" customWidth="1"/>
    <col min="5636" max="5638" width="14.5" style="108" customWidth="1"/>
    <col min="5639" max="5888" width="9.296875" style="108"/>
    <col min="5889" max="5889" width="6.796875" style="108" customWidth="1"/>
    <col min="5890" max="5890" width="60.19921875" style="108" customWidth="1"/>
    <col min="5891" max="5891" width="8.19921875" style="108" customWidth="1"/>
    <col min="5892" max="5894" width="14.5" style="108" customWidth="1"/>
    <col min="5895" max="6144" width="9.296875" style="108"/>
    <col min="6145" max="6145" width="6.796875" style="108" customWidth="1"/>
    <col min="6146" max="6146" width="60.19921875" style="108" customWidth="1"/>
    <col min="6147" max="6147" width="8.19921875" style="108" customWidth="1"/>
    <col min="6148" max="6150" width="14.5" style="108" customWidth="1"/>
    <col min="6151" max="6400" width="9.296875" style="108"/>
    <col min="6401" max="6401" width="6.796875" style="108" customWidth="1"/>
    <col min="6402" max="6402" width="60.19921875" style="108" customWidth="1"/>
    <col min="6403" max="6403" width="8.19921875" style="108" customWidth="1"/>
    <col min="6404" max="6406" width="14.5" style="108" customWidth="1"/>
    <col min="6407" max="6656" width="9.296875" style="108"/>
    <col min="6657" max="6657" width="6.796875" style="108" customWidth="1"/>
    <col min="6658" max="6658" width="60.19921875" style="108" customWidth="1"/>
    <col min="6659" max="6659" width="8.19921875" style="108" customWidth="1"/>
    <col min="6660" max="6662" width="14.5" style="108" customWidth="1"/>
    <col min="6663" max="6912" width="9.296875" style="108"/>
    <col min="6913" max="6913" width="6.796875" style="108" customWidth="1"/>
    <col min="6914" max="6914" width="60.19921875" style="108" customWidth="1"/>
    <col min="6915" max="6915" width="8.19921875" style="108" customWidth="1"/>
    <col min="6916" max="6918" width="14.5" style="108" customWidth="1"/>
    <col min="6919" max="7168" width="9.296875" style="108"/>
    <col min="7169" max="7169" width="6.796875" style="108" customWidth="1"/>
    <col min="7170" max="7170" width="60.19921875" style="108" customWidth="1"/>
    <col min="7171" max="7171" width="8.19921875" style="108" customWidth="1"/>
    <col min="7172" max="7174" width="14.5" style="108" customWidth="1"/>
    <col min="7175" max="7424" width="9.296875" style="108"/>
    <col min="7425" max="7425" width="6.796875" style="108" customWidth="1"/>
    <col min="7426" max="7426" width="60.19921875" style="108" customWidth="1"/>
    <col min="7427" max="7427" width="8.19921875" style="108" customWidth="1"/>
    <col min="7428" max="7430" width="14.5" style="108" customWidth="1"/>
    <col min="7431" max="7680" width="9.296875" style="108"/>
    <col min="7681" max="7681" width="6.796875" style="108" customWidth="1"/>
    <col min="7682" max="7682" width="60.19921875" style="108" customWidth="1"/>
    <col min="7683" max="7683" width="8.19921875" style="108" customWidth="1"/>
    <col min="7684" max="7686" width="14.5" style="108" customWidth="1"/>
    <col min="7687" max="7936" width="9.296875" style="108"/>
    <col min="7937" max="7937" width="6.796875" style="108" customWidth="1"/>
    <col min="7938" max="7938" width="60.19921875" style="108" customWidth="1"/>
    <col min="7939" max="7939" width="8.19921875" style="108" customWidth="1"/>
    <col min="7940" max="7942" width="14.5" style="108" customWidth="1"/>
    <col min="7943" max="8192" width="9.296875" style="108"/>
    <col min="8193" max="8193" width="6.796875" style="108" customWidth="1"/>
    <col min="8194" max="8194" width="60.19921875" style="108" customWidth="1"/>
    <col min="8195" max="8195" width="8.19921875" style="108" customWidth="1"/>
    <col min="8196" max="8198" width="14.5" style="108" customWidth="1"/>
    <col min="8199" max="8448" width="9.296875" style="108"/>
    <col min="8449" max="8449" width="6.796875" style="108" customWidth="1"/>
    <col min="8450" max="8450" width="60.19921875" style="108" customWidth="1"/>
    <col min="8451" max="8451" width="8.19921875" style="108" customWidth="1"/>
    <col min="8452" max="8454" width="14.5" style="108" customWidth="1"/>
    <col min="8455" max="8704" width="9.296875" style="108"/>
    <col min="8705" max="8705" width="6.796875" style="108" customWidth="1"/>
    <col min="8706" max="8706" width="60.19921875" style="108" customWidth="1"/>
    <col min="8707" max="8707" width="8.19921875" style="108" customWidth="1"/>
    <col min="8708" max="8710" width="14.5" style="108" customWidth="1"/>
    <col min="8711" max="8960" width="9.296875" style="108"/>
    <col min="8961" max="8961" width="6.796875" style="108" customWidth="1"/>
    <col min="8962" max="8962" width="60.19921875" style="108" customWidth="1"/>
    <col min="8963" max="8963" width="8.19921875" style="108" customWidth="1"/>
    <col min="8964" max="8966" width="14.5" style="108" customWidth="1"/>
    <col min="8967" max="9216" width="9.296875" style="108"/>
    <col min="9217" max="9217" width="6.796875" style="108" customWidth="1"/>
    <col min="9218" max="9218" width="60.19921875" style="108" customWidth="1"/>
    <col min="9219" max="9219" width="8.19921875" style="108" customWidth="1"/>
    <col min="9220" max="9222" width="14.5" style="108" customWidth="1"/>
    <col min="9223" max="9472" width="9.296875" style="108"/>
    <col min="9473" max="9473" width="6.796875" style="108" customWidth="1"/>
    <col min="9474" max="9474" width="60.19921875" style="108" customWidth="1"/>
    <col min="9475" max="9475" width="8.19921875" style="108" customWidth="1"/>
    <col min="9476" max="9478" width="14.5" style="108" customWidth="1"/>
    <col min="9479" max="9728" width="9.296875" style="108"/>
    <col min="9729" max="9729" width="6.796875" style="108" customWidth="1"/>
    <col min="9730" max="9730" width="60.19921875" style="108" customWidth="1"/>
    <col min="9731" max="9731" width="8.19921875" style="108" customWidth="1"/>
    <col min="9732" max="9734" width="14.5" style="108" customWidth="1"/>
    <col min="9735" max="9984" width="9.296875" style="108"/>
    <col min="9985" max="9985" width="6.796875" style="108" customWidth="1"/>
    <col min="9986" max="9986" width="60.19921875" style="108" customWidth="1"/>
    <col min="9987" max="9987" width="8.19921875" style="108" customWidth="1"/>
    <col min="9988" max="9990" width="14.5" style="108" customWidth="1"/>
    <col min="9991" max="10240" width="9.296875" style="108"/>
    <col min="10241" max="10241" width="6.796875" style="108" customWidth="1"/>
    <col min="10242" max="10242" width="60.19921875" style="108" customWidth="1"/>
    <col min="10243" max="10243" width="8.19921875" style="108" customWidth="1"/>
    <col min="10244" max="10246" width="14.5" style="108" customWidth="1"/>
    <col min="10247" max="10496" width="9.296875" style="108"/>
    <col min="10497" max="10497" width="6.796875" style="108" customWidth="1"/>
    <col min="10498" max="10498" width="60.19921875" style="108" customWidth="1"/>
    <col min="10499" max="10499" width="8.19921875" style="108" customWidth="1"/>
    <col min="10500" max="10502" width="14.5" style="108" customWidth="1"/>
    <col min="10503" max="10752" width="9.296875" style="108"/>
    <col min="10753" max="10753" width="6.796875" style="108" customWidth="1"/>
    <col min="10754" max="10754" width="60.19921875" style="108" customWidth="1"/>
    <col min="10755" max="10755" width="8.19921875" style="108" customWidth="1"/>
    <col min="10756" max="10758" width="14.5" style="108" customWidth="1"/>
    <col min="10759" max="11008" width="9.296875" style="108"/>
    <col min="11009" max="11009" width="6.796875" style="108" customWidth="1"/>
    <col min="11010" max="11010" width="60.19921875" style="108" customWidth="1"/>
    <col min="11011" max="11011" width="8.19921875" style="108" customWidth="1"/>
    <col min="11012" max="11014" width="14.5" style="108" customWidth="1"/>
    <col min="11015" max="11264" width="9.296875" style="108"/>
    <col min="11265" max="11265" width="6.796875" style="108" customWidth="1"/>
    <col min="11266" max="11266" width="60.19921875" style="108" customWidth="1"/>
    <col min="11267" max="11267" width="8.19921875" style="108" customWidth="1"/>
    <col min="11268" max="11270" width="14.5" style="108" customWidth="1"/>
    <col min="11271" max="11520" width="9.296875" style="108"/>
    <col min="11521" max="11521" width="6.796875" style="108" customWidth="1"/>
    <col min="11522" max="11522" width="60.19921875" style="108" customWidth="1"/>
    <col min="11523" max="11523" width="8.19921875" style="108" customWidth="1"/>
    <col min="11524" max="11526" width="14.5" style="108" customWidth="1"/>
    <col min="11527" max="11776" width="9.296875" style="108"/>
    <col min="11777" max="11777" width="6.796875" style="108" customWidth="1"/>
    <col min="11778" max="11778" width="60.19921875" style="108" customWidth="1"/>
    <col min="11779" max="11779" width="8.19921875" style="108" customWidth="1"/>
    <col min="11780" max="11782" width="14.5" style="108" customWidth="1"/>
    <col min="11783" max="12032" width="9.296875" style="108"/>
    <col min="12033" max="12033" width="6.796875" style="108" customWidth="1"/>
    <col min="12034" max="12034" width="60.19921875" style="108" customWidth="1"/>
    <col min="12035" max="12035" width="8.19921875" style="108" customWidth="1"/>
    <col min="12036" max="12038" width="14.5" style="108" customWidth="1"/>
    <col min="12039" max="12288" width="9.296875" style="108"/>
    <col min="12289" max="12289" width="6.796875" style="108" customWidth="1"/>
    <col min="12290" max="12290" width="60.19921875" style="108" customWidth="1"/>
    <col min="12291" max="12291" width="8.19921875" style="108" customWidth="1"/>
    <col min="12292" max="12294" width="14.5" style="108" customWidth="1"/>
    <col min="12295" max="12544" width="9.296875" style="108"/>
    <col min="12545" max="12545" width="6.796875" style="108" customWidth="1"/>
    <col min="12546" max="12546" width="60.19921875" style="108" customWidth="1"/>
    <col min="12547" max="12547" width="8.19921875" style="108" customWidth="1"/>
    <col min="12548" max="12550" width="14.5" style="108" customWidth="1"/>
    <col min="12551" max="12800" width="9.296875" style="108"/>
    <col min="12801" max="12801" width="6.796875" style="108" customWidth="1"/>
    <col min="12802" max="12802" width="60.19921875" style="108" customWidth="1"/>
    <col min="12803" max="12803" width="8.19921875" style="108" customWidth="1"/>
    <col min="12804" max="12806" width="14.5" style="108" customWidth="1"/>
    <col min="12807" max="13056" width="9.296875" style="108"/>
    <col min="13057" max="13057" width="6.796875" style="108" customWidth="1"/>
    <col min="13058" max="13058" width="60.19921875" style="108" customWidth="1"/>
    <col min="13059" max="13059" width="8.19921875" style="108" customWidth="1"/>
    <col min="13060" max="13062" width="14.5" style="108" customWidth="1"/>
    <col min="13063" max="13312" width="9.296875" style="108"/>
    <col min="13313" max="13313" width="6.796875" style="108" customWidth="1"/>
    <col min="13314" max="13314" width="60.19921875" style="108" customWidth="1"/>
    <col min="13315" max="13315" width="8.19921875" style="108" customWidth="1"/>
    <col min="13316" max="13318" width="14.5" style="108" customWidth="1"/>
    <col min="13319" max="13568" width="9.296875" style="108"/>
    <col min="13569" max="13569" width="6.796875" style="108" customWidth="1"/>
    <col min="13570" max="13570" width="60.19921875" style="108" customWidth="1"/>
    <col min="13571" max="13571" width="8.19921875" style="108" customWidth="1"/>
    <col min="13572" max="13574" width="14.5" style="108" customWidth="1"/>
    <col min="13575" max="13824" width="9.296875" style="108"/>
    <col min="13825" max="13825" width="6.796875" style="108" customWidth="1"/>
    <col min="13826" max="13826" width="60.19921875" style="108" customWidth="1"/>
    <col min="13827" max="13827" width="8.19921875" style="108" customWidth="1"/>
    <col min="13828" max="13830" width="14.5" style="108" customWidth="1"/>
    <col min="13831" max="14080" width="9.296875" style="108"/>
    <col min="14081" max="14081" width="6.796875" style="108" customWidth="1"/>
    <col min="14082" max="14082" width="60.19921875" style="108" customWidth="1"/>
    <col min="14083" max="14083" width="8.19921875" style="108" customWidth="1"/>
    <col min="14084" max="14086" width="14.5" style="108" customWidth="1"/>
    <col min="14087" max="14336" width="9.296875" style="108"/>
    <col min="14337" max="14337" width="6.796875" style="108" customWidth="1"/>
    <col min="14338" max="14338" width="60.19921875" style="108" customWidth="1"/>
    <col min="14339" max="14339" width="8.19921875" style="108" customWidth="1"/>
    <col min="14340" max="14342" width="14.5" style="108" customWidth="1"/>
    <col min="14343" max="14592" width="9.296875" style="108"/>
    <col min="14593" max="14593" width="6.796875" style="108" customWidth="1"/>
    <col min="14594" max="14594" width="60.19921875" style="108" customWidth="1"/>
    <col min="14595" max="14595" width="8.19921875" style="108" customWidth="1"/>
    <col min="14596" max="14598" width="14.5" style="108" customWidth="1"/>
    <col min="14599" max="14848" width="9.296875" style="108"/>
    <col min="14849" max="14849" width="6.796875" style="108" customWidth="1"/>
    <col min="14850" max="14850" width="60.19921875" style="108" customWidth="1"/>
    <col min="14851" max="14851" width="8.19921875" style="108" customWidth="1"/>
    <col min="14852" max="14854" width="14.5" style="108" customWidth="1"/>
    <col min="14855" max="15104" width="9.296875" style="108"/>
    <col min="15105" max="15105" width="6.796875" style="108" customWidth="1"/>
    <col min="15106" max="15106" width="60.19921875" style="108" customWidth="1"/>
    <col min="15107" max="15107" width="8.19921875" style="108" customWidth="1"/>
    <col min="15108" max="15110" width="14.5" style="108" customWidth="1"/>
    <col min="15111" max="15360" width="9.296875" style="108"/>
    <col min="15361" max="15361" width="6.796875" style="108" customWidth="1"/>
    <col min="15362" max="15362" width="60.19921875" style="108" customWidth="1"/>
    <col min="15363" max="15363" width="8.19921875" style="108" customWidth="1"/>
    <col min="15364" max="15366" width="14.5" style="108" customWidth="1"/>
    <col min="15367" max="15616" width="9.296875" style="108"/>
    <col min="15617" max="15617" width="6.796875" style="108" customWidth="1"/>
    <col min="15618" max="15618" width="60.19921875" style="108" customWidth="1"/>
    <col min="15619" max="15619" width="8.19921875" style="108" customWidth="1"/>
    <col min="15620" max="15622" width="14.5" style="108" customWidth="1"/>
    <col min="15623" max="15872" width="9.296875" style="108"/>
    <col min="15873" max="15873" width="6.796875" style="108" customWidth="1"/>
    <col min="15874" max="15874" width="60.19921875" style="108" customWidth="1"/>
    <col min="15875" max="15875" width="8.19921875" style="108" customWidth="1"/>
    <col min="15876" max="15878" width="14.5" style="108" customWidth="1"/>
    <col min="15879" max="16128" width="9.296875" style="108"/>
    <col min="16129" max="16129" width="6.796875" style="108" customWidth="1"/>
    <col min="16130" max="16130" width="60.19921875" style="108" customWidth="1"/>
    <col min="16131" max="16131" width="8.19921875" style="108" customWidth="1"/>
    <col min="16132" max="16134" width="14.5" style="108" customWidth="1"/>
    <col min="16135" max="16384" width="9.296875" style="108"/>
  </cols>
  <sheetData>
    <row r="1" spans="1:8" s="102" customFormat="1" ht="40.5" customHeight="1" x14ac:dyDescent="0.3">
      <c r="A1" s="760" t="s">
        <v>650</v>
      </c>
      <c r="B1" s="760"/>
      <c r="C1" s="760"/>
      <c r="D1" s="760"/>
      <c r="E1" s="760"/>
      <c r="F1" s="760"/>
      <c r="G1" s="760"/>
      <c r="H1" s="760"/>
    </row>
    <row r="2" spans="1:8" s="105" customFormat="1" ht="16" customHeight="1" x14ac:dyDescent="0.25">
      <c r="A2" s="103"/>
      <c r="B2" s="103"/>
      <c r="C2" s="104"/>
      <c r="D2" s="104"/>
      <c r="E2" s="104"/>
      <c r="G2" s="341"/>
      <c r="H2" s="104" t="s">
        <v>1</v>
      </c>
    </row>
    <row r="3" spans="1:8" ht="38.25" customHeight="1" x14ac:dyDescent="0.3">
      <c r="A3" s="106" t="s">
        <v>407</v>
      </c>
      <c r="B3" s="106" t="s">
        <v>475</v>
      </c>
      <c r="C3" s="405" t="s">
        <v>476</v>
      </c>
      <c r="D3" s="405" t="s">
        <v>477</v>
      </c>
      <c r="E3" s="405" t="s">
        <v>478</v>
      </c>
      <c r="F3" s="405" t="s">
        <v>268</v>
      </c>
      <c r="G3" s="340" t="s">
        <v>860</v>
      </c>
      <c r="H3" s="340" t="s">
        <v>859</v>
      </c>
    </row>
    <row r="4" spans="1:8" s="110" customFormat="1" ht="13" customHeight="1" x14ac:dyDescent="0.3">
      <c r="A4" s="109" t="s">
        <v>6</v>
      </c>
      <c r="B4" s="109" t="s">
        <v>7</v>
      </c>
      <c r="C4" s="109" t="s">
        <v>8</v>
      </c>
      <c r="D4" s="109" t="s">
        <v>9</v>
      </c>
      <c r="E4" s="109" t="s">
        <v>269</v>
      </c>
      <c r="F4" s="109" t="s">
        <v>479</v>
      </c>
      <c r="G4" s="343" t="s">
        <v>857</v>
      </c>
      <c r="H4" s="343" t="s">
        <v>862</v>
      </c>
    </row>
    <row r="5" spans="1:8" s="110" customFormat="1" ht="16" customHeight="1" x14ac:dyDescent="0.3">
      <c r="A5" s="766" t="s">
        <v>265</v>
      </c>
      <c r="B5" s="766"/>
      <c r="C5" s="766"/>
      <c r="D5" s="766"/>
      <c r="E5" s="766"/>
      <c r="F5" s="766"/>
      <c r="G5" s="766"/>
      <c r="H5" s="766"/>
    </row>
    <row r="6" spans="1:8" s="110" customFormat="1" ht="25.5" customHeight="1" x14ac:dyDescent="0.3">
      <c r="A6" s="266" t="s">
        <v>10</v>
      </c>
      <c r="B6" s="571" t="s">
        <v>480</v>
      </c>
      <c r="C6" s="266" t="s">
        <v>481</v>
      </c>
      <c r="D6" s="546"/>
      <c r="E6" s="546"/>
      <c r="F6" s="546">
        <f>SUM(D6:E6)</f>
        <v>0</v>
      </c>
      <c r="G6" s="343"/>
      <c r="H6" s="343"/>
    </row>
    <row r="7" spans="1:8" s="110" customFormat="1" ht="30" customHeight="1" x14ac:dyDescent="0.3">
      <c r="A7" s="266" t="s">
        <v>13</v>
      </c>
      <c r="B7" s="571" t="s">
        <v>482</v>
      </c>
      <c r="C7" s="266" t="s">
        <v>483</v>
      </c>
      <c r="D7" s="546"/>
      <c r="E7" s="546"/>
      <c r="F7" s="546">
        <f>SUM(D7:E7)</f>
        <v>0</v>
      </c>
      <c r="G7" s="343"/>
      <c r="H7" s="343"/>
    </row>
    <row r="8" spans="1:8" s="110" customFormat="1" ht="25.5" customHeight="1" x14ac:dyDescent="0.3">
      <c r="A8" s="266" t="s">
        <v>16</v>
      </c>
      <c r="B8" s="571" t="s">
        <v>484</v>
      </c>
      <c r="C8" s="536" t="s">
        <v>485</v>
      </c>
      <c r="D8" s="546">
        <v>640402</v>
      </c>
      <c r="E8" s="546"/>
      <c r="F8" s="546">
        <f>SUM(D8:E8)</f>
        <v>640402</v>
      </c>
      <c r="G8" s="343">
        <f>H8-F8</f>
        <v>6740711</v>
      </c>
      <c r="H8" s="343">
        <v>7381113</v>
      </c>
    </row>
    <row r="9" spans="1:8" s="110" customFormat="1" ht="25.5" customHeight="1" x14ac:dyDescent="0.3">
      <c r="A9" s="266" t="s">
        <v>19</v>
      </c>
      <c r="B9" s="571" t="s">
        <v>486</v>
      </c>
      <c r="C9" s="536" t="s">
        <v>487</v>
      </c>
      <c r="D9" s="546"/>
      <c r="E9" s="546"/>
      <c r="F9" s="546">
        <f>SUM(D9:E9)</f>
        <v>0</v>
      </c>
      <c r="G9" s="343"/>
      <c r="H9" s="343"/>
    </row>
    <row r="10" spans="1:8" s="110" customFormat="1" ht="27.75" customHeight="1" x14ac:dyDescent="0.3">
      <c r="A10" s="114" t="s">
        <v>22</v>
      </c>
      <c r="B10" s="572" t="s">
        <v>488</v>
      </c>
      <c r="C10" s="114" t="s">
        <v>36</v>
      </c>
      <c r="D10" s="546">
        <f>SUM(D6:D9)</f>
        <v>640402</v>
      </c>
      <c r="E10" s="546">
        <f>SUM(E6:E9)</f>
        <v>0</v>
      </c>
      <c r="F10" s="546">
        <f t="shared" ref="F10:F14" si="0">SUM(D10:E10)</f>
        <v>640402</v>
      </c>
      <c r="G10" s="546">
        <f>SUM(G8:G9)</f>
        <v>6740711</v>
      </c>
      <c r="H10" s="546">
        <f>SUM(H8:H9)</f>
        <v>7381113</v>
      </c>
    </row>
    <row r="11" spans="1:8" s="110" customFormat="1" ht="24.75" customHeight="1" x14ac:dyDescent="0.3">
      <c r="A11" s="266" t="s">
        <v>25</v>
      </c>
      <c r="B11" s="571" t="s">
        <v>489</v>
      </c>
      <c r="C11" s="266" t="s">
        <v>490</v>
      </c>
      <c r="D11" s="546"/>
      <c r="E11" s="546"/>
      <c r="F11" s="546">
        <f t="shared" si="0"/>
        <v>0</v>
      </c>
      <c r="G11" s="343"/>
      <c r="H11" s="343"/>
    </row>
    <row r="12" spans="1:8" s="110" customFormat="1" ht="30" customHeight="1" x14ac:dyDescent="0.3">
      <c r="A12" s="266" t="s">
        <v>28</v>
      </c>
      <c r="B12" s="571" t="s">
        <v>491</v>
      </c>
      <c r="C12" s="266" t="s">
        <v>492</v>
      </c>
      <c r="D12" s="546"/>
      <c r="E12" s="546"/>
      <c r="F12" s="546">
        <f t="shared" si="0"/>
        <v>0</v>
      </c>
      <c r="G12" s="343"/>
      <c r="H12" s="343"/>
    </row>
    <row r="13" spans="1:8" s="110" customFormat="1" ht="30" customHeight="1" x14ac:dyDescent="0.3">
      <c r="A13" s="266" t="s">
        <v>31</v>
      </c>
      <c r="B13" s="571" t="s">
        <v>493</v>
      </c>
      <c r="C13" s="266" t="s">
        <v>494</v>
      </c>
      <c r="D13" s="546"/>
      <c r="E13" s="546"/>
      <c r="F13" s="546">
        <f t="shared" si="0"/>
        <v>0</v>
      </c>
      <c r="G13" s="343"/>
      <c r="H13" s="343"/>
    </row>
    <row r="14" spans="1:8" s="110" customFormat="1" ht="30" customHeight="1" x14ac:dyDescent="0.3">
      <c r="A14" s="266" t="s">
        <v>34</v>
      </c>
      <c r="B14" s="571" t="s">
        <v>495</v>
      </c>
      <c r="C14" s="266" t="s">
        <v>496</v>
      </c>
      <c r="D14" s="546"/>
      <c r="E14" s="546"/>
      <c r="F14" s="546">
        <f t="shared" si="0"/>
        <v>0</v>
      </c>
      <c r="G14" s="343"/>
      <c r="H14" s="343"/>
    </row>
    <row r="15" spans="1:8" s="110" customFormat="1" ht="21.75" customHeight="1" x14ac:dyDescent="0.3">
      <c r="A15" s="114" t="s">
        <v>37</v>
      </c>
      <c r="B15" s="573" t="s">
        <v>456</v>
      </c>
      <c r="C15" s="263" t="s">
        <v>59</v>
      </c>
      <c r="D15" s="261">
        <f>SUM(D11:D14)</f>
        <v>0</v>
      </c>
      <c r="E15" s="261">
        <f>SUM(E11:E14)</f>
        <v>0</v>
      </c>
      <c r="F15" s="261">
        <f>SUM(F11:F14)</f>
        <v>0</v>
      </c>
      <c r="G15" s="261">
        <f t="shared" ref="G15:H15" si="1">SUM(G11:G14)</f>
        <v>0</v>
      </c>
      <c r="H15" s="261">
        <f t="shared" si="1"/>
        <v>0</v>
      </c>
    </row>
    <row r="16" spans="1:8" s="111" customFormat="1" ht="16.5" customHeight="1" x14ac:dyDescent="0.3">
      <c r="A16" s="266" t="s">
        <v>39</v>
      </c>
      <c r="B16" s="574" t="s">
        <v>111</v>
      </c>
      <c r="C16" s="548" t="s">
        <v>112</v>
      </c>
      <c r="D16" s="549"/>
      <c r="E16" s="549"/>
      <c r="F16" s="549">
        <f>SUM(D16:E16)</f>
        <v>0</v>
      </c>
      <c r="G16" s="344"/>
      <c r="H16" s="344"/>
    </row>
    <row r="17" spans="1:8" s="111" customFormat="1" ht="16.5" customHeight="1" x14ac:dyDescent="0.3">
      <c r="A17" s="266" t="s">
        <v>41</v>
      </c>
      <c r="B17" s="574" t="s">
        <v>114</v>
      </c>
      <c r="C17" s="548" t="s">
        <v>115</v>
      </c>
      <c r="D17" s="549">
        <v>700000</v>
      </c>
      <c r="E17" s="549"/>
      <c r="F17" s="549">
        <f>SUM(D17:E17)</f>
        <v>700000</v>
      </c>
      <c r="G17" s="344"/>
      <c r="H17" s="344">
        <v>700000</v>
      </c>
    </row>
    <row r="18" spans="1:8" s="111" customFormat="1" ht="16.5" customHeight="1" x14ac:dyDescent="0.3">
      <c r="A18" s="266" t="s">
        <v>43</v>
      </c>
      <c r="B18" s="574" t="s">
        <v>497</v>
      </c>
      <c r="C18" s="548" t="s">
        <v>118</v>
      </c>
      <c r="D18" s="549">
        <f>SUM(D19:D20)</f>
        <v>0</v>
      </c>
      <c r="E18" s="549">
        <f>SUM(E19:E20)</f>
        <v>0</v>
      </c>
      <c r="F18" s="549">
        <f>SUM(F19:F20)</f>
        <v>0</v>
      </c>
      <c r="G18" s="344"/>
      <c r="H18" s="344"/>
    </row>
    <row r="19" spans="1:8" s="111" customFormat="1" ht="16.5" customHeight="1" x14ac:dyDescent="0.3">
      <c r="A19" s="266" t="s">
        <v>45</v>
      </c>
      <c r="B19" s="575" t="s">
        <v>498</v>
      </c>
      <c r="C19" s="551" t="s">
        <v>499</v>
      </c>
      <c r="D19" s="552"/>
      <c r="E19" s="552"/>
      <c r="F19" s="552">
        <f>SUM(D19:E19)</f>
        <v>0</v>
      </c>
      <c r="G19" s="344"/>
      <c r="H19" s="344"/>
    </row>
    <row r="20" spans="1:8" s="112" customFormat="1" ht="16.5" customHeight="1" x14ac:dyDescent="0.3">
      <c r="A20" s="266" t="s">
        <v>47</v>
      </c>
      <c r="B20" s="575" t="s">
        <v>500</v>
      </c>
      <c r="C20" s="551" t="s">
        <v>501</v>
      </c>
      <c r="D20" s="552"/>
      <c r="E20" s="552"/>
      <c r="F20" s="552">
        <f>SUM(D20:E20)</f>
        <v>0</v>
      </c>
      <c r="G20" s="345"/>
      <c r="H20" s="345"/>
    </row>
    <row r="21" spans="1:8" s="112" customFormat="1" ht="16.5" customHeight="1" x14ac:dyDescent="0.3">
      <c r="A21" s="266" t="s">
        <v>49</v>
      </c>
      <c r="B21" s="576" t="s">
        <v>120</v>
      </c>
      <c r="C21" s="548" t="s">
        <v>121</v>
      </c>
      <c r="D21" s="552"/>
      <c r="E21" s="552"/>
      <c r="F21" s="552">
        <f>SUM(D21:E21)</f>
        <v>0</v>
      </c>
      <c r="G21" s="345"/>
      <c r="H21" s="345"/>
    </row>
    <row r="22" spans="1:8" s="111" customFormat="1" ht="16.5" customHeight="1" x14ac:dyDescent="0.3">
      <c r="A22" s="266" t="s">
        <v>51</v>
      </c>
      <c r="B22" s="574" t="s">
        <v>123</v>
      </c>
      <c r="C22" s="548" t="s">
        <v>124</v>
      </c>
      <c r="D22" s="549"/>
      <c r="E22" s="549"/>
      <c r="F22" s="552">
        <f t="shared" ref="F22:F28" si="2">SUM(D22:E22)</f>
        <v>0</v>
      </c>
      <c r="G22" s="344"/>
      <c r="H22" s="344"/>
    </row>
    <row r="23" spans="1:8" s="111" customFormat="1" ht="16.5" customHeight="1" x14ac:dyDescent="0.3">
      <c r="A23" s="266" t="s">
        <v>54</v>
      </c>
      <c r="B23" s="574" t="s">
        <v>502</v>
      </c>
      <c r="C23" s="548" t="s">
        <v>127</v>
      </c>
      <c r="D23" s="549"/>
      <c r="E23" s="549"/>
      <c r="F23" s="552">
        <f t="shared" si="2"/>
        <v>0</v>
      </c>
      <c r="G23" s="344"/>
      <c r="H23" s="344"/>
    </row>
    <row r="24" spans="1:8" s="112" customFormat="1" ht="16.5" customHeight="1" x14ac:dyDescent="0.3">
      <c r="A24" s="266" t="s">
        <v>57</v>
      </c>
      <c r="B24" s="574" t="s">
        <v>503</v>
      </c>
      <c r="C24" s="548" t="s">
        <v>130</v>
      </c>
      <c r="D24" s="549"/>
      <c r="E24" s="549"/>
      <c r="F24" s="552">
        <f t="shared" si="2"/>
        <v>0</v>
      </c>
      <c r="G24" s="345"/>
      <c r="H24" s="345"/>
    </row>
    <row r="25" spans="1:8" s="112" customFormat="1" ht="16.5" customHeight="1" x14ac:dyDescent="0.3">
      <c r="A25" s="266" t="s">
        <v>60</v>
      </c>
      <c r="B25" s="577" t="s">
        <v>132</v>
      </c>
      <c r="C25" s="548" t="s">
        <v>133</v>
      </c>
      <c r="D25" s="549"/>
      <c r="E25" s="549"/>
      <c r="F25" s="552">
        <f t="shared" si="2"/>
        <v>0</v>
      </c>
      <c r="G25" s="345">
        <f>H25-F25</f>
        <v>1166</v>
      </c>
      <c r="H25" s="345">
        <v>1166</v>
      </c>
    </row>
    <row r="26" spans="1:8" s="112" customFormat="1" ht="16.5" customHeight="1" x14ac:dyDescent="0.3">
      <c r="A26" s="266" t="s">
        <v>62</v>
      </c>
      <c r="B26" s="574" t="s">
        <v>504</v>
      </c>
      <c r="C26" s="548" t="s">
        <v>136</v>
      </c>
      <c r="D26" s="549"/>
      <c r="E26" s="549"/>
      <c r="F26" s="552">
        <f t="shared" si="2"/>
        <v>0</v>
      </c>
      <c r="G26" s="345"/>
      <c r="H26" s="345"/>
    </row>
    <row r="27" spans="1:8" s="112" customFormat="1" ht="16.5" customHeight="1" x14ac:dyDescent="0.3">
      <c r="A27" s="266" t="s">
        <v>64</v>
      </c>
      <c r="B27" s="574" t="s">
        <v>505</v>
      </c>
      <c r="C27" s="548" t="s">
        <v>139</v>
      </c>
      <c r="D27" s="549"/>
      <c r="E27" s="549"/>
      <c r="F27" s="552">
        <f t="shared" si="2"/>
        <v>0</v>
      </c>
      <c r="G27" s="345"/>
      <c r="H27" s="345"/>
    </row>
    <row r="28" spans="1:8" s="112" customFormat="1" ht="16.5" customHeight="1" x14ac:dyDescent="0.3">
      <c r="A28" s="266" t="s">
        <v>66</v>
      </c>
      <c r="B28" s="574" t="s">
        <v>141</v>
      </c>
      <c r="C28" s="548" t="s">
        <v>142</v>
      </c>
      <c r="D28" s="411"/>
      <c r="E28" s="411"/>
      <c r="F28" s="552">
        <f t="shared" si="2"/>
        <v>0</v>
      </c>
      <c r="G28" s="345"/>
      <c r="H28" s="345"/>
    </row>
    <row r="29" spans="1:8" s="112" customFormat="1" ht="21.75" customHeight="1" x14ac:dyDescent="0.3">
      <c r="A29" s="114" t="s">
        <v>68</v>
      </c>
      <c r="B29" s="270" t="s">
        <v>506</v>
      </c>
      <c r="C29" s="264" t="s">
        <v>145</v>
      </c>
      <c r="D29" s="117">
        <f>SUM(D16+D17+D18+D21+D22+D23+D24+D25+D26+D27+D28)</f>
        <v>700000</v>
      </c>
      <c r="E29" s="117">
        <f>SUM(E16+E17+E18+E21+E22+E23+E24+E25+E26+E27+E28)</f>
        <v>0</v>
      </c>
      <c r="F29" s="117">
        <f>SUM(F16+F17+F18+F21+F22+F23+F24+F25+F26+F27+F28)</f>
        <v>700000</v>
      </c>
      <c r="G29" s="117">
        <f t="shared" ref="G29:H29" si="3">SUM(G16+G17+G18+G21+G22+G23+G24+G25+G26+G27+G28)</f>
        <v>1166</v>
      </c>
      <c r="H29" s="117">
        <f t="shared" si="3"/>
        <v>701166</v>
      </c>
    </row>
    <row r="30" spans="1:8" s="113" customFormat="1" ht="21.75" customHeight="1" x14ac:dyDescent="0.3">
      <c r="A30" s="114" t="s">
        <v>70</v>
      </c>
      <c r="B30" s="270" t="s">
        <v>458</v>
      </c>
      <c r="C30" s="264" t="s">
        <v>163</v>
      </c>
      <c r="D30" s="117"/>
      <c r="E30" s="117"/>
      <c r="F30" s="117">
        <f>SUM(D30:E30)</f>
        <v>0</v>
      </c>
      <c r="G30" s="345"/>
      <c r="H30" s="345"/>
    </row>
    <row r="31" spans="1:8" s="112" customFormat="1" ht="21.75" customHeight="1" x14ac:dyDescent="0.3">
      <c r="A31" s="114" t="s">
        <v>72</v>
      </c>
      <c r="B31" s="270" t="s">
        <v>427</v>
      </c>
      <c r="C31" s="264" t="s">
        <v>172</v>
      </c>
      <c r="D31" s="265"/>
      <c r="E31" s="265"/>
      <c r="F31" s="265">
        <f>SUM(D31:E31)</f>
        <v>0</v>
      </c>
      <c r="G31" s="345">
        <v>45000</v>
      </c>
      <c r="H31" s="345">
        <v>45000</v>
      </c>
    </row>
    <row r="32" spans="1:8" s="112" customFormat="1" ht="21.75" customHeight="1" x14ac:dyDescent="0.3">
      <c r="A32" s="114" t="s">
        <v>75</v>
      </c>
      <c r="B32" s="270" t="s">
        <v>459</v>
      </c>
      <c r="C32" s="264" t="s">
        <v>181</v>
      </c>
      <c r="D32" s="265"/>
      <c r="E32" s="265"/>
      <c r="F32" s="265">
        <f>SUM(D32:E32)</f>
        <v>0</v>
      </c>
      <c r="G32" s="345"/>
      <c r="H32" s="345"/>
    </row>
    <row r="33" spans="1:8" s="112" customFormat="1" ht="21.75" customHeight="1" x14ac:dyDescent="0.3">
      <c r="A33" s="114" t="s">
        <v>78</v>
      </c>
      <c r="B33" s="270" t="s">
        <v>507</v>
      </c>
      <c r="C33" s="116"/>
      <c r="D33" s="117">
        <f>D10+D15+D29+D30+D31+D32</f>
        <v>1340402</v>
      </c>
      <c r="E33" s="117">
        <f>E10+E15+E29+E30+E31+E32</f>
        <v>0</v>
      </c>
      <c r="F33" s="117">
        <f>F10+F15+F29+F30+F31+F32</f>
        <v>1340402</v>
      </c>
      <c r="G33" s="117">
        <f t="shared" ref="G33:H33" si="4">G10+G15+G29+G30+G31+G32</f>
        <v>6786877</v>
      </c>
      <c r="H33" s="117">
        <f t="shared" si="4"/>
        <v>8127279</v>
      </c>
    </row>
    <row r="34" spans="1:8" s="111" customFormat="1" ht="21.75" customHeight="1" x14ac:dyDescent="0.3">
      <c r="A34" s="266" t="s">
        <v>81</v>
      </c>
      <c r="B34" s="578" t="s">
        <v>508</v>
      </c>
      <c r="C34" s="537" t="s">
        <v>190</v>
      </c>
      <c r="D34" s="488">
        <f>SUM(D35:D36)</f>
        <v>0</v>
      </c>
      <c r="E34" s="488">
        <f>SUM(E35:E36)</f>
        <v>0</v>
      </c>
      <c r="F34" s="488">
        <f>SUM(F35:F36)</f>
        <v>0</v>
      </c>
      <c r="G34" s="344">
        <v>788326</v>
      </c>
      <c r="H34" s="344">
        <v>788326</v>
      </c>
    </row>
    <row r="35" spans="1:8" s="111" customFormat="1" ht="21.75" customHeight="1" x14ac:dyDescent="0.3">
      <c r="A35" s="266" t="s">
        <v>83</v>
      </c>
      <c r="B35" s="579" t="s">
        <v>192</v>
      </c>
      <c r="C35" s="537" t="s">
        <v>193</v>
      </c>
      <c r="D35" s="488"/>
      <c r="E35" s="488"/>
      <c r="F35" s="488">
        <f>SUM(D35:E35)</f>
        <v>0</v>
      </c>
      <c r="G35" s="344">
        <v>788326</v>
      </c>
      <c r="H35" s="344">
        <v>788326</v>
      </c>
    </row>
    <row r="36" spans="1:8" s="111" customFormat="1" ht="21.75" customHeight="1" x14ac:dyDescent="0.3">
      <c r="A36" s="266" t="s">
        <v>85</v>
      </c>
      <c r="B36" s="579" t="s">
        <v>195</v>
      </c>
      <c r="C36" s="537" t="s">
        <v>196</v>
      </c>
      <c r="D36" s="488"/>
      <c r="E36" s="488"/>
      <c r="F36" s="488">
        <f>SUM(D36:E36)</f>
        <v>0</v>
      </c>
      <c r="G36" s="344"/>
      <c r="H36" s="344"/>
    </row>
    <row r="37" spans="1:8" s="111" customFormat="1" ht="21.75" customHeight="1" x14ac:dyDescent="0.3">
      <c r="A37" s="266" t="s">
        <v>87</v>
      </c>
      <c r="B37" s="578" t="s">
        <v>509</v>
      </c>
      <c r="C37" s="400" t="s">
        <v>510</v>
      </c>
      <c r="D37" s="488">
        <f>SUM(D38:D39)</f>
        <v>27195291</v>
      </c>
      <c r="E37" s="488">
        <f t="shared" ref="E37:F37" si="5">SUM(E38:E39)</f>
        <v>0</v>
      </c>
      <c r="F37" s="488">
        <f t="shared" si="5"/>
        <v>27195291</v>
      </c>
      <c r="G37" s="344">
        <f>H37-F37</f>
        <v>1798193</v>
      </c>
      <c r="H37" s="344">
        <v>28993484</v>
      </c>
    </row>
    <row r="38" spans="1:8" s="111" customFormat="1" ht="21.75" customHeight="1" x14ac:dyDescent="0.3">
      <c r="A38" s="266"/>
      <c r="B38" s="580" t="s">
        <v>598</v>
      </c>
      <c r="C38" s="391" t="s">
        <v>510</v>
      </c>
      <c r="D38" s="582">
        <f>19867920+53594</f>
        <v>19921514</v>
      </c>
      <c r="E38" s="582"/>
      <c r="F38" s="582">
        <f>SUM(D38:E38)</f>
        <v>19921514</v>
      </c>
      <c r="G38" s="583"/>
      <c r="H38" s="583"/>
    </row>
    <row r="39" spans="1:8" s="111" customFormat="1" ht="21.75" customHeight="1" x14ac:dyDescent="0.3">
      <c r="A39" s="266"/>
      <c r="B39" s="581" t="s">
        <v>599</v>
      </c>
      <c r="C39" s="391" t="s">
        <v>510</v>
      </c>
      <c r="D39" s="582">
        <f>7273777</f>
        <v>7273777</v>
      </c>
      <c r="E39" s="582"/>
      <c r="F39" s="582">
        <f>SUM(D39:E39)</f>
        <v>7273777</v>
      </c>
      <c r="G39" s="583"/>
      <c r="H39" s="583"/>
    </row>
    <row r="40" spans="1:8" s="111" customFormat="1" ht="21.75" customHeight="1" x14ac:dyDescent="0.3">
      <c r="A40" s="266" t="s">
        <v>90</v>
      </c>
      <c r="B40" s="270" t="s">
        <v>511</v>
      </c>
      <c r="C40" s="119" t="s">
        <v>512</v>
      </c>
      <c r="D40" s="118">
        <f>SUM(D34+D37)</f>
        <v>27195291</v>
      </c>
      <c r="E40" s="118">
        <f>SUM(E34+E37)</f>
        <v>0</v>
      </c>
      <c r="F40" s="118">
        <f>SUM(F34+F37)</f>
        <v>27195291</v>
      </c>
      <c r="G40" s="118">
        <f t="shared" ref="G40:H40" si="6">SUM(G34+G37)</f>
        <v>2586519</v>
      </c>
      <c r="H40" s="118">
        <f t="shared" si="6"/>
        <v>29781810</v>
      </c>
    </row>
    <row r="41" spans="1:8" s="111" customFormat="1" ht="21.75" customHeight="1" x14ac:dyDescent="0.3">
      <c r="A41" s="114" t="s">
        <v>94</v>
      </c>
      <c r="B41" s="270" t="s">
        <v>601</v>
      </c>
      <c r="C41" s="119" t="s">
        <v>199</v>
      </c>
      <c r="D41" s="118">
        <f>D40</f>
        <v>27195291</v>
      </c>
      <c r="E41" s="118">
        <f t="shared" ref="E41:H41" si="7">E40</f>
        <v>0</v>
      </c>
      <c r="F41" s="118">
        <f t="shared" si="7"/>
        <v>27195291</v>
      </c>
      <c r="G41" s="118">
        <f t="shared" si="7"/>
        <v>2586519</v>
      </c>
      <c r="H41" s="118">
        <f t="shared" si="7"/>
        <v>29781810</v>
      </c>
    </row>
    <row r="42" spans="1:8" s="111" customFormat="1" ht="21.75" customHeight="1" x14ac:dyDescent="0.3">
      <c r="A42" s="114" t="s">
        <v>97</v>
      </c>
      <c r="B42" s="270" t="s">
        <v>514</v>
      </c>
      <c r="C42" s="119"/>
      <c r="D42" s="118">
        <f>D33+D41</f>
        <v>28535693</v>
      </c>
      <c r="E42" s="118">
        <f>E33+E41</f>
        <v>0</v>
      </c>
      <c r="F42" s="118">
        <f>F33+F41</f>
        <v>28535693</v>
      </c>
      <c r="G42" s="118">
        <f t="shared" ref="G42:H42" si="8">G33+G41</f>
        <v>9373396</v>
      </c>
      <c r="H42" s="118">
        <f t="shared" si="8"/>
        <v>37909089</v>
      </c>
    </row>
    <row r="43" spans="1:8" s="111" customFormat="1" ht="15" customHeight="1" x14ac:dyDescent="0.3">
      <c r="A43" s="120"/>
      <c r="B43" s="121"/>
      <c r="C43" s="122"/>
      <c r="D43" s="123"/>
      <c r="E43" s="123"/>
      <c r="F43" s="123"/>
      <c r="G43" s="346"/>
      <c r="H43" s="346"/>
    </row>
    <row r="44" spans="1:8" s="111" customFormat="1" ht="15" customHeight="1" x14ac:dyDescent="0.3">
      <c r="A44" s="764" t="s">
        <v>515</v>
      </c>
      <c r="B44" s="764"/>
      <c r="C44" s="764"/>
      <c r="D44" s="764"/>
      <c r="E44" s="764"/>
      <c r="F44" s="764"/>
      <c r="G44" s="764"/>
      <c r="H44" s="764"/>
    </row>
    <row r="45" spans="1:8" s="111" customFormat="1" ht="38.25" customHeight="1" x14ac:dyDescent="0.3">
      <c r="A45" s="107" t="s">
        <v>407</v>
      </c>
      <c r="B45" s="107" t="s">
        <v>267</v>
      </c>
      <c r="C45" s="124" t="s">
        <v>476</v>
      </c>
      <c r="D45" s="124" t="s">
        <v>477</v>
      </c>
      <c r="E45" s="124" t="s">
        <v>478</v>
      </c>
      <c r="F45" s="124" t="s">
        <v>516</v>
      </c>
      <c r="G45" s="344" t="s">
        <v>860</v>
      </c>
      <c r="H45" s="344" t="s">
        <v>859</v>
      </c>
    </row>
    <row r="46" spans="1:8" s="111" customFormat="1" ht="15" customHeight="1" x14ac:dyDescent="0.3">
      <c r="A46" s="125" t="s">
        <v>6</v>
      </c>
      <c r="B46" s="125" t="s">
        <v>7</v>
      </c>
      <c r="C46" s="125"/>
      <c r="D46" s="125" t="s">
        <v>9</v>
      </c>
      <c r="E46" s="125" t="s">
        <v>269</v>
      </c>
      <c r="F46" s="125" t="s">
        <v>479</v>
      </c>
      <c r="G46" s="344"/>
      <c r="H46" s="344"/>
    </row>
    <row r="47" spans="1:8" s="111" customFormat="1" ht="24.75" customHeight="1" x14ac:dyDescent="0.3">
      <c r="A47" s="271" t="s">
        <v>10</v>
      </c>
      <c r="B47" s="272" t="s">
        <v>204</v>
      </c>
      <c r="C47" s="273" t="s">
        <v>205</v>
      </c>
      <c r="D47" s="274">
        <v>17964620</v>
      </c>
      <c r="E47" s="274"/>
      <c r="F47" s="274">
        <f>SUM(D47:E47)</f>
        <v>17964620</v>
      </c>
      <c r="G47" s="344">
        <f>H47-F47</f>
        <v>6577812</v>
      </c>
      <c r="H47" s="344">
        <v>24542432</v>
      </c>
    </row>
    <row r="48" spans="1:8" s="111" customFormat="1" ht="24.75" customHeight="1" x14ac:dyDescent="0.3">
      <c r="A48" s="275" t="s">
        <v>13</v>
      </c>
      <c r="B48" s="276" t="s">
        <v>206</v>
      </c>
      <c r="C48" s="277" t="s">
        <v>207</v>
      </c>
      <c r="D48" s="278">
        <v>3905423</v>
      </c>
      <c r="E48" s="278"/>
      <c r="F48" s="274">
        <f>SUM(D48:E48)</f>
        <v>3905423</v>
      </c>
      <c r="G48" s="344">
        <f t="shared" ref="G48:G50" si="9">H48-F48</f>
        <v>761538</v>
      </c>
      <c r="H48" s="344">
        <v>4666961</v>
      </c>
    </row>
    <row r="49" spans="1:10" s="111" customFormat="1" ht="24.75" customHeight="1" x14ac:dyDescent="0.3">
      <c r="A49" s="275" t="s">
        <v>16</v>
      </c>
      <c r="B49" s="276" t="s">
        <v>208</v>
      </c>
      <c r="C49" s="277" t="s">
        <v>209</v>
      </c>
      <c r="D49" s="278">
        <v>6665650</v>
      </c>
      <c r="E49" s="278"/>
      <c r="F49" s="274">
        <f>SUM(D49:E49)</f>
        <v>6665650</v>
      </c>
      <c r="G49" s="344">
        <f t="shared" si="9"/>
        <v>2034046</v>
      </c>
      <c r="H49" s="344">
        <v>8699696</v>
      </c>
    </row>
    <row r="50" spans="1:10" s="111" customFormat="1" ht="24.75" customHeight="1" x14ac:dyDescent="0.3">
      <c r="A50" s="275" t="s">
        <v>19</v>
      </c>
      <c r="B50" s="276" t="s">
        <v>210</v>
      </c>
      <c r="C50" s="277" t="s">
        <v>211</v>
      </c>
      <c r="D50" s="278"/>
      <c r="E50" s="278"/>
      <c r="F50" s="274">
        <f>SUM(D50:E50)</f>
        <v>0</v>
      </c>
      <c r="G50" s="344">
        <f t="shared" si="9"/>
        <v>0</v>
      </c>
      <c r="H50" s="344"/>
    </row>
    <row r="51" spans="1:10" s="111" customFormat="1" ht="24.75" customHeight="1" x14ac:dyDescent="0.3">
      <c r="A51" s="275" t="s">
        <v>22</v>
      </c>
      <c r="B51" s="276" t="s">
        <v>212</v>
      </c>
      <c r="C51" s="277" t="s">
        <v>213</v>
      </c>
      <c r="D51" s="278"/>
      <c r="E51" s="278"/>
      <c r="F51" s="274">
        <f>SUM(D51:E51)</f>
        <v>0</v>
      </c>
      <c r="G51" s="344"/>
      <c r="H51" s="344"/>
    </row>
    <row r="52" spans="1:10" s="110" customFormat="1" ht="24.75" customHeight="1" x14ac:dyDescent="0.3">
      <c r="A52" s="279" t="s">
        <v>25</v>
      </c>
      <c r="B52" s="280" t="s">
        <v>517</v>
      </c>
      <c r="C52" s="281" t="s">
        <v>230</v>
      </c>
      <c r="D52" s="282">
        <f>SUM(D47:D51)</f>
        <v>28535693</v>
      </c>
      <c r="E52" s="282">
        <f>SUM(E47:E51)</f>
        <v>0</v>
      </c>
      <c r="F52" s="282">
        <f>SUM(F47:F51)</f>
        <v>28535693</v>
      </c>
      <c r="G52" s="282">
        <f t="shared" ref="G52:H52" si="10">SUM(G47:G51)</f>
        <v>9373396</v>
      </c>
      <c r="H52" s="282">
        <f t="shared" si="10"/>
        <v>37909089</v>
      </c>
      <c r="I52" s="126"/>
      <c r="J52" s="126"/>
    </row>
    <row r="53" spans="1:10" s="128" customFormat="1" ht="24.75" customHeight="1" x14ac:dyDescent="0.3">
      <c r="A53" s="275" t="s">
        <v>28</v>
      </c>
      <c r="B53" s="276" t="s">
        <v>518</v>
      </c>
      <c r="C53" s="277" t="s">
        <v>232</v>
      </c>
      <c r="D53" s="278"/>
      <c r="E53" s="278"/>
      <c r="F53" s="278">
        <f>SUM(D53:E53)</f>
        <v>0</v>
      </c>
      <c r="G53" s="347"/>
      <c r="H53" s="347"/>
      <c r="I53" s="127"/>
      <c r="J53" s="127"/>
    </row>
    <row r="54" spans="1:10" ht="24.75" customHeight="1" x14ac:dyDescent="0.3">
      <c r="A54" s="275" t="s">
        <v>31</v>
      </c>
      <c r="B54" s="276" t="s">
        <v>233</v>
      </c>
      <c r="C54" s="277" t="s">
        <v>234</v>
      </c>
      <c r="D54" s="278"/>
      <c r="E54" s="278"/>
      <c r="F54" s="278">
        <f>SUM(D54:E54)</f>
        <v>0</v>
      </c>
      <c r="G54" s="342"/>
      <c r="H54" s="342"/>
      <c r="I54" s="129"/>
      <c r="J54" s="129"/>
    </row>
    <row r="55" spans="1:10" ht="24.75" customHeight="1" x14ac:dyDescent="0.3">
      <c r="A55" s="275" t="s">
        <v>34</v>
      </c>
      <c r="B55" s="276" t="s">
        <v>519</v>
      </c>
      <c r="C55" s="277" t="s">
        <v>236</v>
      </c>
      <c r="D55" s="278"/>
      <c r="E55" s="278"/>
      <c r="F55" s="278">
        <f>SUM(D55:E55)</f>
        <v>0</v>
      </c>
      <c r="G55" s="342"/>
      <c r="H55" s="342"/>
      <c r="I55" s="129"/>
      <c r="J55" s="129"/>
    </row>
    <row r="56" spans="1:10" ht="24.75" customHeight="1" x14ac:dyDescent="0.3">
      <c r="A56" s="283" t="s">
        <v>37</v>
      </c>
      <c r="B56" s="284" t="s">
        <v>520</v>
      </c>
      <c r="C56" s="285" t="s">
        <v>248</v>
      </c>
      <c r="D56" s="286">
        <f>SUM(D53:D55)</f>
        <v>0</v>
      </c>
      <c r="E56" s="286">
        <f>SUM(E53:E55)</f>
        <v>0</v>
      </c>
      <c r="F56" s="282">
        <f>SUM(D56:E56)</f>
        <v>0</v>
      </c>
      <c r="G56" s="342"/>
      <c r="H56" s="342"/>
      <c r="I56" s="129"/>
      <c r="J56" s="129"/>
    </row>
    <row r="57" spans="1:10" ht="24.75" customHeight="1" x14ac:dyDescent="0.3">
      <c r="A57" s="287" t="s">
        <v>39</v>
      </c>
      <c r="B57" s="288" t="s">
        <v>521</v>
      </c>
      <c r="C57" s="289" t="s">
        <v>522</v>
      </c>
      <c r="D57" s="290">
        <f>D52+D56</f>
        <v>28535693</v>
      </c>
      <c r="E57" s="290">
        <f>E52+E56</f>
        <v>0</v>
      </c>
      <c r="F57" s="290">
        <f>F52+F56</f>
        <v>28535693</v>
      </c>
      <c r="G57" s="290">
        <f t="shared" ref="G57:H57" si="11">G52+G56</f>
        <v>9373396</v>
      </c>
      <c r="H57" s="290">
        <f t="shared" si="11"/>
        <v>37909089</v>
      </c>
      <c r="I57" s="129"/>
      <c r="J57" s="129"/>
    </row>
    <row r="58" spans="1:10" ht="24.75" customHeight="1" x14ac:dyDescent="0.3">
      <c r="A58" s="273" t="s">
        <v>41</v>
      </c>
      <c r="B58" s="291" t="s">
        <v>523</v>
      </c>
      <c r="C58" s="292" t="s">
        <v>524</v>
      </c>
      <c r="D58" s="293"/>
      <c r="E58" s="293"/>
      <c r="F58" s="293">
        <f>SUM(D58:E58)</f>
        <v>0</v>
      </c>
      <c r="G58" s="342"/>
      <c r="H58" s="342"/>
      <c r="I58" s="129"/>
      <c r="J58" s="129"/>
    </row>
    <row r="59" spans="1:10" ht="24.75" customHeight="1" x14ac:dyDescent="0.3">
      <c r="A59" s="289" t="s">
        <v>45</v>
      </c>
      <c r="B59" s="288" t="s">
        <v>600</v>
      </c>
      <c r="C59" s="289" t="s">
        <v>260</v>
      </c>
      <c r="D59" s="290">
        <f>SUM(D58:D58)</f>
        <v>0</v>
      </c>
      <c r="E59" s="290">
        <f>SUM(E58:E58)</f>
        <v>0</v>
      </c>
      <c r="F59" s="290">
        <f>SUM(F58:F58)</f>
        <v>0</v>
      </c>
      <c r="G59" s="342"/>
      <c r="H59" s="342"/>
      <c r="I59" s="129"/>
      <c r="J59" s="129"/>
    </row>
    <row r="60" spans="1:10" ht="24.75" customHeight="1" x14ac:dyDescent="0.3">
      <c r="A60" s="294" t="s">
        <v>47</v>
      </c>
      <c r="B60" s="295" t="s">
        <v>525</v>
      </c>
      <c r="C60" s="289" t="s">
        <v>262</v>
      </c>
      <c r="D60" s="296">
        <f>SUM(D57+D59)</f>
        <v>28535693</v>
      </c>
      <c r="E60" s="296">
        <f>SUM(E57+E59)</f>
        <v>0</v>
      </c>
      <c r="F60" s="296">
        <f>SUM(F57+F59)</f>
        <v>28535693</v>
      </c>
      <c r="G60" s="296">
        <f t="shared" ref="G60:H60" si="12">SUM(G57+G59)</f>
        <v>9373396</v>
      </c>
      <c r="H60" s="296">
        <f t="shared" si="12"/>
        <v>37909089</v>
      </c>
      <c r="I60" s="129"/>
      <c r="J60" s="129"/>
    </row>
    <row r="61" spans="1:10" ht="12" customHeight="1" x14ac:dyDescent="0.3">
      <c r="A61" s="133"/>
      <c r="B61" s="134"/>
      <c r="C61" s="135"/>
      <c r="D61" s="135"/>
      <c r="E61" s="135"/>
      <c r="F61" s="135"/>
      <c r="G61" s="348"/>
      <c r="H61" s="348"/>
      <c r="I61" s="129"/>
      <c r="J61" s="129"/>
    </row>
    <row r="62" spans="1:10" ht="12" customHeight="1" x14ac:dyDescent="0.3">
      <c r="A62" s="133"/>
      <c r="B62" s="134"/>
      <c r="C62" s="135"/>
      <c r="D62" s="135"/>
      <c r="E62" s="135"/>
      <c r="F62" s="135"/>
      <c r="G62" s="348"/>
      <c r="H62" s="348"/>
      <c r="I62" s="129"/>
      <c r="J62" s="129"/>
    </row>
    <row r="63" spans="1:10" x14ac:dyDescent="0.3">
      <c r="A63" s="136"/>
      <c r="B63" s="137"/>
      <c r="C63" s="137"/>
    </row>
    <row r="64" spans="1:10" x14ac:dyDescent="0.3">
      <c r="A64" s="136"/>
      <c r="B64" s="137"/>
      <c r="C64" s="137"/>
    </row>
    <row r="65" spans="1:3" x14ac:dyDescent="0.3">
      <c r="A65" s="136"/>
      <c r="B65" s="137"/>
      <c r="C65" s="137"/>
    </row>
  </sheetData>
  <sheetProtection formatCells="0"/>
  <mergeCells count="3">
    <mergeCell ref="A5:H5"/>
    <mergeCell ref="A1:H1"/>
    <mergeCell ref="A44:H4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  <headerFooter alignWithMargins="0">
    <oddHeader>&amp;R&amp;"Times New Roman CE,Félkövér dőlt"&amp;11 11. melléklet a 16/2017. (IX.04.)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Layout" zoomScaleNormal="100" workbookViewId="0">
      <selection activeCell="E5" sqref="E5"/>
    </sheetView>
  </sheetViews>
  <sheetFormatPr defaultRowHeight="13" x14ac:dyDescent="0.3"/>
  <cols>
    <col min="1" max="1" width="6.69921875" style="99" customWidth="1"/>
    <col min="2" max="2" width="24.69921875" style="74" customWidth="1"/>
    <col min="3" max="3" width="13" style="74" customWidth="1"/>
    <col min="4" max="5" width="15.5" style="100" customWidth="1"/>
    <col min="6" max="6" width="11.5" style="100" customWidth="1"/>
    <col min="7" max="7" width="13" style="100" customWidth="1"/>
    <col min="8" max="9" width="14" style="100" customWidth="1"/>
    <col min="10" max="10" width="13.296875" style="74" customWidth="1"/>
    <col min="11" max="11" width="16.796875" style="74" customWidth="1"/>
    <col min="12" max="12" width="14.69921875" style="74" customWidth="1"/>
    <col min="13" max="257" width="9.296875" style="74"/>
    <col min="258" max="258" width="6.69921875" style="74" customWidth="1"/>
    <col min="259" max="259" width="24.69921875" style="74" customWidth="1"/>
    <col min="260" max="260" width="13" style="74" customWidth="1"/>
    <col min="261" max="262" width="15.5" style="74" customWidth="1"/>
    <col min="263" max="263" width="11.5" style="74" customWidth="1"/>
    <col min="264" max="264" width="13" style="74" customWidth="1"/>
    <col min="265" max="266" width="14" style="74" customWidth="1"/>
    <col min="267" max="267" width="13.296875" style="74" customWidth="1"/>
    <col min="268" max="268" width="14.69921875" style="74" customWidth="1"/>
    <col min="269" max="513" width="9.296875" style="74"/>
    <col min="514" max="514" width="6.69921875" style="74" customWidth="1"/>
    <col min="515" max="515" width="24.69921875" style="74" customWidth="1"/>
    <col min="516" max="516" width="13" style="74" customWidth="1"/>
    <col min="517" max="518" width="15.5" style="74" customWidth="1"/>
    <col min="519" max="519" width="11.5" style="74" customWidth="1"/>
    <col min="520" max="520" width="13" style="74" customWidth="1"/>
    <col min="521" max="522" width="14" style="74" customWidth="1"/>
    <col min="523" max="523" width="13.296875" style="74" customWidth="1"/>
    <col min="524" max="524" width="14.69921875" style="74" customWidth="1"/>
    <col min="525" max="769" width="9.296875" style="74"/>
    <col min="770" max="770" width="6.69921875" style="74" customWidth="1"/>
    <col min="771" max="771" width="24.69921875" style="74" customWidth="1"/>
    <col min="772" max="772" width="13" style="74" customWidth="1"/>
    <col min="773" max="774" width="15.5" style="74" customWidth="1"/>
    <col min="775" max="775" width="11.5" style="74" customWidth="1"/>
    <col min="776" max="776" width="13" style="74" customWidth="1"/>
    <col min="777" max="778" width="14" style="74" customWidth="1"/>
    <col min="779" max="779" width="13.296875" style="74" customWidth="1"/>
    <col min="780" max="780" width="14.69921875" style="74" customWidth="1"/>
    <col min="781" max="1025" width="9.296875" style="74"/>
    <col min="1026" max="1026" width="6.69921875" style="74" customWidth="1"/>
    <col min="1027" max="1027" width="24.69921875" style="74" customWidth="1"/>
    <col min="1028" max="1028" width="13" style="74" customWidth="1"/>
    <col min="1029" max="1030" width="15.5" style="74" customWidth="1"/>
    <col min="1031" max="1031" width="11.5" style="74" customWidth="1"/>
    <col min="1032" max="1032" width="13" style="74" customWidth="1"/>
    <col min="1033" max="1034" width="14" style="74" customWidth="1"/>
    <col min="1035" max="1035" width="13.296875" style="74" customWidth="1"/>
    <col min="1036" max="1036" width="14.69921875" style="74" customWidth="1"/>
    <col min="1037" max="1281" width="9.296875" style="74"/>
    <col min="1282" max="1282" width="6.69921875" style="74" customWidth="1"/>
    <col min="1283" max="1283" width="24.69921875" style="74" customWidth="1"/>
    <col min="1284" max="1284" width="13" style="74" customWidth="1"/>
    <col min="1285" max="1286" width="15.5" style="74" customWidth="1"/>
    <col min="1287" max="1287" width="11.5" style="74" customWidth="1"/>
    <col min="1288" max="1288" width="13" style="74" customWidth="1"/>
    <col min="1289" max="1290" width="14" style="74" customWidth="1"/>
    <col min="1291" max="1291" width="13.296875" style="74" customWidth="1"/>
    <col min="1292" max="1292" width="14.69921875" style="74" customWidth="1"/>
    <col min="1293" max="1537" width="9.296875" style="74"/>
    <col min="1538" max="1538" width="6.69921875" style="74" customWidth="1"/>
    <col min="1539" max="1539" width="24.69921875" style="74" customWidth="1"/>
    <col min="1540" max="1540" width="13" style="74" customWidth="1"/>
    <col min="1541" max="1542" width="15.5" style="74" customWidth="1"/>
    <col min="1543" max="1543" width="11.5" style="74" customWidth="1"/>
    <col min="1544" max="1544" width="13" style="74" customWidth="1"/>
    <col min="1545" max="1546" width="14" style="74" customWidth="1"/>
    <col min="1547" max="1547" width="13.296875" style="74" customWidth="1"/>
    <col min="1548" max="1548" width="14.69921875" style="74" customWidth="1"/>
    <col min="1549" max="1793" width="9.296875" style="74"/>
    <col min="1794" max="1794" width="6.69921875" style="74" customWidth="1"/>
    <col min="1795" max="1795" width="24.69921875" style="74" customWidth="1"/>
    <col min="1796" max="1796" width="13" style="74" customWidth="1"/>
    <col min="1797" max="1798" width="15.5" style="74" customWidth="1"/>
    <col min="1799" max="1799" width="11.5" style="74" customWidth="1"/>
    <col min="1800" max="1800" width="13" style="74" customWidth="1"/>
    <col min="1801" max="1802" width="14" style="74" customWidth="1"/>
    <col min="1803" max="1803" width="13.296875" style="74" customWidth="1"/>
    <col min="1804" max="1804" width="14.69921875" style="74" customWidth="1"/>
    <col min="1805" max="2049" width="9.296875" style="74"/>
    <col min="2050" max="2050" width="6.69921875" style="74" customWidth="1"/>
    <col min="2051" max="2051" width="24.69921875" style="74" customWidth="1"/>
    <col min="2052" max="2052" width="13" style="74" customWidth="1"/>
    <col min="2053" max="2054" width="15.5" style="74" customWidth="1"/>
    <col min="2055" max="2055" width="11.5" style="74" customWidth="1"/>
    <col min="2056" max="2056" width="13" style="74" customWidth="1"/>
    <col min="2057" max="2058" width="14" style="74" customWidth="1"/>
    <col min="2059" max="2059" width="13.296875" style="74" customWidth="1"/>
    <col min="2060" max="2060" width="14.69921875" style="74" customWidth="1"/>
    <col min="2061" max="2305" width="9.296875" style="74"/>
    <col min="2306" max="2306" width="6.69921875" style="74" customWidth="1"/>
    <col min="2307" max="2307" width="24.69921875" style="74" customWidth="1"/>
    <col min="2308" max="2308" width="13" style="74" customWidth="1"/>
    <col min="2309" max="2310" width="15.5" style="74" customWidth="1"/>
    <col min="2311" max="2311" width="11.5" style="74" customWidth="1"/>
    <col min="2312" max="2312" width="13" style="74" customWidth="1"/>
    <col min="2313" max="2314" width="14" style="74" customWidth="1"/>
    <col min="2315" max="2315" width="13.296875" style="74" customWidth="1"/>
    <col min="2316" max="2316" width="14.69921875" style="74" customWidth="1"/>
    <col min="2317" max="2561" width="9.296875" style="74"/>
    <col min="2562" max="2562" width="6.69921875" style="74" customWidth="1"/>
    <col min="2563" max="2563" width="24.69921875" style="74" customWidth="1"/>
    <col min="2564" max="2564" width="13" style="74" customWidth="1"/>
    <col min="2565" max="2566" width="15.5" style="74" customWidth="1"/>
    <col min="2567" max="2567" width="11.5" style="74" customWidth="1"/>
    <col min="2568" max="2568" width="13" style="74" customWidth="1"/>
    <col min="2569" max="2570" width="14" style="74" customWidth="1"/>
    <col min="2571" max="2571" width="13.296875" style="74" customWidth="1"/>
    <col min="2572" max="2572" width="14.69921875" style="74" customWidth="1"/>
    <col min="2573" max="2817" width="9.296875" style="74"/>
    <col min="2818" max="2818" width="6.69921875" style="74" customWidth="1"/>
    <col min="2819" max="2819" width="24.69921875" style="74" customWidth="1"/>
    <col min="2820" max="2820" width="13" style="74" customWidth="1"/>
    <col min="2821" max="2822" width="15.5" style="74" customWidth="1"/>
    <col min="2823" max="2823" width="11.5" style="74" customWidth="1"/>
    <col min="2824" max="2824" width="13" style="74" customWidth="1"/>
    <col min="2825" max="2826" width="14" style="74" customWidth="1"/>
    <col min="2827" max="2827" width="13.296875" style="74" customWidth="1"/>
    <col min="2828" max="2828" width="14.69921875" style="74" customWidth="1"/>
    <col min="2829" max="3073" width="9.296875" style="74"/>
    <col min="3074" max="3074" width="6.69921875" style="74" customWidth="1"/>
    <col min="3075" max="3075" width="24.69921875" style="74" customWidth="1"/>
    <col min="3076" max="3076" width="13" style="74" customWidth="1"/>
    <col min="3077" max="3078" width="15.5" style="74" customWidth="1"/>
    <col min="3079" max="3079" width="11.5" style="74" customWidth="1"/>
    <col min="3080" max="3080" width="13" style="74" customWidth="1"/>
    <col min="3081" max="3082" width="14" style="74" customWidth="1"/>
    <col min="3083" max="3083" width="13.296875" style="74" customWidth="1"/>
    <col min="3084" max="3084" width="14.69921875" style="74" customWidth="1"/>
    <col min="3085" max="3329" width="9.296875" style="74"/>
    <col min="3330" max="3330" width="6.69921875" style="74" customWidth="1"/>
    <col min="3331" max="3331" width="24.69921875" style="74" customWidth="1"/>
    <col min="3332" max="3332" width="13" style="74" customWidth="1"/>
    <col min="3333" max="3334" width="15.5" style="74" customWidth="1"/>
    <col min="3335" max="3335" width="11.5" style="74" customWidth="1"/>
    <col min="3336" max="3336" width="13" style="74" customWidth="1"/>
    <col min="3337" max="3338" width="14" style="74" customWidth="1"/>
    <col min="3339" max="3339" width="13.296875" style="74" customWidth="1"/>
    <col min="3340" max="3340" width="14.69921875" style="74" customWidth="1"/>
    <col min="3341" max="3585" width="9.296875" style="74"/>
    <col min="3586" max="3586" width="6.69921875" style="74" customWidth="1"/>
    <col min="3587" max="3587" width="24.69921875" style="74" customWidth="1"/>
    <col min="3588" max="3588" width="13" style="74" customWidth="1"/>
    <col min="3589" max="3590" width="15.5" style="74" customWidth="1"/>
    <col min="3591" max="3591" width="11.5" style="74" customWidth="1"/>
    <col min="3592" max="3592" width="13" style="74" customWidth="1"/>
    <col min="3593" max="3594" width="14" style="74" customWidth="1"/>
    <col min="3595" max="3595" width="13.296875" style="74" customWidth="1"/>
    <col min="3596" max="3596" width="14.69921875" style="74" customWidth="1"/>
    <col min="3597" max="3841" width="9.296875" style="74"/>
    <col min="3842" max="3842" width="6.69921875" style="74" customWidth="1"/>
    <col min="3843" max="3843" width="24.69921875" style="74" customWidth="1"/>
    <col min="3844" max="3844" width="13" style="74" customWidth="1"/>
    <col min="3845" max="3846" width="15.5" style="74" customWidth="1"/>
    <col min="3847" max="3847" width="11.5" style="74" customWidth="1"/>
    <col min="3848" max="3848" width="13" style="74" customWidth="1"/>
    <col min="3849" max="3850" width="14" style="74" customWidth="1"/>
    <col min="3851" max="3851" width="13.296875" style="74" customWidth="1"/>
    <col min="3852" max="3852" width="14.69921875" style="74" customWidth="1"/>
    <col min="3853" max="4097" width="9.296875" style="74"/>
    <col min="4098" max="4098" width="6.69921875" style="74" customWidth="1"/>
    <col min="4099" max="4099" width="24.69921875" style="74" customWidth="1"/>
    <col min="4100" max="4100" width="13" style="74" customWidth="1"/>
    <col min="4101" max="4102" width="15.5" style="74" customWidth="1"/>
    <col min="4103" max="4103" width="11.5" style="74" customWidth="1"/>
    <col min="4104" max="4104" width="13" style="74" customWidth="1"/>
    <col min="4105" max="4106" width="14" style="74" customWidth="1"/>
    <col min="4107" max="4107" width="13.296875" style="74" customWidth="1"/>
    <col min="4108" max="4108" width="14.69921875" style="74" customWidth="1"/>
    <col min="4109" max="4353" width="9.296875" style="74"/>
    <col min="4354" max="4354" width="6.69921875" style="74" customWidth="1"/>
    <col min="4355" max="4355" width="24.69921875" style="74" customWidth="1"/>
    <col min="4356" max="4356" width="13" style="74" customWidth="1"/>
    <col min="4357" max="4358" width="15.5" style="74" customWidth="1"/>
    <col min="4359" max="4359" width="11.5" style="74" customWidth="1"/>
    <col min="4360" max="4360" width="13" style="74" customWidth="1"/>
    <col min="4361" max="4362" width="14" style="74" customWidth="1"/>
    <col min="4363" max="4363" width="13.296875" style="74" customWidth="1"/>
    <col min="4364" max="4364" width="14.69921875" style="74" customWidth="1"/>
    <col min="4365" max="4609" width="9.296875" style="74"/>
    <col min="4610" max="4610" width="6.69921875" style="74" customWidth="1"/>
    <col min="4611" max="4611" width="24.69921875" style="74" customWidth="1"/>
    <col min="4612" max="4612" width="13" style="74" customWidth="1"/>
    <col min="4613" max="4614" width="15.5" style="74" customWidth="1"/>
    <col min="4615" max="4615" width="11.5" style="74" customWidth="1"/>
    <col min="4616" max="4616" width="13" style="74" customWidth="1"/>
    <col min="4617" max="4618" width="14" style="74" customWidth="1"/>
    <col min="4619" max="4619" width="13.296875" style="74" customWidth="1"/>
    <col min="4620" max="4620" width="14.69921875" style="74" customWidth="1"/>
    <col min="4621" max="4865" width="9.296875" style="74"/>
    <col min="4866" max="4866" width="6.69921875" style="74" customWidth="1"/>
    <col min="4867" max="4867" width="24.69921875" style="74" customWidth="1"/>
    <col min="4868" max="4868" width="13" style="74" customWidth="1"/>
    <col min="4869" max="4870" width="15.5" style="74" customWidth="1"/>
    <col min="4871" max="4871" width="11.5" style="74" customWidth="1"/>
    <col min="4872" max="4872" width="13" style="74" customWidth="1"/>
    <col min="4873" max="4874" width="14" style="74" customWidth="1"/>
    <col min="4875" max="4875" width="13.296875" style="74" customWidth="1"/>
    <col min="4876" max="4876" width="14.69921875" style="74" customWidth="1"/>
    <col min="4877" max="5121" width="9.296875" style="74"/>
    <col min="5122" max="5122" width="6.69921875" style="74" customWidth="1"/>
    <col min="5123" max="5123" width="24.69921875" style="74" customWidth="1"/>
    <col min="5124" max="5124" width="13" style="74" customWidth="1"/>
    <col min="5125" max="5126" width="15.5" style="74" customWidth="1"/>
    <col min="5127" max="5127" width="11.5" style="74" customWidth="1"/>
    <col min="5128" max="5128" width="13" style="74" customWidth="1"/>
    <col min="5129" max="5130" width="14" style="74" customWidth="1"/>
    <col min="5131" max="5131" width="13.296875" style="74" customWidth="1"/>
    <col min="5132" max="5132" width="14.69921875" style="74" customWidth="1"/>
    <col min="5133" max="5377" width="9.296875" style="74"/>
    <col min="5378" max="5378" width="6.69921875" style="74" customWidth="1"/>
    <col min="5379" max="5379" width="24.69921875" style="74" customWidth="1"/>
    <col min="5380" max="5380" width="13" style="74" customWidth="1"/>
    <col min="5381" max="5382" width="15.5" style="74" customWidth="1"/>
    <col min="5383" max="5383" width="11.5" style="74" customWidth="1"/>
    <col min="5384" max="5384" width="13" style="74" customWidth="1"/>
    <col min="5385" max="5386" width="14" style="74" customWidth="1"/>
    <col min="5387" max="5387" width="13.296875" style="74" customWidth="1"/>
    <col min="5388" max="5388" width="14.69921875" style="74" customWidth="1"/>
    <col min="5389" max="5633" width="9.296875" style="74"/>
    <col min="5634" max="5634" width="6.69921875" style="74" customWidth="1"/>
    <col min="5635" max="5635" width="24.69921875" style="74" customWidth="1"/>
    <col min="5636" max="5636" width="13" style="74" customWidth="1"/>
    <col min="5637" max="5638" width="15.5" style="74" customWidth="1"/>
    <col min="5639" max="5639" width="11.5" style="74" customWidth="1"/>
    <col min="5640" max="5640" width="13" style="74" customWidth="1"/>
    <col min="5641" max="5642" width="14" style="74" customWidth="1"/>
    <col min="5643" max="5643" width="13.296875" style="74" customWidth="1"/>
    <col min="5644" max="5644" width="14.69921875" style="74" customWidth="1"/>
    <col min="5645" max="5889" width="9.296875" style="74"/>
    <col min="5890" max="5890" width="6.69921875" style="74" customWidth="1"/>
    <col min="5891" max="5891" width="24.69921875" style="74" customWidth="1"/>
    <col min="5892" max="5892" width="13" style="74" customWidth="1"/>
    <col min="5893" max="5894" width="15.5" style="74" customWidth="1"/>
    <col min="5895" max="5895" width="11.5" style="74" customWidth="1"/>
    <col min="5896" max="5896" width="13" style="74" customWidth="1"/>
    <col min="5897" max="5898" width="14" style="74" customWidth="1"/>
    <col min="5899" max="5899" width="13.296875" style="74" customWidth="1"/>
    <col min="5900" max="5900" width="14.69921875" style="74" customWidth="1"/>
    <col min="5901" max="6145" width="9.296875" style="74"/>
    <col min="6146" max="6146" width="6.69921875" style="74" customWidth="1"/>
    <col min="6147" max="6147" width="24.69921875" style="74" customWidth="1"/>
    <col min="6148" max="6148" width="13" style="74" customWidth="1"/>
    <col min="6149" max="6150" width="15.5" style="74" customWidth="1"/>
    <col min="6151" max="6151" width="11.5" style="74" customWidth="1"/>
    <col min="6152" max="6152" width="13" style="74" customWidth="1"/>
    <col min="6153" max="6154" width="14" style="74" customWidth="1"/>
    <col min="6155" max="6155" width="13.296875" style="74" customWidth="1"/>
    <col min="6156" max="6156" width="14.69921875" style="74" customWidth="1"/>
    <col min="6157" max="6401" width="9.296875" style="74"/>
    <col min="6402" max="6402" width="6.69921875" style="74" customWidth="1"/>
    <col min="6403" max="6403" width="24.69921875" style="74" customWidth="1"/>
    <col min="6404" max="6404" width="13" style="74" customWidth="1"/>
    <col min="6405" max="6406" width="15.5" style="74" customWidth="1"/>
    <col min="6407" max="6407" width="11.5" style="74" customWidth="1"/>
    <col min="6408" max="6408" width="13" style="74" customWidth="1"/>
    <col min="6409" max="6410" width="14" style="74" customWidth="1"/>
    <col min="6411" max="6411" width="13.296875" style="74" customWidth="1"/>
    <col min="6412" max="6412" width="14.69921875" style="74" customWidth="1"/>
    <col min="6413" max="6657" width="9.296875" style="74"/>
    <col min="6658" max="6658" width="6.69921875" style="74" customWidth="1"/>
    <col min="6659" max="6659" width="24.69921875" style="74" customWidth="1"/>
    <col min="6660" max="6660" width="13" style="74" customWidth="1"/>
    <col min="6661" max="6662" width="15.5" style="74" customWidth="1"/>
    <col min="6663" max="6663" width="11.5" style="74" customWidth="1"/>
    <col min="6664" max="6664" width="13" style="74" customWidth="1"/>
    <col min="6665" max="6666" width="14" style="74" customWidth="1"/>
    <col min="6667" max="6667" width="13.296875" style="74" customWidth="1"/>
    <col min="6668" max="6668" width="14.69921875" style="74" customWidth="1"/>
    <col min="6669" max="6913" width="9.296875" style="74"/>
    <col min="6914" max="6914" width="6.69921875" style="74" customWidth="1"/>
    <col min="6915" max="6915" width="24.69921875" style="74" customWidth="1"/>
    <col min="6916" max="6916" width="13" style="74" customWidth="1"/>
    <col min="6917" max="6918" width="15.5" style="74" customWidth="1"/>
    <col min="6919" max="6919" width="11.5" style="74" customWidth="1"/>
    <col min="6920" max="6920" width="13" style="74" customWidth="1"/>
    <col min="6921" max="6922" width="14" style="74" customWidth="1"/>
    <col min="6923" max="6923" width="13.296875" style="74" customWidth="1"/>
    <col min="6924" max="6924" width="14.69921875" style="74" customWidth="1"/>
    <col min="6925" max="7169" width="9.296875" style="74"/>
    <col min="7170" max="7170" width="6.69921875" style="74" customWidth="1"/>
    <col min="7171" max="7171" width="24.69921875" style="74" customWidth="1"/>
    <col min="7172" max="7172" width="13" style="74" customWidth="1"/>
    <col min="7173" max="7174" width="15.5" style="74" customWidth="1"/>
    <col min="7175" max="7175" width="11.5" style="74" customWidth="1"/>
    <col min="7176" max="7176" width="13" style="74" customWidth="1"/>
    <col min="7177" max="7178" width="14" style="74" customWidth="1"/>
    <col min="7179" max="7179" width="13.296875" style="74" customWidth="1"/>
    <col min="7180" max="7180" width="14.69921875" style="74" customWidth="1"/>
    <col min="7181" max="7425" width="9.296875" style="74"/>
    <col min="7426" max="7426" width="6.69921875" style="74" customWidth="1"/>
    <col min="7427" max="7427" width="24.69921875" style="74" customWidth="1"/>
    <col min="7428" max="7428" width="13" style="74" customWidth="1"/>
    <col min="7429" max="7430" width="15.5" style="74" customWidth="1"/>
    <col min="7431" max="7431" width="11.5" style="74" customWidth="1"/>
    <col min="7432" max="7432" width="13" style="74" customWidth="1"/>
    <col min="7433" max="7434" width="14" style="74" customWidth="1"/>
    <col min="7435" max="7435" width="13.296875" style="74" customWidth="1"/>
    <col min="7436" max="7436" width="14.69921875" style="74" customWidth="1"/>
    <col min="7437" max="7681" width="9.296875" style="74"/>
    <col min="7682" max="7682" width="6.69921875" style="74" customWidth="1"/>
    <col min="7683" max="7683" width="24.69921875" style="74" customWidth="1"/>
    <col min="7684" max="7684" width="13" style="74" customWidth="1"/>
    <col min="7685" max="7686" width="15.5" style="74" customWidth="1"/>
    <col min="7687" max="7687" width="11.5" style="74" customWidth="1"/>
    <col min="7688" max="7688" width="13" style="74" customWidth="1"/>
    <col min="7689" max="7690" width="14" style="74" customWidth="1"/>
    <col min="7691" max="7691" width="13.296875" style="74" customWidth="1"/>
    <col min="7692" max="7692" width="14.69921875" style="74" customWidth="1"/>
    <col min="7693" max="7937" width="9.296875" style="74"/>
    <col min="7938" max="7938" width="6.69921875" style="74" customWidth="1"/>
    <col min="7939" max="7939" width="24.69921875" style="74" customWidth="1"/>
    <col min="7940" max="7940" width="13" style="74" customWidth="1"/>
    <col min="7941" max="7942" width="15.5" style="74" customWidth="1"/>
    <col min="7943" max="7943" width="11.5" style="74" customWidth="1"/>
    <col min="7944" max="7944" width="13" style="74" customWidth="1"/>
    <col min="7945" max="7946" width="14" style="74" customWidth="1"/>
    <col min="7947" max="7947" width="13.296875" style="74" customWidth="1"/>
    <col min="7948" max="7948" width="14.69921875" style="74" customWidth="1"/>
    <col min="7949" max="8193" width="9.296875" style="74"/>
    <col min="8194" max="8194" width="6.69921875" style="74" customWidth="1"/>
    <col min="8195" max="8195" width="24.69921875" style="74" customWidth="1"/>
    <col min="8196" max="8196" width="13" style="74" customWidth="1"/>
    <col min="8197" max="8198" width="15.5" style="74" customWidth="1"/>
    <col min="8199" max="8199" width="11.5" style="74" customWidth="1"/>
    <col min="8200" max="8200" width="13" style="74" customWidth="1"/>
    <col min="8201" max="8202" width="14" style="74" customWidth="1"/>
    <col min="8203" max="8203" width="13.296875" style="74" customWidth="1"/>
    <col min="8204" max="8204" width="14.69921875" style="74" customWidth="1"/>
    <col min="8205" max="8449" width="9.296875" style="74"/>
    <col min="8450" max="8450" width="6.69921875" style="74" customWidth="1"/>
    <col min="8451" max="8451" width="24.69921875" style="74" customWidth="1"/>
    <col min="8452" max="8452" width="13" style="74" customWidth="1"/>
    <col min="8453" max="8454" width="15.5" style="74" customWidth="1"/>
    <col min="8455" max="8455" width="11.5" style="74" customWidth="1"/>
    <col min="8456" max="8456" width="13" style="74" customWidth="1"/>
    <col min="8457" max="8458" width="14" style="74" customWidth="1"/>
    <col min="8459" max="8459" width="13.296875" style="74" customWidth="1"/>
    <col min="8460" max="8460" width="14.69921875" style="74" customWidth="1"/>
    <col min="8461" max="8705" width="9.296875" style="74"/>
    <col min="8706" max="8706" width="6.69921875" style="74" customWidth="1"/>
    <col min="8707" max="8707" width="24.69921875" style="74" customWidth="1"/>
    <col min="8708" max="8708" width="13" style="74" customWidth="1"/>
    <col min="8709" max="8710" width="15.5" style="74" customWidth="1"/>
    <col min="8711" max="8711" width="11.5" style="74" customWidth="1"/>
    <col min="8712" max="8712" width="13" style="74" customWidth="1"/>
    <col min="8713" max="8714" width="14" style="74" customWidth="1"/>
    <col min="8715" max="8715" width="13.296875" style="74" customWidth="1"/>
    <col min="8716" max="8716" width="14.69921875" style="74" customWidth="1"/>
    <col min="8717" max="8961" width="9.296875" style="74"/>
    <col min="8962" max="8962" width="6.69921875" style="74" customWidth="1"/>
    <col min="8963" max="8963" width="24.69921875" style="74" customWidth="1"/>
    <col min="8964" max="8964" width="13" style="74" customWidth="1"/>
    <col min="8965" max="8966" width="15.5" style="74" customWidth="1"/>
    <col min="8967" max="8967" width="11.5" style="74" customWidth="1"/>
    <col min="8968" max="8968" width="13" style="74" customWidth="1"/>
    <col min="8969" max="8970" width="14" style="74" customWidth="1"/>
    <col min="8971" max="8971" width="13.296875" style="74" customWidth="1"/>
    <col min="8972" max="8972" width="14.69921875" style="74" customWidth="1"/>
    <col min="8973" max="9217" width="9.296875" style="74"/>
    <col min="9218" max="9218" width="6.69921875" style="74" customWidth="1"/>
    <col min="9219" max="9219" width="24.69921875" style="74" customWidth="1"/>
    <col min="9220" max="9220" width="13" style="74" customWidth="1"/>
    <col min="9221" max="9222" width="15.5" style="74" customWidth="1"/>
    <col min="9223" max="9223" width="11.5" style="74" customWidth="1"/>
    <col min="9224" max="9224" width="13" style="74" customWidth="1"/>
    <col min="9225" max="9226" width="14" style="74" customWidth="1"/>
    <col min="9227" max="9227" width="13.296875" style="74" customWidth="1"/>
    <col min="9228" max="9228" width="14.69921875" style="74" customWidth="1"/>
    <col min="9229" max="9473" width="9.296875" style="74"/>
    <col min="9474" max="9474" width="6.69921875" style="74" customWidth="1"/>
    <col min="9475" max="9475" width="24.69921875" style="74" customWidth="1"/>
    <col min="9476" max="9476" width="13" style="74" customWidth="1"/>
    <col min="9477" max="9478" width="15.5" style="74" customWidth="1"/>
    <col min="9479" max="9479" width="11.5" style="74" customWidth="1"/>
    <col min="9480" max="9480" width="13" style="74" customWidth="1"/>
    <col min="9481" max="9482" width="14" style="74" customWidth="1"/>
    <col min="9483" max="9483" width="13.296875" style="74" customWidth="1"/>
    <col min="9484" max="9484" width="14.69921875" style="74" customWidth="1"/>
    <col min="9485" max="9729" width="9.296875" style="74"/>
    <col min="9730" max="9730" width="6.69921875" style="74" customWidth="1"/>
    <col min="9731" max="9731" width="24.69921875" style="74" customWidth="1"/>
    <col min="9732" max="9732" width="13" style="74" customWidth="1"/>
    <col min="9733" max="9734" width="15.5" style="74" customWidth="1"/>
    <col min="9735" max="9735" width="11.5" style="74" customWidth="1"/>
    <col min="9736" max="9736" width="13" style="74" customWidth="1"/>
    <col min="9737" max="9738" width="14" style="74" customWidth="1"/>
    <col min="9739" max="9739" width="13.296875" style="74" customWidth="1"/>
    <col min="9740" max="9740" width="14.69921875" style="74" customWidth="1"/>
    <col min="9741" max="9985" width="9.296875" style="74"/>
    <col min="9986" max="9986" width="6.69921875" style="74" customWidth="1"/>
    <col min="9987" max="9987" width="24.69921875" style="74" customWidth="1"/>
    <col min="9988" max="9988" width="13" style="74" customWidth="1"/>
    <col min="9989" max="9990" width="15.5" style="74" customWidth="1"/>
    <col min="9991" max="9991" width="11.5" style="74" customWidth="1"/>
    <col min="9992" max="9992" width="13" style="74" customWidth="1"/>
    <col min="9993" max="9994" width="14" style="74" customWidth="1"/>
    <col min="9995" max="9995" width="13.296875" style="74" customWidth="1"/>
    <col min="9996" max="9996" width="14.69921875" style="74" customWidth="1"/>
    <col min="9997" max="10241" width="9.296875" style="74"/>
    <col min="10242" max="10242" width="6.69921875" style="74" customWidth="1"/>
    <col min="10243" max="10243" width="24.69921875" style="74" customWidth="1"/>
    <col min="10244" max="10244" width="13" style="74" customWidth="1"/>
    <col min="10245" max="10246" width="15.5" style="74" customWidth="1"/>
    <col min="10247" max="10247" width="11.5" style="74" customWidth="1"/>
    <col min="10248" max="10248" width="13" style="74" customWidth="1"/>
    <col min="10249" max="10250" width="14" style="74" customWidth="1"/>
    <col min="10251" max="10251" width="13.296875" style="74" customWidth="1"/>
    <col min="10252" max="10252" width="14.69921875" style="74" customWidth="1"/>
    <col min="10253" max="10497" width="9.296875" style="74"/>
    <col min="10498" max="10498" width="6.69921875" style="74" customWidth="1"/>
    <col min="10499" max="10499" width="24.69921875" style="74" customWidth="1"/>
    <col min="10500" max="10500" width="13" style="74" customWidth="1"/>
    <col min="10501" max="10502" width="15.5" style="74" customWidth="1"/>
    <col min="10503" max="10503" width="11.5" style="74" customWidth="1"/>
    <col min="10504" max="10504" width="13" style="74" customWidth="1"/>
    <col min="10505" max="10506" width="14" style="74" customWidth="1"/>
    <col min="10507" max="10507" width="13.296875" style="74" customWidth="1"/>
    <col min="10508" max="10508" width="14.69921875" style="74" customWidth="1"/>
    <col min="10509" max="10753" width="9.296875" style="74"/>
    <col min="10754" max="10754" width="6.69921875" style="74" customWidth="1"/>
    <col min="10755" max="10755" width="24.69921875" style="74" customWidth="1"/>
    <col min="10756" max="10756" width="13" style="74" customWidth="1"/>
    <col min="10757" max="10758" width="15.5" style="74" customWidth="1"/>
    <col min="10759" max="10759" width="11.5" style="74" customWidth="1"/>
    <col min="10760" max="10760" width="13" style="74" customWidth="1"/>
    <col min="10761" max="10762" width="14" style="74" customWidth="1"/>
    <col min="10763" max="10763" width="13.296875" style="74" customWidth="1"/>
    <col min="10764" max="10764" width="14.69921875" style="74" customWidth="1"/>
    <col min="10765" max="11009" width="9.296875" style="74"/>
    <col min="11010" max="11010" width="6.69921875" style="74" customWidth="1"/>
    <col min="11011" max="11011" width="24.69921875" style="74" customWidth="1"/>
    <col min="11012" max="11012" width="13" style="74" customWidth="1"/>
    <col min="11013" max="11014" width="15.5" style="74" customWidth="1"/>
    <col min="11015" max="11015" width="11.5" style="74" customWidth="1"/>
    <col min="11016" max="11016" width="13" style="74" customWidth="1"/>
    <col min="11017" max="11018" width="14" style="74" customWidth="1"/>
    <col min="11019" max="11019" width="13.296875" style="74" customWidth="1"/>
    <col min="11020" max="11020" width="14.69921875" style="74" customWidth="1"/>
    <col min="11021" max="11265" width="9.296875" style="74"/>
    <col min="11266" max="11266" width="6.69921875" style="74" customWidth="1"/>
    <col min="11267" max="11267" width="24.69921875" style="74" customWidth="1"/>
    <col min="11268" max="11268" width="13" style="74" customWidth="1"/>
    <col min="11269" max="11270" width="15.5" style="74" customWidth="1"/>
    <col min="11271" max="11271" width="11.5" style="74" customWidth="1"/>
    <col min="11272" max="11272" width="13" style="74" customWidth="1"/>
    <col min="11273" max="11274" width="14" style="74" customWidth="1"/>
    <col min="11275" max="11275" width="13.296875" style="74" customWidth="1"/>
    <col min="11276" max="11276" width="14.69921875" style="74" customWidth="1"/>
    <col min="11277" max="11521" width="9.296875" style="74"/>
    <col min="11522" max="11522" width="6.69921875" style="74" customWidth="1"/>
    <col min="11523" max="11523" width="24.69921875" style="74" customWidth="1"/>
    <col min="11524" max="11524" width="13" style="74" customWidth="1"/>
    <col min="11525" max="11526" width="15.5" style="74" customWidth="1"/>
    <col min="11527" max="11527" width="11.5" style="74" customWidth="1"/>
    <col min="11528" max="11528" width="13" style="74" customWidth="1"/>
    <col min="11529" max="11530" width="14" style="74" customWidth="1"/>
    <col min="11531" max="11531" width="13.296875" style="74" customWidth="1"/>
    <col min="11532" max="11532" width="14.69921875" style="74" customWidth="1"/>
    <col min="11533" max="11777" width="9.296875" style="74"/>
    <col min="11778" max="11778" width="6.69921875" style="74" customWidth="1"/>
    <col min="11779" max="11779" width="24.69921875" style="74" customWidth="1"/>
    <col min="11780" max="11780" width="13" style="74" customWidth="1"/>
    <col min="11781" max="11782" width="15.5" style="74" customWidth="1"/>
    <col min="11783" max="11783" width="11.5" style="74" customWidth="1"/>
    <col min="11784" max="11784" width="13" style="74" customWidth="1"/>
    <col min="11785" max="11786" width="14" style="74" customWidth="1"/>
    <col min="11787" max="11787" width="13.296875" style="74" customWidth="1"/>
    <col min="11788" max="11788" width="14.69921875" style="74" customWidth="1"/>
    <col min="11789" max="12033" width="9.296875" style="74"/>
    <col min="12034" max="12034" width="6.69921875" style="74" customWidth="1"/>
    <col min="12035" max="12035" width="24.69921875" style="74" customWidth="1"/>
    <col min="12036" max="12036" width="13" style="74" customWidth="1"/>
    <col min="12037" max="12038" width="15.5" style="74" customWidth="1"/>
    <col min="12039" max="12039" width="11.5" style="74" customWidth="1"/>
    <col min="12040" max="12040" width="13" style="74" customWidth="1"/>
    <col min="12041" max="12042" width="14" style="74" customWidth="1"/>
    <col min="12043" max="12043" width="13.296875" style="74" customWidth="1"/>
    <col min="12044" max="12044" width="14.69921875" style="74" customWidth="1"/>
    <col min="12045" max="12289" width="9.296875" style="74"/>
    <col min="12290" max="12290" width="6.69921875" style="74" customWidth="1"/>
    <col min="12291" max="12291" width="24.69921875" style="74" customWidth="1"/>
    <col min="12292" max="12292" width="13" style="74" customWidth="1"/>
    <col min="12293" max="12294" width="15.5" style="74" customWidth="1"/>
    <col min="12295" max="12295" width="11.5" style="74" customWidth="1"/>
    <col min="12296" max="12296" width="13" style="74" customWidth="1"/>
    <col min="12297" max="12298" width="14" style="74" customWidth="1"/>
    <col min="12299" max="12299" width="13.296875" style="74" customWidth="1"/>
    <col min="12300" max="12300" width="14.69921875" style="74" customWidth="1"/>
    <col min="12301" max="12545" width="9.296875" style="74"/>
    <col min="12546" max="12546" width="6.69921875" style="74" customWidth="1"/>
    <col min="12547" max="12547" width="24.69921875" style="74" customWidth="1"/>
    <col min="12548" max="12548" width="13" style="74" customWidth="1"/>
    <col min="12549" max="12550" width="15.5" style="74" customWidth="1"/>
    <col min="12551" max="12551" width="11.5" style="74" customWidth="1"/>
    <col min="12552" max="12552" width="13" style="74" customWidth="1"/>
    <col min="12553" max="12554" width="14" style="74" customWidth="1"/>
    <col min="12555" max="12555" width="13.296875" style="74" customWidth="1"/>
    <col min="12556" max="12556" width="14.69921875" style="74" customWidth="1"/>
    <col min="12557" max="12801" width="9.296875" style="74"/>
    <col min="12802" max="12802" width="6.69921875" style="74" customWidth="1"/>
    <col min="12803" max="12803" width="24.69921875" style="74" customWidth="1"/>
    <col min="12804" max="12804" width="13" style="74" customWidth="1"/>
    <col min="12805" max="12806" width="15.5" style="74" customWidth="1"/>
    <col min="12807" max="12807" width="11.5" style="74" customWidth="1"/>
    <col min="12808" max="12808" width="13" style="74" customWidth="1"/>
    <col min="12809" max="12810" width="14" style="74" customWidth="1"/>
    <col min="12811" max="12811" width="13.296875" style="74" customWidth="1"/>
    <col min="12812" max="12812" width="14.69921875" style="74" customWidth="1"/>
    <col min="12813" max="13057" width="9.296875" style="74"/>
    <col min="13058" max="13058" width="6.69921875" style="74" customWidth="1"/>
    <col min="13059" max="13059" width="24.69921875" style="74" customWidth="1"/>
    <col min="13060" max="13060" width="13" style="74" customWidth="1"/>
    <col min="13061" max="13062" width="15.5" style="74" customWidth="1"/>
    <col min="13063" max="13063" width="11.5" style="74" customWidth="1"/>
    <col min="13064" max="13064" width="13" style="74" customWidth="1"/>
    <col min="13065" max="13066" width="14" style="74" customWidth="1"/>
    <col min="13067" max="13067" width="13.296875" style="74" customWidth="1"/>
    <col min="13068" max="13068" width="14.69921875" style="74" customWidth="1"/>
    <col min="13069" max="13313" width="9.296875" style="74"/>
    <col min="13314" max="13314" width="6.69921875" style="74" customWidth="1"/>
    <col min="13315" max="13315" width="24.69921875" style="74" customWidth="1"/>
    <col min="13316" max="13316" width="13" style="74" customWidth="1"/>
    <col min="13317" max="13318" width="15.5" style="74" customWidth="1"/>
    <col min="13319" max="13319" width="11.5" style="74" customWidth="1"/>
    <col min="13320" max="13320" width="13" style="74" customWidth="1"/>
    <col min="13321" max="13322" width="14" style="74" customWidth="1"/>
    <col min="13323" max="13323" width="13.296875" style="74" customWidth="1"/>
    <col min="13324" max="13324" width="14.69921875" style="74" customWidth="1"/>
    <col min="13325" max="13569" width="9.296875" style="74"/>
    <col min="13570" max="13570" width="6.69921875" style="74" customWidth="1"/>
    <col min="13571" max="13571" width="24.69921875" style="74" customWidth="1"/>
    <col min="13572" max="13572" width="13" style="74" customWidth="1"/>
    <col min="13573" max="13574" width="15.5" style="74" customWidth="1"/>
    <col min="13575" max="13575" width="11.5" style="74" customWidth="1"/>
    <col min="13576" max="13576" width="13" style="74" customWidth="1"/>
    <col min="13577" max="13578" width="14" style="74" customWidth="1"/>
    <col min="13579" max="13579" width="13.296875" style="74" customWidth="1"/>
    <col min="13580" max="13580" width="14.69921875" style="74" customWidth="1"/>
    <col min="13581" max="13825" width="9.296875" style="74"/>
    <col min="13826" max="13826" width="6.69921875" style="74" customWidth="1"/>
    <col min="13827" max="13827" width="24.69921875" style="74" customWidth="1"/>
    <col min="13828" max="13828" width="13" style="74" customWidth="1"/>
    <col min="13829" max="13830" width="15.5" style="74" customWidth="1"/>
    <col min="13831" max="13831" width="11.5" style="74" customWidth="1"/>
    <col min="13832" max="13832" width="13" style="74" customWidth="1"/>
    <col min="13833" max="13834" width="14" style="74" customWidth="1"/>
    <col min="13835" max="13835" width="13.296875" style="74" customWidth="1"/>
    <col min="13836" max="13836" width="14.69921875" style="74" customWidth="1"/>
    <col min="13837" max="14081" width="9.296875" style="74"/>
    <col min="14082" max="14082" width="6.69921875" style="74" customWidth="1"/>
    <col min="14083" max="14083" width="24.69921875" style="74" customWidth="1"/>
    <col min="14084" max="14084" width="13" style="74" customWidth="1"/>
    <col min="14085" max="14086" width="15.5" style="74" customWidth="1"/>
    <col min="14087" max="14087" width="11.5" style="74" customWidth="1"/>
    <col min="14088" max="14088" width="13" style="74" customWidth="1"/>
    <col min="14089" max="14090" width="14" style="74" customWidth="1"/>
    <col min="14091" max="14091" width="13.296875" style="74" customWidth="1"/>
    <col min="14092" max="14092" width="14.69921875" style="74" customWidth="1"/>
    <col min="14093" max="14337" width="9.296875" style="74"/>
    <col min="14338" max="14338" width="6.69921875" style="74" customWidth="1"/>
    <col min="14339" max="14339" width="24.69921875" style="74" customWidth="1"/>
    <col min="14340" max="14340" width="13" style="74" customWidth="1"/>
    <col min="14341" max="14342" width="15.5" style="74" customWidth="1"/>
    <col min="14343" max="14343" width="11.5" style="74" customWidth="1"/>
    <col min="14344" max="14344" width="13" style="74" customWidth="1"/>
    <col min="14345" max="14346" width="14" style="74" customWidth="1"/>
    <col min="14347" max="14347" width="13.296875" style="74" customWidth="1"/>
    <col min="14348" max="14348" width="14.69921875" style="74" customWidth="1"/>
    <col min="14349" max="14593" width="9.296875" style="74"/>
    <col min="14594" max="14594" width="6.69921875" style="74" customWidth="1"/>
    <col min="14595" max="14595" width="24.69921875" style="74" customWidth="1"/>
    <col min="14596" max="14596" width="13" style="74" customWidth="1"/>
    <col min="14597" max="14598" width="15.5" style="74" customWidth="1"/>
    <col min="14599" max="14599" width="11.5" style="74" customWidth="1"/>
    <col min="14600" max="14600" width="13" style="74" customWidth="1"/>
    <col min="14601" max="14602" width="14" style="74" customWidth="1"/>
    <col min="14603" max="14603" width="13.296875" style="74" customWidth="1"/>
    <col min="14604" max="14604" width="14.69921875" style="74" customWidth="1"/>
    <col min="14605" max="14849" width="9.296875" style="74"/>
    <col min="14850" max="14850" width="6.69921875" style="74" customWidth="1"/>
    <col min="14851" max="14851" width="24.69921875" style="74" customWidth="1"/>
    <col min="14852" max="14852" width="13" style="74" customWidth="1"/>
    <col min="14853" max="14854" width="15.5" style="74" customWidth="1"/>
    <col min="14855" max="14855" width="11.5" style="74" customWidth="1"/>
    <col min="14856" max="14856" width="13" style="74" customWidth="1"/>
    <col min="14857" max="14858" width="14" style="74" customWidth="1"/>
    <col min="14859" max="14859" width="13.296875" style="74" customWidth="1"/>
    <col min="14860" max="14860" width="14.69921875" style="74" customWidth="1"/>
    <col min="14861" max="15105" width="9.296875" style="74"/>
    <col min="15106" max="15106" width="6.69921875" style="74" customWidth="1"/>
    <col min="15107" max="15107" width="24.69921875" style="74" customWidth="1"/>
    <col min="15108" max="15108" width="13" style="74" customWidth="1"/>
    <col min="15109" max="15110" width="15.5" style="74" customWidth="1"/>
    <col min="15111" max="15111" width="11.5" style="74" customWidth="1"/>
    <col min="15112" max="15112" width="13" style="74" customWidth="1"/>
    <col min="15113" max="15114" width="14" style="74" customWidth="1"/>
    <col min="15115" max="15115" width="13.296875" style="74" customWidth="1"/>
    <col min="15116" max="15116" width="14.69921875" style="74" customWidth="1"/>
    <col min="15117" max="15361" width="9.296875" style="74"/>
    <col min="15362" max="15362" width="6.69921875" style="74" customWidth="1"/>
    <col min="15363" max="15363" width="24.69921875" style="74" customWidth="1"/>
    <col min="15364" max="15364" width="13" style="74" customWidth="1"/>
    <col min="15365" max="15366" width="15.5" style="74" customWidth="1"/>
    <col min="15367" max="15367" width="11.5" style="74" customWidth="1"/>
    <col min="15368" max="15368" width="13" style="74" customWidth="1"/>
    <col min="15369" max="15370" width="14" style="74" customWidth="1"/>
    <col min="15371" max="15371" width="13.296875" style="74" customWidth="1"/>
    <col min="15372" max="15372" width="14.69921875" style="74" customWidth="1"/>
    <col min="15373" max="15617" width="9.296875" style="74"/>
    <col min="15618" max="15618" width="6.69921875" style="74" customWidth="1"/>
    <col min="15619" max="15619" width="24.69921875" style="74" customWidth="1"/>
    <col min="15620" max="15620" width="13" style="74" customWidth="1"/>
    <col min="15621" max="15622" width="15.5" style="74" customWidth="1"/>
    <col min="15623" max="15623" width="11.5" style="74" customWidth="1"/>
    <col min="15624" max="15624" width="13" style="74" customWidth="1"/>
    <col min="15625" max="15626" width="14" style="74" customWidth="1"/>
    <col min="15627" max="15627" width="13.296875" style="74" customWidth="1"/>
    <col min="15628" max="15628" width="14.69921875" style="74" customWidth="1"/>
    <col min="15629" max="15873" width="9.296875" style="74"/>
    <col min="15874" max="15874" width="6.69921875" style="74" customWidth="1"/>
    <col min="15875" max="15875" width="24.69921875" style="74" customWidth="1"/>
    <col min="15876" max="15876" width="13" style="74" customWidth="1"/>
    <col min="15877" max="15878" width="15.5" style="74" customWidth="1"/>
    <col min="15879" max="15879" width="11.5" style="74" customWidth="1"/>
    <col min="15880" max="15880" width="13" style="74" customWidth="1"/>
    <col min="15881" max="15882" width="14" style="74" customWidth="1"/>
    <col min="15883" max="15883" width="13.296875" style="74" customWidth="1"/>
    <col min="15884" max="15884" width="14.69921875" style="74" customWidth="1"/>
    <col min="15885" max="16129" width="9.296875" style="74"/>
    <col min="16130" max="16130" width="6.69921875" style="74" customWidth="1"/>
    <col min="16131" max="16131" width="24.69921875" style="74" customWidth="1"/>
    <col min="16132" max="16132" width="13" style="74" customWidth="1"/>
    <col min="16133" max="16134" width="15.5" style="74" customWidth="1"/>
    <col min="16135" max="16135" width="11.5" style="74" customWidth="1"/>
    <col min="16136" max="16136" width="13" style="74" customWidth="1"/>
    <col min="16137" max="16138" width="14" style="74" customWidth="1"/>
    <col min="16139" max="16139" width="13.296875" style="74" customWidth="1"/>
    <col min="16140" max="16140" width="14.69921875" style="74" customWidth="1"/>
    <col min="16141" max="16384" width="9.296875" style="74"/>
  </cols>
  <sheetData>
    <row r="1" spans="1:12" ht="33" customHeight="1" x14ac:dyDescent="0.3">
      <c r="A1" s="757" t="s">
        <v>529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</row>
    <row r="2" spans="1:12" ht="14" x14ac:dyDescent="0.3">
      <c r="A2" s="75"/>
      <c r="B2" s="76"/>
      <c r="C2" s="76"/>
      <c r="D2" s="77"/>
      <c r="E2" s="78"/>
      <c r="F2" s="78"/>
      <c r="G2" s="79"/>
      <c r="H2" s="79"/>
      <c r="I2" s="78"/>
    </row>
    <row r="3" spans="1:12" ht="14" x14ac:dyDescent="0.3">
      <c r="A3" s="75"/>
      <c r="B3" s="80"/>
      <c r="C3" s="80"/>
      <c r="D3" s="258"/>
      <c r="E3" s="256"/>
      <c r="F3" s="256"/>
      <c r="G3" s="77"/>
      <c r="H3" s="77"/>
      <c r="I3" s="77"/>
      <c r="L3" s="101" t="s">
        <v>1</v>
      </c>
    </row>
    <row r="4" spans="1:12" s="83" customFormat="1" ht="69.75" customHeight="1" x14ac:dyDescent="0.3">
      <c r="A4" s="499" t="s">
        <v>407</v>
      </c>
      <c r="B4" s="499" t="s">
        <v>454</v>
      </c>
      <c r="C4" s="499" t="s">
        <v>455</v>
      </c>
      <c r="D4" s="499" t="s">
        <v>744</v>
      </c>
      <c r="E4" s="499" t="s">
        <v>456</v>
      </c>
      <c r="F4" s="499" t="s">
        <v>457</v>
      </c>
      <c r="G4" s="500" t="s">
        <v>458</v>
      </c>
      <c r="H4" s="500" t="s">
        <v>427</v>
      </c>
      <c r="I4" s="259" t="s">
        <v>459</v>
      </c>
      <c r="J4" s="501" t="s">
        <v>189</v>
      </c>
      <c r="K4" s="501" t="s">
        <v>745</v>
      </c>
      <c r="L4" s="259" t="s">
        <v>460</v>
      </c>
    </row>
    <row r="5" spans="1:12" ht="31.5" customHeight="1" x14ac:dyDescent="0.3">
      <c r="A5" s="502" t="s">
        <v>10</v>
      </c>
      <c r="B5" s="503" t="s">
        <v>463</v>
      </c>
      <c r="C5" s="584" t="s">
        <v>464</v>
      </c>
      <c r="D5" s="505"/>
      <c r="E5" s="506"/>
      <c r="F5" s="506"/>
      <c r="G5" s="507"/>
      <c r="H5" s="507"/>
      <c r="I5" s="506"/>
      <c r="J5" s="508">
        <v>0</v>
      </c>
      <c r="K5" s="508">
        <f>'11.sz.mell'!F37</f>
        <v>27195291</v>
      </c>
      <c r="L5" s="508">
        <f>SUM(D5:K5)</f>
        <v>27195291</v>
      </c>
    </row>
    <row r="6" spans="1:12" ht="31.5" customHeight="1" x14ac:dyDescent="0.3">
      <c r="A6" s="502"/>
      <c r="B6" s="503" t="s">
        <v>860</v>
      </c>
      <c r="C6" s="584"/>
      <c r="D6" s="505"/>
      <c r="E6" s="506"/>
      <c r="F6" s="506"/>
      <c r="G6" s="507"/>
      <c r="H6" s="507"/>
      <c r="I6" s="506"/>
      <c r="J6" s="508">
        <v>788326</v>
      </c>
      <c r="K6" s="508">
        <f>K7-K5</f>
        <v>1798193</v>
      </c>
      <c r="L6" s="508">
        <f t="shared" ref="L6:L7" si="0">SUM(D6:K6)</f>
        <v>2586519</v>
      </c>
    </row>
    <row r="7" spans="1:12" s="84" customFormat="1" ht="31.5" customHeight="1" x14ac:dyDescent="0.35">
      <c r="A7" s="499"/>
      <c r="B7" s="509" t="s">
        <v>859</v>
      </c>
      <c r="C7" s="585"/>
      <c r="D7" s="511"/>
      <c r="E7" s="512"/>
      <c r="F7" s="512"/>
      <c r="G7" s="513"/>
      <c r="H7" s="513"/>
      <c r="I7" s="512"/>
      <c r="J7" s="514">
        <v>788326</v>
      </c>
      <c r="K7" s="514">
        <v>28993484</v>
      </c>
      <c r="L7" s="514">
        <f t="shared" si="0"/>
        <v>29781810</v>
      </c>
    </row>
    <row r="8" spans="1:12" ht="39" customHeight="1" x14ac:dyDescent="0.3">
      <c r="A8" s="502" t="s">
        <v>13</v>
      </c>
      <c r="B8" s="503" t="s">
        <v>747</v>
      </c>
      <c r="C8" s="584" t="s">
        <v>746</v>
      </c>
      <c r="D8" s="505">
        <f>'11.sz.mell'!F8</f>
        <v>640402</v>
      </c>
      <c r="E8" s="506"/>
      <c r="F8" s="506"/>
      <c r="G8" s="507"/>
      <c r="H8" s="507"/>
      <c r="I8" s="506"/>
      <c r="J8" s="508"/>
      <c r="K8" s="508"/>
      <c r="L8" s="508">
        <f>SUM(D8:K8)</f>
        <v>640402</v>
      </c>
    </row>
    <row r="9" spans="1:12" ht="31.5" customHeight="1" x14ac:dyDescent="0.3">
      <c r="A9" s="502"/>
      <c r="B9" s="503" t="s">
        <v>860</v>
      </c>
      <c r="C9" s="584"/>
      <c r="D9" s="505">
        <f>D10-D8</f>
        <v>6740711</v>
      </c>
      <c r="E9" s="506"/>
      <c r="F9" s="506">
        <v>0</v>
      </c>
      <c r="G9" s="507"/>
      <c r="H9" s="507"/>
      <c r="I9" s="506"/>
      <c r="J9" s="508"/>
      <c r="K9" s="508"/>
      <c r="L9" s="508">
        <f t="shared" ref="L9:L10" si="1">SUM(D9:K9)</f>
        <v>6740711</v>
      </c>
    </row>
    <row r="10" spans="1:12" s="84" customFormat="1" ht="31.5" customHeight="1" x14ac:dyDescent="0.35">
      <c r="A10" s="499"/>
      <c r="B10" s="509" t="s">
        <v>859</v>
      </c>
      <c r="C10" s="585"/>
      <c r="D10" s="511">
        <v>7381113</v>
      </c>
      <c r="E10" s="512"/>
      <c r="F10" s="512">
        <v>0</v>
      </c>
      <c r="G10" s="513"/>
      <c r="H10" s="513"/>
      <c r="I10" s="512"/>
      <c r="J10" s="514"/>
      <c r="K10" s="514"/>
      <c r="L10" s="514">
        <f t="shared" si="1"/>
        <v>7381113</v>
      </c>
    </row>
    <row r="11" spans="1:12" ht="31.5" customHeight="1" x14ac:dyDescent="0.3">
      <c r="A11" s="502" t="s">
        <v>16</v>
      </c>
      <c r="B11" s="503" t="s">
        <v>749</v>
      </c>
      <c r="C11" s="584" t="s">
        <v>748</v>
      </c>
      <c r="D11" s="505"/>
      <c r="E11" s="506"/>
      <c r="F11" s="506">
        <f>'11.sz.mell'!F17</f>
        <v>700000</v>
      </c>
      <c r="G11" s="507"/>
      <c r="H11" s="507"/>
      <c r="I11" s="506"/>
      <c r="J11" s="508"/>
      <c r="K11" s="508"/>
      <c r="L11" s="508">
        <f>SUM(D11:K11)</f>
        <v>700000</v>
      </c>
    </row>
    <row r="12" spans="1:12" ht="31.5" customHeight="1" x14ac:dyDescent="0.3">
      <c r="A12" s="502"/>
      <c r="B12" s="503" t="s">
        <v>860</v>
      </c>
      <c r="C12" s="584"/>
      <c r="D12" s="505"/>
      <c r="E12" s="506"/>
      <c r="F12" s="506">
        <v>1166</v>
      </c>
      <c r="G12" s="507"/>
      <c r="H12" s="507">
        <v>45000</v>
      </c>
      <c r="I12" s="506"/>
      <c r="J12" s="508"/>
      <c r="K12" s="508"/>
      <c r="L12" s="508">
        <f t="shared" ref="L12:L13" si="2">SUM(D12:K12)</f>
        <v>46166</v>
      </c>
    </row>
    <row r="13" spans="1:12" s="84" customFormat="1" ht="31.5" customHeight="1" x14ac:dyDescent="0.35">
      <c r="A13" s="499"/>
      <c r="B13" s="509" t="s">
        <v>859</v>
      </c>
      <c r="C13" s="585"/>
      <c r="D13" s="511"/>
      <c r="E13" s="512"/>
      <c r="F13" s="512">
        <v>701166</v>
      </c>
      <c r="G13" s="513"/>
      <c r="H13" s="513">
        <v>45000</v>
      </c>
      <c r="I13" s="512"/>
      <c r="J13" s="514"/>
      <c r="K13" s="514"/>
      <c r="L13" s="514">
        <f t="shared" si="2"/>
        <v>746166</v>
      </c>
    </row>
    <row r="14" spans="1:12" s="84" customFormat="1" ht="33" customHeight="1" x14ac:dyDescent="0.35">
      <c r="A14" s="566" t="s">
        <v>19</v>
      </c>
      <c r="B14" s="517" t="s">
        <v>408</v>
      </c>
      <c r="C14" s="518"/>
      <c r="D14" s="529">
        <f>D13+D10+D7</f>
        <v>7381113</v>
      </c>
      <c r="E14" s="529">
        <f t="shared" ref="E14:L14" si="3">E13+E10+E7</f>
        <v>0</v>
      </c>
      <c r="F14" s="529">
        <f t="shared" si="3"/>
        <v>701166</v>
      </c>
      <c r="G14" s="529">
        <f t="shared" si="3"/>
        <v>0</v>
      </c>
      <c r="H14" s="529">
        <f t="shared" si="3"/>
        <v>45000</v>
      </c>
      <c r="I14" s="529">
        <f t="shared" si="3"/>
        <v>0</v>
      </c>
      <c r="J14" s="529">
        <f t="shared" si="3"/>
        <v>788326</v>
      </c>
      <c r="K14" s="529">
        <f t="shared" si="3"/>
        <v>28993484</v>
      </c>
      <c r="L14" s="529">
        <f t="shared" si="3"/>
        <v>37909089</v>
      </c>
    </row>
    <row r="15" spans="1:12" ht="21" customHeight="1" x14ac:dyDescent="0.3">
      <c r="A15" s="85"/>
      <c r="B15" s="86"/>
      <c r="C15" s="86"/>
      <c r="D15" s="87"/>
      <c r="E15" s="88"/>
      <c r="F15" s="87"/>
      <c r="G15" s="87"/>
      <c r="H15" s="87"/>
      <c r="I15" s="89"/>
    </row>
    <row r="16" spans="1:12" ht="42" customHeight="1" x14ac:dyDescent="0.3">
      <c r="A16" s="85"/>
      <c r="B16" s="90"/>
      <c r="C16" s="91"/>
      <c r="D16" s="92"/>
      <c r="E16" s="88"/>
      <c r="F16" s="88"/>
      <c r="G16" s="87"/>
      <c r="H16" s="87"/>
      <c r="I16" s="87"/>
    </row>
    <row r="17" spans="1:9" ht="42" customHeight="1" x14ac:dyDescent="0.3">
      <c r="A17" s="93"/>
      <c r="B17" s="94"/>
      <c r="C17" s="95"/>
      <c r="D17" s="96"/>
      <c r="E17" s="78"/>
      <c r="F17" s="78"/>
      <c r="G17" s="79"/>
      <c r="H17" s="79"/>
      <c r="I17" s="79"/>
    </row>
    <row r="18" spans="1:9" ht="14" x14ac:dyDescent="0.3">
      <c r="A18" s="75"/>
      <c r="B18" s="76"/>
      <c r="C18" s="76"/>
      <c r="D18" s="77"/>
      <c r="E18" s="77"/>
      <c r="F18" s="77"/>
      <c r="G18" s="77"/>
      <c r="H18" s="77"/>
      <c r="I18" s="77"/>
    </row>
    <row r="19" spans="1:9" s="98" customFormat="1" ht="14" x14ac:dyDescent="0.3">
      <c r="A19" s="75"/>
      <c r="B19" s="76"/>
      <c r="C19" s="76"/>
      <c r="D19" s="77"/>
      <c r="E19" s="78"/>
      <c r="F19" s="97"/>
      <c r="G19" s="97"/>
      <c r="H19" s="97"/>
      <c r="I19" s="97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16/2017. (IX.04.)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view="pageLayout" topLeftCell="C1" zoomScaleNormal="100" workbookViewId="0">
      <selection activeCell="E5" sqref="E5"/>
    </sheetView>
  </sheetViews>
  <sheetFormatPr defaultRowHeight="13" x14ac:dyDescent="0.3"/>
  <cols>
    <col min="1" max="1" width="5.796875" style="99" customWidth="1"/>
    <col min="2" max="2" width="22.296875" style="74" customWidth="1"/>
    <col min="3" max="3" width="13" style="74" customWidth="1"/>
    <col min="4" max="4" width="12.796875" style="100" customWidth="1"/>
    <col min="5" max="5" width="15.5" style="100" customWidth="1"/>
    <col min="6" max="6" width="11.19921875" style="100" customWidth="1"/>
    <col min="7" max="7" width="13.296875" style="100" customWidth="1"/>
    <col min="8" max="9" width="14" style="100" customWidth="1"/>
    <col min="10" max="10" width="13.296875" style="74" customWidth="1"/>
    <col min="11" max="11" width="12.296875" style="74" customWidth="1"/>
    <col min="12" max="12" width="14.296875" style="74" customWidth="1"/>
    <col min="13" max="13" width="15.19921875" style="74" customWidth="1"/>
    <col min="14" max="256" width="9.296875" style="74"/>
    <col min="257" max="257" width="5.796875" style="74" customWidth="1"/>
    <col min="258" max="258" width="22.296875" style="74" customWidth="1"/>
    <col min="259" max="259" width="13" style="74" customWidth="1"/>
    <col min="260" max="260" width="11" style="74" customWidth="1"/>
    <col min="261" max="261" width="15.5" style="74" customWidth="1"/>
    <col min="262" max="262" width="11.19921875" style="74" customWidth="1"/>
    <col min="263" max="263" width="13.296875" style="74" customWidth="1"/>
    <col min="264" max="265" width="14" style="74" customWidth="1"/>
    <col min="266" max="266" width="13.296875" style="74" customWidth="1"/>
    <col min="267" max="267" width="12.296875" style="74" customWidth="1"/>
    <col min="268" max="268" width="14.296875" style="74" customWidth="1"/>
    <col min="269" max="269" width="15.19921875" style="74" customWidth="1"/>
    <col min="270" max="512" width="9.296875" style="74"/>
    <col min="513" max="513" width="5.796875" style="74" customWidth="1"/>
    <col min="514" max="514" width="22.296875" style="74" customWidth="1"/>
    <col min="515" max="515" width="13" style="74" customWidth="1"/>
    <col min="516" max="516" width="11" style="74" customWidth="1"/>
    <col min="517" max="517" width="15.5" style="74" customWidth="1"/>
    <col min="518" max="518" width="11.19921875" style="74" customWidth="1"/>
    <col min="519" max="519" width="13.296875" style="74" customWidth="1"/>
    <col min="520" max="521" width="14" style="74" customWidth="1"/>
    <col min="522" max="522" width="13.296875" style="74" customWidth="1"/>
    <col min="523" max="523" width="12.296875" style="74" customWidth="1"/>
    <col min="524" max="524" width="14.296875" style="74" customWidth="1"/>
    <col min="525" max="525" width="15.19921875" style="74" customWidth="1"/>
    <col min="526" max="768" width="9.296875" style="74"/>
    <col min="769" max="769" width="5.796875" style="74" customWidth="1"/>
    <col min="770" max="770" width="22.296875" style="74" customWidth="1"/>
    <col min="771" max="771" width="13" style="74" customWidth="1"/>
    <col min="772" max="772" width="11" style="74" customWidth="1"/>
    <col min="773" max="773" width="15.5" style="74" customWidth="1"/>
    <col min="774" max="774" width="11.19921875" style="74" customWidth="1"/>
    <col min="775" max="775" width="13.296875" style="74" customWidth="1"/>
    <col min="776" max="777" width="14" style="74" customWidth="1"/>
    <col min="778" max="778" width="13.296875" style="74" customWidth="1"/>
    <col min="779" max="779" width="12.296875" style="74" customWidth="1"/>
    <col min="780" max="780" width="14.296875" style="74" customWidth="1"/>
    <col min="781" max="781" width="15.19921875" style="74" customWidth="1"/>
    <col min="782" max="1024" width="9.296875" style="74"/>
    <col min="1025" max="1025" width="5.796875" style="74" customWidth="1"/>
    <col min="1026" max="1026" width="22.296875" style="74" customWidth="1"/>
    <col min="1027" max="1027" width="13" style="74" customWidth="1"/>
    <col min="1028" max="1028" width="11" style="74" customWidth="1"/>
    <col min="1029" max="1029" width="15.5" style="74" customWidth="1"/>
    <col min="1030" max="1030" width="11.19921875" style="74" customWidth="1"/>
    <col min="1031" max="1031" width="13.296875" style="74" customWidth="1"/>
    <col min="1032" max="1033" width="14" style="74" customWidth="1"/>
    <col min="1034" max="1034" width="13.296875" style="74" customWidth="1"/>
    <col min="1035" max="1035" width="12.296875" style="74" customWidth="1"/>
    <col min="1036" max="1036" width="14.296875" style="74" customWidth="1"/>
    <col min="1037" max="1037" width="15.19921875" style="74" customWidth="1"/>
    <col min="1038" max="1280" width="9.296875" style="74"/>
    <col min="1281" max="1281" width="5.796875" style="74" customWidth="1"/>
    <col min="1282" max="1282" width="22.296875" style="74" customWidth="1"/>
    <col min="1283" max="1283" width="13" style="74" customWidth="1"/>
    <col min="1284" max="1284" width="11" style="74" customWidth="1"/>
    <col min="1285" max="1285" width="15.5" style="74" customWidth="1"/>
    <col min="1286" max="1286" width="11.19921875" style="74" customWidth="1"/>
    <col min="1287" max="1287" width="13.296875" style="74" customWidth="1"/>
    <col min="1288" max="1289" width="14" style="74" customWidth="1"/>
    <col min="1290" max="1290" width="13.296875" style="74" customWidth="1"/>
    <col min="1291" max="1291" width="12.296875" style="74" customWidth="1"/>
    <col min="1292" max="1292" width="14.296875" style="74" customWidth="1"/>
    <col min="1293" max="1293" width="15.19921875" style="74" customWidth="1"/>
    <col min="1294" max="1536" width="9.296875" style="74"/>
    <col min="1537" max="1537" width="5.796875" style="74" customWidth="1"/>
    <col min="1538" max="1538" width="22.296875" style="74" customWidth="1"/>
    <col min="1539" max="1539" width="13" style="74" customWidth="1"/>
    <col min="1540" max="1540" width="11" style="74" customWidth="1"/>
    <col min="1541" max="1541" width="15.5" style="74" customWidth="1"/>
    <col min="1542" max="1542" width="11.19921875" style="74" customWidth="1"/>
    <col min="1543" max="1543" width="13.296875" style="74" customWidth="1"/>
    <col min="1544" max="1545" width="14" style="74" customWidth="1"/>
    <col min="1546" max="1546" width="13.296875" style="74" customWidth="1"/>
    <col min="1547" max="1547" width="12.296875" style="74" customWidth="1"/>
    <col min="1548" max="1548" width="14.296875" style="74" customWidth="1"/>
    <col min="1549" max="1549" width="15.19921875" style="74" customWidth="1"/>
    <col min="1550" max="1792" width="9.296875" style="74"/>
    <col min="1793" max="1793" width="5.796875" style="74" customWidth="1"/>
    <col min="1794" max="1794" width="22.296875" style="74" customWidth="1"/>
    <col min="1795" max="1795" width="13" style="74" customWidth="1"/>
    <col min="1796" max="1796" width="11" style="74" customWidth="1"/>
    <col min="1797" max="1797" width="15.5" style="74" customWidth="1"/>
    <col min="1798" max="1798" width="11.19921875" style="74" customWidth="1"/>
    <col min="1799" max="1799" width="13.296875" style="74" customWidth="1"/>
    <col min="1800" max="1801" width="14" style="74" customWidth="1"/>
    <col min="1802" max="1802" width="13.296875" style="74" customWidth="1"/>
    <col min="1803" max="1803" width="12.296875" style="74" customWidth="1"/>
    <col min="1804" max="1804" width="14.296875" style="74" customWidth="1"/>
    <col min="1805" max="1805" width="15.19921875" style="74" customWidth="1"/>
    <col min="1806" max="2048" width="9.296875" style="74"/>
    <col min="2049" max="2049" width="5.796875" style="74" customWidth="1"/>
    <col min="2050" max="2050" width="22.296875" style="74" customWidth="1"/>
    <col min="2051" max="2051" width="13" style="74" customWidth="1"/>
    <col min="2052" max="2052" width="11" style="74" customWidth="1"/>
    <col min="2053" max="2053" width="15.5" style="74" customWidth="1"/>
    <col min="2054" max="2054" width="11.19921875" style="74" customWidth="1"/>
    <col min="2055" max="2055" width="13.296875" style="74" customWidth="1"/>
    <col min="2056" max="2057" width="14" style="74" customWidth="1"/>
    <col min="2058" max="2058" width="13.296875" style="74" customWidth="1"/>
    <col min="2059" max="2059" width="12.296875" style="74" customWidth="1"/>
    <col min="2060" max="2060" width="14.296875" style="74" customWidth="1"/>
    <col min="2061" max="2061" width="15.19921875" style="74" customWidth="1"/>
    <col min="2062" max="2304" width="9.296875" style="74"/>
    <col min="2305" max="2305" width="5.796875" style="74" customWidth="1"/>
    <col min="2306" max="2306" width="22.296875" style="74" customWidth="1"/>
    <col min="2307" max="2307" width="13" style="74" customWidth="1"/>
    <col min="2308" max="2308" width="11" style="74" customWidth="1"/>
    <col min="2309" max="2309" width="15.5" style="74" customWidth="1"/>
    <col min="2310" max="2310" width="11.19921875" style="74" customWidth="1"/>
    <col min="2311" max="2311" width="13.296875" style="74" customWidth="1"/>
    <col min="2312" max="2313" width="14" style="74" customWidth="1"/>
    <col min="2314" max="2314" width="13.296875" style="74" customWidth="1"/>
    <col min="2315" max="2315" width="12.296875" style="74" customWidth="1"/>
    <col min="2316" max="2316" width="14.296875" style="74" customWidth="1"/>
    <col min="2317" max="2317" width="15.19921875" style="74" customWidth="1"/>
    <col min="2318" max="2560" width="9.296875" style="74"/>
    <col min="2561" max="2561" width="5.796875" style="74" customWidth="1"/>
    <col min="2562" max="2562" width="22.296875" style="74" customWidth="1"/>
    <col min="2563" max="2563" width="13" style="74" customWidth="1"/>
    <col min="2564" max="2564" width="11" style="74" customWidth="1"/>
    <col min="2565" max="2565" width="15.5" style="74" customWidth="1"/>
    <col min="2566" max="2566" width="11.19921875" style="74" customWidth="1"/>
    <col min="2567" max="2567" width="13.296875" style="74" customWidth="1"/>
    <col min="2568" max="2569" width="14" style="74" customWidth="1"/>
    <col min="2570" max="2570" width="13.296875" style="74" customWidth="1"/>
    <col min="2571" max="2571" width="12.296875" style="74" customWidth="1"/>
    <col min="2572" max="2572" width="14.296875" style="74" customWidth="1"/>
    <col min="2573" max="2573" width="15.19921875" style="74" customWidth="1"/>
    <col min="2574" max="2816" width="9.296875" style="74"/>
    <col min="2817" max="2817" width="5.796875" style="74" customWidth="1"/>
    <col min="2818" max="2818" width="22.296875" style="74" customWidth="1"/>
    <col min="2819" max="2819" width="13" style="74" customWidth="1"/>
    <col min="2820" max="2820" width="11" style="74" customWidth="1"/>
    <col min="2821" max="2821" width="15.5" style="74" customWidth="1"/>
    <col min="2822" max="2822" width="11.19921875" style="74" customWidth="1"/>
    <col min="2823" max="2823" width="13.296875" style="74" customWidth="1"/>
    <col min="2824" max="2825" width="14" style="74" customWidth="1"/>
    <col min="2826" max="2826" width="13.296875" style="74" customWidth="1"/>
    <col min="2827" max="2827" width="12.296875" style="74" customWidth="1"/>
    <col min="2828" max="2828" width="14.296875" style="74" customWidth="1"/>
    <col min="2829" max="2829" width="15.19921875" style="74" customWidth="1"/>
    <col min="2830" max="3072" width="9.296875" style="74"/>
    <col min="3073" max="3073" width="5.796875" style="74" customWidth="1"/>
    <col min="3074" max="3074" width="22.296875" style="74" customWidth="1"/>
    <col min="3075" max="3075" width="13" style="74" customWidth="1"/>
    <col min="3076" max="3076" width="11" style="74" customWidth="1"/>
    <col min="3077" max="3077" width="15.5" style="74" customWidth="1"/>
    <col min="3078" max="3078" width="11.19921875" style="74" customWidth="1"/>
    <col min="3079" max="3079" width="13.296875" style="74" customWidth="1"/>
    <col min="3080" max="3081" width="14" style="74" customWidth="1"/>
    <col min="3082" max="3082" width="13.296875" style="74" customWidth="1"/>
    <col min="3083" max="3083" width="12.296875" style="74" customWidth="1"/>
    <col min="3084" max="3084" width="14.296875" style="74" customWidth="1"/>
    <col min="3085" max="3085" width="15.19921875" style="74" customWidth="1"/>
    <col min="3086" max="3328" width="9.296875" style="74"/>
    <col min="3329" max="3329" width="5.796875" style="74" customWidth="1"/>
    <col min="3330" max="3330" width="22.296875" style="74" customWidth="1"/>
    <col min="3331" max="3331" width="13" style="74" customWidth="1"/>
    <col min="3332" max="3332" width="11" style="74" customWidth="1"/>
    <col min="3333" max="3333" width="15.5" style="74" customWidth="1"/>
    <col min="3334" max="3334" width="11.19921875" style="74" customWidth="1"/>
    <col min="3335" max="3335" width="13.296875" style="74" customWidth="1"/>
    <col min="3336" max="3337" width="14" style="74" customWidth="1"/>
    <col min="3338" max="3338" width="13.296875" style="74" customWidth="1"/>
    <col min="3339" max="3339" width="12.296875" style="74" customWidth="1"/>
    <col min="3340" max="3340" width="14.296875" style="74" customWidth="1"/>
    <col min="3341" max="3341" width="15.19921875" style="74" customWidth="1"/>
    <col min="3342" max="3584" width="9.296875" style="74"/>
    <col min="3585" max="3585" width="5.796875" style="74" customWidth="1"/>
    <col min="3586" max="3586" width="22.296875" style="74" customWidth="1"/>
    <col min="3587" max="3587" width="13" style="74" customWidth="1"/>
    <col min="3588" max="3588" width="11" style="74" customWidth="1"/>
    <col min="3589" max="3589" width="15.5" style="74" customWidth="1"/>
    <col min="3590" max="3590" width="11.19921875" style="74" customWidth="1"/>
    <col min="3591" max="3591" width="13.296875" style="74" customWidth="1"/>
    <col min="3592" max="3593" width="14" style="74" customWidth="1"/>
    <col min="3594" max="3594" width="13.296875" style="74" customWidth="1"/>
    <col min="3595" max="3595" width="12.296875" style="74" customWidth="1"/>
    <col min="3596" max="3596" width="14.296875" style="74" customWidth="1"/>
    <col min="3597" max="3597" width="15.19921875" style="74" customWidth="1"/>
    <col min="3598" max="3840" width="9.296875" style="74"/>
    <col min="3841" max="3841" width="5.796875" style="74" customWidth="1"/>
    <col min="3842" max="3842" width="22.296875" style="74" customWidth="1"/>
    <col min="3843" max="3843" width="13" style="74" customWidth="1"/>
    <col min="3844" max="3844" width="11" style="74" customWidth="1"/>
    <col min="3845" max="3845" width="15.5" style="74" customWidth="1"/>
    <col min="3846" max="3846" width="11.19921875" style="74" customWidth="1"/>
    <col min="3847" max="3847" width="13.296875" style="74" customWidth="1"/>
    <col min="3848" max="3849" width="14" style="74" customWidth="1"/>
    <col min="3850" max="3850" width="13.296875" style="74" customWidth="1"/>
    <col min="3851" max="3851" width="12.296875" style="74" customWidth="1"/>
    <col min="3852" max="3852" width="14.296875" style="74" customWidth="1"/>
    <col min="3853" max="3853" width="15.19921875" style="74" customWidth="1"/>
    <col min="3854" max="4096" width="9.296875" style="74"/>
    <col min="4097" max="4097" width="5.796875" style="74" customWidth="1"/>
    <col min="4098" max="4098" width="22.296875" style="74" customWidth="1"/>
    <col min="4099" max="4099" width="13" style="74" customWidth="1"/>
    <col min="4100" max="4100" width="11" style="74" customWidth="1"/>
    <col min="4101" max="4101" width="15.5" style="74" customWidth="1"/>
    <col min="4102" max="4102" width="11.19921875" style="74" customWidth="1"/>
    <col min="4103" max="4103" width="13.296875" style="74" customWidth="1"/>
    <col min="4104" max="4105" width="14" style="74" customWidth="1"/>
    <col min="4106" max="4106" width="13.296875" style="74" customWidth="1"/>
    <col min="4107" max="4107" width="12.296875" style="74" customWidth="1"/>
    <col min="4108" max="4108" width="14.296875" style="74" customWidth="1"/>
    <col min="4109" max="4109" width="15.19921875" style="74" customWidth="1"/>
    <col min="4110" max="4352" width="9.296875" style="74"/>
    <col min="4353" max="4353" width="5.796875" style="74" customWidth="1"/>
    <col min="4354" max="4354" width="22.296875" style="74" customWidth="1"/>
    <col min="4355" max="4355" width="13" style="74" customWidth="1"/>
    <col min="4356" max="4356" width="11" style="74" customWidth="1"/>
    <col min="4357" max="4357" width="15.5" style="74" customWidth="1"/>
    <col min="4358" max="4358" width="11.19921875" style="74" customWidth="1"/>
    <col min="4359" max="4359" width="13.296875" style="74" customWidth="1"/>
    <col min="4360" max="4361" width="14" style="74" customWidth="1"/>
    <col min="4362" max="4362" width="13.296875" style="74" customWidth="1"/>
    <col min="4363" max="4363" width="12.296875" style="74" customWidth="1"/>
    <col min="4364" max="4364" width="14.296875" style="74" customWidth="1"/>
    <col min="4365" max="4365" width="15.19921875" style="74" customWidth="1"/>
    <col min="4366" max="4608" width="9.296875" style="74"/>
    <col min="4609" max="4609" width="5.796875" style="74" customWidth="1"/>
    <col min="4610" max="4610" width="22.296875" style="74" customWidth="1"/>
    <col min="4611" max="4611" width="13" style="74" customWidth="1"/>
    <col min="4612" max="4612" width="11" style="74" customWidth="1"/>
    <col min="4613" max="4613" width="15.5" style="74" customWidth="1"/>
    <col min="4614" max="4614" width="11.19921875" style="74" customWidth="1"/>
    <col min="4615" max="4615" width="13.296875" style="74" customWidth="1"/>
    <col min="4616" max="4617" width="14" style="74" customWidth="1"/>
    <col min="4618" max="4618" width="13.296875" style="74" customWidth="1"/>
    <col min="4619" max="4619" width="12.296875" style="74" customWidth="1"/>
    <col min="4620" max="4620" width="14.296875" style="74" customWidth="1"/>
    <col min="4621" max="4621" width="15.19921875" style="74" customWidth="1"/>
    <col min="4622" max="4864" width="9.296875" style="74"/>
    <col min="4865" max="4865" width="5.796875" style="74" customWidth="1"/>
    <col min="4866" max="4866" width="22.296875" style="74" customWidth="1"/>
    <col min="4867" max="4867" width="13" style="74" customWidth="1"/>
    <col min="4868" max="4868" width="11" style="74" customWidth="1"/>
    <col min="4869" max="4869" width="15.5" style="74" customWidth="1"/>
    <col min="4870" max="4870" width="11.19921875" style="74" customWidth="1"/>
    <col min="4871" max="4871" width="13.296875" style="74" customWidth="1"/>
    <col min="4872" max="4873" width="14" style="74" customWidth="1"/>
    <col min="4874" max="4874" width="13.296875" style="74" customWidth="1"/>
    <col min="4875" max="4875" width="12.296875" style="74" customWidth="1"/>
    <col min="4876" max="4876" width="14.296875" style="74" customWidth="1"/>
    <col min="4877" max="4877" width="15.19921875" style="74" customWidth="1"/>
    <col min="4878" max="5120" width="9.296875" style="74"/>
    <col min="5121" max="5121" width="5.796875" style="74" customWidth="1"/>
    <col min="5122" max="5122" width="22.296875" style="74" customWidth="1"/>
    <col min="5123" max="5123" width="13" style="74" customWidth="1"/>
    <col min="5124" max="5124" width="11" style="74" customWidth="1"/>
    <col min="5125" max="5125" width="15.5" style="74" customWidth="1"/>
    <col min="5126" max="5126" width="11.19921875" style="74" customWidth="1"/>
    <col min="5127" max="5127" width="13.296875" style="74" customWidth="1"/>
    <col min="5128" max="5129" width="14" style="74" customWidth="1"/>
    <col min="5130" max="5130" width="13.296875" style="74" customWidth="1"/>
    <col min="5131" max="5131" width="12.296875" style="74" customWidth="1"/>
    <col min="5132" max="5132" width="14.296875" style="74" customWidth="1"/>
    <col min="5133" max="5133" width="15.19921875" style="74" customWidth="1"/>
    <col min="5134" max="5376" width="9.296875" style="74"/>
    <col min="5377" max="5377" width="5.796875" style="74" customWidth="1"/>
    <col min="5378" max="5378" width="22.296875" style="74" customWidth="1"/>
    <col min="5379" max="5379" width="13" style="74" customWidth="1"/>
    <col min="5380" max="5380" width="11" style="74" customWidth="1"/>
    <col min="5381" max="5381" width="15.5" style="74" customWidth="1"/>
    <col min="5382" max="5382" width="11.19921875" style="74" customWidth="1"/>
    <col min="5383" max="5383" width="13.296875" style="74" customWidth="1"/>
    <col min="5384" max="5385" width="14" style="74" customWidth="1"/>
    <col min="5386" max="5386" width="13.296875" style="74" customWidth="1"/>
    <col min="5387" max="5387" width="12.296875" style="74" customWidth="1"/>
    <col min="5388" max="5388" width="14.296875" style="74" customWidth="1"/>
    <col min="5389" max="5389" width="15.19921875" style="74" customWidth="1"/>
    <col min="5390" max="5632" width="9.296875" style="74"/>
    <col min="5633" max="5633" width="5.796875" style="74" customWidth="1"/>
    <col min="5634" max="5634" width="22.296875" style="74" customWidth="1"/>
    <col min="5635" max="5635" width="13" style="74" customWidth="1"/>
    <col min="5636" max="5636" width="11" style="74" customWidth="1"/>
    <col min="5637" max="5637" width="15.5" style="74" customWidth="1"/>
    <col min="5638" max="5638" width="11.19921875" style="74" customWidth="1"/>
    <col min="5639" max="5639" width="13.296875" style="74" customWidth="1"/>
    <col min="5640" max="5641" width="14" style="74" customWidth="1"/>
    <col min="5642" max="5642" width="13.296875" style="74" customWidth="1"/>
    <col min="5643" max="5643" width="12.296875" style="74" customWidth="1"/>
    <col min="5644" max="5644" width="14.296875" style="74" customWidth="1"/>
    <col min="5645" max="5645" width="15.19921875" style="74" customWidth="1"/>
    <col min="5646" max="5888" width="9.296875" style="74"/>
    <col min="5889" max="5889" width="5.796875" style="74" customWidth="1"/>
    <col min="5890" max="5890" width="22.296875" style="74" customWidth="1"/>
    <col min="5891" max="5891" width="13" style="74" customWidth="1"/>
    <col min="5892" max="5892" width="11" style="74" customWidth="1"/>
    <col min="5893" max="5893" width="15.5" style="74" customWidth="1"/>
    <col min="5894" max="5894" width="11.19921875" style="74" customWidth="1"/>
    <col min="5895" max="5895" width="13.296875" style="74" customWidth="1"/>
    <col min="5896" max="5897" width="14" style="74" customWidth="1"/>
    <col min="5898" max="5898" width="13.296875" style="74" customWidth="1"/>
    <col min="5899" max="5899" width="12.296875" style="74" customWidth="1"/>
    <col min="5900" max="5900" width="14.296875" style="74" customWidth="1"/>
    <col min="5901" max="5901" width="15.19921875" style="74" customWidth="1"/>
    <col min="5902" max="6144" width="9.296875" style="74"/>
    <col min="6145" max="6145" width="5.796875" style="74" customWidth="1"/>
    <col min="6146" max="6146" width="22.296875" style="74" customWidth="1"/>
    <col min="6147" max="6147" width="13" style="74" customWidth="1"/>
    <col min="6148" max="6148" width="11" style="74" customWidth="1"/>
    <col min="6149" max="6149" width="15.5" style="74" customWidth="1"/>
    <col min="6150" max="6150" width="11.19921875" style="74" customWidth="1"/>
    <col min="6151" max="6151" width="13.296875" style="74" customWidth="1"/>
    <col min="6152" max="6153" width="14" style="74" customWidth="1"/>
    <col min="6154" max="6154" width="13.296875" style="74" customWidth="1"/>
    <col min="6155" max="6155" width="12.296875" style="74" customWidth="1"/>
    <col min="6156" max="6156" width="14.296875" style="74" customWidth="1"/>
    <col min="6157" max="6157" width="15.19921875" style="74" customWidth="1"/>
    <col min="6158" max="6400" width="9.296875" style="74"/>
    <col min="6401" max="6401" width="5.796875" style="74" customWidth="1"/>
    <col min="6402" max="6402" width="22.296875" style="74" customWidth="1"/>
    <col min="6403" max="6403" width="13" style="74" customWidth="1"/>
    <col min="6404" max="6404" width="11" style="74" customWidth="1"/>
    <col min="6405" max="6405" width="15.5" style="74" customWidth="1"/>
    <col min="6406" max="6406" width="11.19921875" style="74" customWidth="1"/>
    <col min="6407" max="6407" width="13.296875" style="74" customWidth="1"/>
    <col min="6408" max="6409" width="14" style="74" customWidth="1"/>
    <col min="6410" max="6410" width="13.296875" style="74" customWidth="1"/>
    <col min="6411" max="6411" width="12.296875" style="74" customWidth="1"/>
    <col min="6412" max="6412" width="14.296875" style="74" customWidth="1"/>
    <col min="6413" max="6413" width="15.19921875" style="74" customWidth="1"/>
    <col min="6414" max="6656" width="9.296875" style="74"/>
    <col min="6657" max="6657" width="5.796875" style="74" customWidth="1"/>
    <col min="6658" max="6658" width="22.296875" style="74" customWidth="1"/>
    <col min="6659" max="6659" width="13" style="74" customWidth="1"/>
    <col min="6660" max="6660" width="11" style="74" customWidth="1"/>
    <col min="6661" max="6661" width="15.5" style="74" customWidth="1"/>
    <col min="6662" max="6662" width="11.19921875" style="74" customWidth="1"/>
    <col min="6663" max="6663" width="13.296875" style="74" customWidth="1"/>
    <col min="6664" max="6665" width="14" style="74" customWidth="1"/>
    <col min="6666" max="6666" width="13.296875" style="74" customWidth="1"/>
    <col min="6667" max="6667" width="12.296875" style="74" customWidth="1"/>
    <col min="6668" max="6668" width="14.296875" style="74" customWidth="1"/>
    <col min="6669" max="6669" width="15.19921875" style="74" customWidth="1"/>
    <col min="6670" max="6912" width="9.296875" style="74"/>
    <col min="6913" max="6913" width="5.796875" style="74" customWidth="1"/>
    <col min="6914" max="6914" width="22.296875" style="74" customWidth="1"/>
    <col min="6915" max="6915" width="13" style="74" customWidth="1"/>
    <col min="6916" max="6916" width="11" style="74" customWidth="1"/>
    <col min="6917" max="6917" width="15.5" style="74" customWidth="1"/>
    <col min="6918" max="6918" width="11.19921875" style="74" customWidth="1"/>
    <col min="6919" max="6919" width="13.296875" style="74" customWidth="1"/>
    <col min="6920" max="6921" width="14" style="74" customWidth="1"/>
    <col min="6922" max="6922" width="13.296875" style="74" customWidth="1"/>
    <col min="6923" max="6923" width="12.296875" style="74" customWidth="1"/>
    <col min="6924" max="6924" width="14.296875" style="74" customWidth="1"/>
    <col min="6925" max="6925" width="15.19921875" style="74" customWidth="1"/>
    <col min="6926" max="7168" width="9.296875" style="74"/>
    <col min="7169" max="7169" width="5.796875" style="74" customWidth="1"/>
    <col min="7170" max="7170" width="22.296875" style="74" customWidth="1"/>
    <col min="7171" max="7171" width="13" style="74" customWidth="1"/>
    <col min="7172" max="7172" width="11" style="74" customWidth="1"/>
    <col min="7173" max="7173" width="15.5" style="74" customWidth="1"/>
    <col min="7174" max="7174" width="11.19921875" style="74" customWidth="1"/>
    <col min="7175" max="7175" width="13.296875" style="74" customWidth="1"/>
    <col min="7176" max="7177" width="14" style="74" customWidth="1"/>
    <col min="7178" max="7178" width="13.296875" style="74" customWidth="1"/>
    <col min="7179" max="7179" width="12.296875" style="74" customWidth="1"/>
    <col min="7180" max="7180" width="14.296875" style="74" customWidth="1"/>
    <col min="7181" max="7181" width="15.19921875" style="74" customWidth="1"/>
    <col min="7182" max="7424" width="9.296875" style="74"/>
    <col min="7425" max="7425" width="5.796875" style="74" customWidth="1"/>
    <col min="7426" max="7426" width="22.296875" style="74" customWidth="1"/>
    <col min="7427" max="7427" width="13" style="74" customWidth="1"/>
    <col min="7428" max="7428" width="11" style="74" customWidth="1"/>
    <col min="7429" max="7429" width="15.5" style="74" customWidth="1"/>
    <col min="7430" max="7430" width="11.19921875" style="74" customWidth="1"/>
    <col min="7431" max="7431" width="13.296875" style="74" customWidth="1"/>
    <col min="7432" max="7433" width="14" style="74" customWidth="1"/>
    <col min="7434" max="7434" width="13.296875" style="74" customWidth="1"/>
    <col min="7435" max="7435" width="12.296875" style="74" customWidth="1"/>
    <col min="7436" max="7436" width="14.296875" style="74" customWidth="1"/>
    <col min="7437" max="7437" width="15.19921875" style="74" customWidth="1"/>
    <col min="7438" max="7680" width="9.296875" style="74"/>
    <col min="7681" max="7681" width="5.796875" style="74" customWidth="1"/>
    <col min="7682" max="7682" width="22.296875" style="74" customWidth="1"/>
    <col min="7683" max="7683" width="13" style="74" customWidth="1"/>
    <col min="7684" max="7684" width="11" style="74" customWidth="1"/>
    <col min="7685" max="7685" width="15.5" style="74" customWidth="1"/>
    <col min="7686" max="7686" width="11.19921875" style="74" customWidth="1"/>
    <col min="7687" max="7687" width="13.296875" style="74" customWidth="1"/>
    <col min="7688" max="7689" width="14" style="74" customWidth="1"/>
    <col min="7690" max="7690" width="13.296875" style="74" customWidth="1"/>
    <col min="7691" max="7691" width="12.296875" style="74" customWidth="1"/>
    <col min="7692" max="7692" width="14.296875" style="74" customWidth="1"/>
    <col min="7693" max="7693" width="15.19921875" style="74" customWidth="1"/>
    <col min="7694" max="7936" width="9.296875" style="74"/>
    <col min="7937" max="7937" width="5.796875" style="74" customWidth="1"/>
    <col min="7938" max="7938" width="22.296875" style="74" customWidth="1"/>
    <col min="7939" max="7939" width="13" style="74" customWidth="1"/>
    <col min="7940" max="7940" width="11" style="74" customWidth="1"/>
    <col min="7941" max="7941" width="15.5" style="74" customWidth="1"/>
    <col min="7942" max="7942" width="11.19921875" style="74" customWidth="1"/>
    <col min="7943" max="7943" width="13.296875" style="74" customWidth="1"/>
    <col min="7944" max="7945" width="14" style="74" customWidth="1"/>
    <col min="7946" max="7946" width="13.296875" style="74" customWidth="1"/>
    <col min="7947" max="7947" width="12.296875" style="74" customWidth="1"/>
    <col min="7948" max="7948" width="14.296875" style="74" customWidth="1"/>
    <col min="7949" max="7949" width="15.19921875" style="74" customWidth="1"/>
    <col min="7950" max="8192" width="9.296875" style="74"/>
    <col min="8193" max="8193" width="5.796875" style="74" customWidth="1"/>
    <col min="8194" max="8194" width="22.296875" style="74" customWidth="1"/>
    <col min="8195" max="8195" width="13" style="74" customWidth="1"/>
    <col min="8196" max="8196" width="11" style="74" customWidth="1"/>
    <col min="8197" max="8197" width="15.5" style="74" customWidth="1"/>
    <col min="8198" max="8198" width="11.19921875" style="74" customWidth="1"/>
    <col min="8199" max="8199" width="13.296875" style="74" customWidth="1"/>
    <col min="8200" max="8201" width="14" style="74" customWidth="1"/>
    <col min="8202" max="8202" width="13.296875" style="74" customWidth="1"/>
    <col min="8203" max="8203" width="12.296875" style="74" customWidth="1"/>
    <col min="8204" max="8204" width="14.296875" style="74" customWidth="1"/>
    <col min="8205" max="8205" width="15.19921875" style="74" customWidth="1"/>
    <col min="8206" max="8448" width="9.296875" style="74"/>
    <col min="8449" max="8449" width="5.796875" style="74" customWidth="1"/>
    <col min="8450" max="8450" width="22.296875" style="74" customWidth="1"/>
    <col min="8451" max="8451" width="13" style="74" customWidth="1"/>
    <col min="8452" max="8452" width="11" style="74" customWidth="1"/>
    <col min="8453" max="8453" width="15.5" style="74" customWidth="1"/>
    <col min="8454" max="8454" width="11.19921875" style="74" customWidth="1"/>
    <col min="8455" max="8455" width="13.296875" style="74" customWidth="1"/>
    <col min="8456" max="8457" width="14" style="74" customWidth="1"/>
    <col min="8458" max="8458" width="13.296875" style="74" customWidth="1"/>
    <col min="8459" max="8459" width="12.296875" style="74" customWidth="1"/>
    <col min="8460" max="8460" width="14.296875" style="74" customWidth="1"/>
    <col min="8461" max="8461" width="15.19921875" style="74" customWidth="1"/>
    <col min="8462" max="8704" width="9.296875" style="74"/>
    <col min="8705" max="8705" width="5.796875" style="74" customWidth="1"/>
    <col min="8706" max="8706" width="22.296875" style="74" customWidth="1"/>
    <col min="8707" max="8707" width="13" style="74" customWidth="1"/>
    <col min="8708" max="8708" width="11" style="74" customWidth="1"/>
    <col min="8709" max="8709" width="15.5" style="74" customWidth="1"/>
    <col min="8710" max="8710" width="11.19921875" style="74" customWidth="1"/>
    <col min="8711" max="8711" width="13.296875" style="74" customWidth="1"/>
    <col min="8712" max="8713" width="14" style="74" customWidth="1"/>
    <col min="8714" max="8714" width="13.296875" style="74" customWidth="1"/>
    <col min="8715" max="8715" width="12.296875" style="74" customWidth="1"/>
    <col min="8716" max="8716" width="14.296875" style="74" customWidth="1"/>
    <col min="8717" max="8717" width="15.19921875" style="74" customWidth="1"/>
    <col min="8718" max="8960" width="9.296875" style="74"/>
    <col min="8961" max="8961" width="5.796875" style="74" customWidth="1"/>
    <col min="8962" max="8962" width="22.296875" style="74" customWidth="1"/>
    <col min="8963" max="8963" width="13" style="74" customWidth="1"/>
    <col min="8964" max="8964" width="11" style="74" customWidth="1"/>
    <col min="8965" max="8965" width="15.5" style="74" customWidth="1"/>
    <col min="8966" max="8966" width="11.19921875" style="74" customWidth="1"/>
    <col min="8967" max="8967" width="13.296875" style="74" customWidth="1"/>
    <col min="8968" max="8969" width="14" style="74" customWidth="1"/>
    <col min="8970" max="8970" width="13.296875" style="74" customWidth="1"/>
    <col min="8971" max="8971" width="12.296875" style="74" customWidth="1"/>
    <col min="8972" max="8972" width="14.296875" style="74" customWidth="1"/>
    <col min="8973" max="8973" width="15.19921875" style="74" customWidth="1"/>
    <col min="8974" max="9216" width="9.296875" style="74"/>
    <col min="9217" max="9217" width="5.796875" style="74" customWidth="1"/>
    <col min="9218" max="9218" width="22.296875" style="74" customWidth="1"/>
    <col min="9219" max="9219" width="13" style="74" customWidth="1"/>
    <col min="9220" max="9220" width="11" style="74" customWidth="1"/>
    <col min="9221" max="9221" width="15.5" style="74" customWidth="1"/>
    <col min="9222" max="9222" width="11.19921875" style="74" customWidth="1"/>
    <col min="9223" max="9223" width="13.296875" style="74" customWidth="1"/>
    <col min="9224" max="9225" width="14" style="74" customWidth="1"/>
    <col min="9226" max="9226" width="13.296875" style="74" customWidth="1"/>
    <col min="9227" max="9227" width="12.296875" style="74" customWidth="1"/>
    <col min="9228" max="9228" width="14.296875" style="74" customWidth="1"/>
    <col min="9229" max="9229" width="15.19921875" style="74" customWidth="1"/>
    <col min="9230" max="9472" width="9.296875" style="74"/>
    <col min="9473" max="9473" width="5.796875" style="74" customWidth="1"/>
    <col min="9474" max="9474" width="22.296875" style="74" customWidth="1"/>
    <col min="9475" max="9475" width="13" style="74" customWidth="1"/>
    <col min="9476" max="9476" width="11" style="74" customWidth="1"/>
    <col min="9477" max="9477" width="15.5" style="74" customWidth="1"/>
    <col min="9478" max="9478" width="11.19921875" style="74" customWidth="1"/>
    <col min="9479" max="9479" width="13.296875" style="74" customWidth="1"/>
    <col min="9480" max="9481" width="14" style="74" customWidth="1"/>
    <col min="9482" max="9482" width="13.296875" style="74" customWidth="1"/>
    <col min="9483" max="9483" width="12.296875" style="74" customWidth="1"/>
    <col min="9484" max="9484" width="14.296875" style="74" customWidth="1"/>
    <col min="9485" max="9485" width="15.19921875" style="74" customWidth="1"/>
    <col min="9486" max="9728" width="9.296875" style="74"/>
    <col min="9729" max="9729" width="5.796875" style="74" customWidth="1"/>
    <col min="9730" max="9730" width="22.296875" style="74" customWidth="1"/>
    <col min="9731" max="9731" width="13" style="74" customWidth="1"/>
    <col min="9732" max="9732" width="11" style="74" customWidth="1"/>
    <col min="9733" max="9733" width="15.5" style="74" customWidth="1"/>
    <col min="9734" max="9734" width="11.19921875" style="74" customWidth="1"/>
    <col min="9735" max="9735" width="13.296875" style="74" customWidth="1"/>
    <col min="9736" max="9737" width="14" style="74" customWidth="1"/>
    <col min="9738" max="9738" width="13.296875" style="74" customWidth="1"/>
    <col min="9739" max="9739" width="12.296875" style="74" customWidth="1"/>
    <col min="9740" max="9740" width="14.296875" style="74" customWidth="1"/>
    <col min="9741" max="9741" width="15.19921875" style="74" customWidth="1"/>
    <col min="9742" max="9984" width="9.296875" style="74"/>
    <col min="9985" max="9985" width="5.796875" style="74" customWidth="1"/>
    <col min="9986" max="9986" width="22.296875" style="74" customWidth="1"/>
    <col min="9987" max="9987" width="13" style="74" customWidth="1"/>
    <col min="9988" max="9988" width="11" style="74" customWidth="1"/>
    <col min="9989" max="9989" width="15.5" style="74" customWidth="1"/>
    <col min="9990" max="9990" width="11.19921875" style="74" customWidth="1"/>
    <col min="9991" max="9991" width="13.296875" style="74" customWidth="1"/>
    <col min="9992" max="9993" width="14" style="74" customWidth="1"/>
    <col min="9994" max="9994" width="13.296875" style="74" customWidth="1"/>
    <col min="9995" max="9995" width="12.296875" style="74" customWidth="1"/>
    <col min="9996" max="9996" width="14.296875" style="74" customWidth="1"/>
    <col min="9997" max="9997" width="15.19921875" style="74" customWidth="1"/>
    <col min="9998" max="10240" width="9.296875" style="74"/>
    <col min="10241" max="10241" width="5.796875" style="74" customWidth="1"/>
    <col min="10242" max="10242" width="22.296875" style="74" customWidth="1"/>
    <col min="10243" max="10243" width="13" style="74" customWidth="1"/>
    <col min="10244" max="10244" width="11" style="74" customWidth="1"/>
    <col min="10245" max="10245" width="15.5" style="74" customWidth="1"/>
    <col min="10246" max="10246" width="11.19921875" style="74" customWidth="1"/>
    <col min="10247" max="10247" width="13.296875" style="74" customWidth="1"/>
    <col min="10248" max="10249" width="14" style="74" customWidth="1"/>
    <col min="10250" max="10250" width="13.296875" style="74" customWidth="1"/>
    <col min="10251" max="10251" width="12.296875" style="74" customWidth="1"/>
    <col min="10252" max="10252" width="14.296875" style="74" customWidth="1"/>
    <col min="10253" max="10253" width="15.19921875" style="74" customWidth="1"/>
    <col min="10254" max="10496" width="9.296875" style="74"/>
    <col min="10497" max="10497" width="5.796875" style="74" customWidth="1"/>
    <col min="10498" max="10498" width="22.296875" style="74" customWidth="1"/>
    <col min="10499" max="10499" width="13" style="74" customWidth="1"/>
    <col min="10500" max="10500" width="11" style="74" customWidth="1"/>
    <col min="10501" max="10501" width="15.5" style="74" customWidth="1"/>
    <col min="10502" max="10502" width="11.19921875" style="74" customWidth="1"/>
    <col min="10503" max="10503" width="13.296875" style="74" customWidth="1"/>
    <col min="10504" max="10505" width="14" style="74" customWidth="1"/>
    <col min="10506" max="10506" width="13.296875" style="74" customWidth="1"/>
    <col min="10507" max="10507" width="12.296875" style="74" customWidth="1"/>
    <col min="10508" max="10508" width="14.296875" style="74" customWidth="1"/>
    <col min="10509" max="10509" width="15.19921875" style="74" customWidth="1"/>
    <col min="10510" max="10752" width="9.296875" style="74"/>
    <col min="10753" max="10753" width="5.796875" style="74" customWidth="1"/>
    <col min="10754" max="10754" width="22.296875" style="74" customWidth="1"/>
    <col min="10755" max="10755" width="13" style="74" customWidth="1"/>
    <col min="10756" max="10756" width="11" style="74" customWidth="1"/>
    <col min="10757" max="10757" width="15.5" style="74" customWidth="1"/>
    <col min="10758" max="10758" width="11.19921875" style="74" customWidth="1"/>
    <col min="10759" max="10759" width="13.296875" style="74" customWidth="1"/>
    <col min="10760" max="10761" width="14" style="74" customWidth="1"/>
    <col min="10762" max="10762" width="13.296875" style="74" customWidth="1"/>
    <col min="10763" max="10763" width="12.296875" style="74" customWidth="1"/>
    <col min="10764" max="10764" width="14.296875" style="74" customWidth="1"/>
    <col min="10765" max="10765" width="15.19921875" style="74" customWidth="1"/>
    <col min="10766" max="11008" width="9.296875" style="74"/>
    <col min="11009" max="11009" width="5.796875" style="74" customWidth="1"/>
    <col min="11010" max="11010" width="22.296875" style="74" customWidth="1"/>
    <col min="11011" max="11011" width="13" style="74" customWidth="1"/>
    <col min="11012" max="11012" width="11" style="74" customWidth="1"/>
    <col min="11013" max="11013" width="15.5" style="74" customWidth="1"/>
    <col min="11014" max="11014" width="11.19921875" style="74" customWidth="1"/>
    <col min="11015" max="11015" width="13.296875" style="74" customWidth="1"/>
    <col min="11016" max="11017" width="14" style="74" customWidth="1"/>
    <col min="11018" max="11018" width="13.296875" style="74" customWidth="1"/>
    <col min="11019" max="11019" width="12.296875" style="74" customWidth="1"/>
    <col min="11020" max="11020" width="14.296875" style="74" customWidth="1"/>
    <col min="11021" max="11021" width="15.19921875" style="74" customWidth="1"/>
    <col min="11022" max="11264" width="9.296875" style="74"/>
    <col min="11265" max="11265" width="5.796875" style="74" customWidth="1"/>
    <col min="11266" max="11266" width="22.296875" style="74" customWidth="1"/>
    <col min="11267" max="11267" width="13" style="74" customWidth="1"/>
    <col min="11268" max="11268" width="11" style="74" customWidth="1"/>
    <col min="11269" max="11269" width="15.5" style="74" customWidth="1"/>
    <col min="11270" max="11270" width="11.19921875" style="74" customWidth="1"/>
    <col min="11271" max="11271" width="13.296875" style="74" customWidth="1"/>
    <col min="11272" max="11273" width="14" style="74" customWidth="1"/>
    <col min="11274" max="11274" width="13.296875" style="74" customWidth="1"/>
    <col min="11275" max="11275" width="12.296875" style="74" customWidth="1"/>
    <col min="11276" max="11276" width="14.296875" style="74" customWidth="1"/>
    <col min="11277" max="11277" width="15.19921875" style="74" customWidth="1"/>
    <col min="11278" max="11520" width="9.296875" style="74"/>
    <col min="11521" max="11521" width="5.796875" style="74" customWidth="1"/>
    <col min="11522" max="11522" width="22.296875" style="74" customWidth="1"/>
    <col min="11523" max="11523" width="13" style="74" customWidth="1"/>
    <col min="11524" max="11524" width="11" style="74" customWidth="1"/>
    <col min="11525" max="11525" width="15.5" style="74" customWidth="1"/>
    <col min="11526" max="11526" width="11.19921875" style="74" customWidth="1"/>
    <col min="11527" max="11527" width="13.296875" style="74" customWidth="1"/>
    <col min="11528" max="11529" width="14" style="74" customWidth="1"/>
    <col min="11530" max="11530" width="13.296875" style="74" customWidth="1"/>
    <col min="11531" max="11531" width="12.296875" style="74" customWidth="1"/>
    <col min="11532" max="11532" width="14.296875" style="74" customWidth="1"/>
    <col min="11533" max="11533" width="15.19921875" style="74" customWidth="1"/>
    <col min="11534" max="11776" width="9.296875" style="74"/>
    <col min="11777" max="11777" width="5.796875" style="74" customWidth="1"/>
    <col min="11778" max="11778" width="22.296875" style="74" customWidth="1"/>
    <col min="11779" max="11779" width="13" style="74" customWidth="1"/>
    <col min="11780" max="11780" width="11" style="74" customWidth="1"/>
    <col min="11781" max="11781" width="15.5" style="74" customWidth="1"/>
    <col min="11782" max="11782" width="11.19921875" style="74" customWidth="1"/>
    <col min="11783" max="11783" width="13.296875" style="74" customWidth="1"/>
    <col min="11784" max="11785" width="14" style="74" customWidth="1"/>
    <col min="11786" max="11786" width="13.296875" style="74" customWidth="1"/>
    <col min="11787" max="11787" width="12.296875" style="74" customWidth="1"/>
    <col min="11788" max="11788" width="14.296875" style="74" customWidth="1"/>
    <col min="11789" max="11789" width="15.19921875" style="74" customWidth="1"/>
    <col min="11790" max="12032" width="9.296875" style="74"/>
    <col min="12033" max="12033" width="5.796875" style="74" customWidth="1"/>
    <col min="12034" max="12034" width="22.296875" style="74" customWidth="1"/>
    <col min="12035" max="12035" width="13" style="74" customWidth="1"/>
    <col min="12036" max="12036" width="11" style="74" customWidth="1"/>
    <col min="12037" max="12037" width="15.5" style="74" customWidth="1"/>
    <col min="12038" max="12038" width="11.19921875" style="74" customWidth="1"/>
    <col min="12039" max="12039" width="13.296875" style="74" customWidth="1"/>
    <col min="12040" max="12041" width="14" style="74" customWidth="1"/>
    <col min="12042" max="12042" width="13.296875" style="74" customWidth="1"/>
    <col min="12043" max="12043" width="12.296875" style="74" customWidth="1"/>
    <col min="12044" max="12044" width="14.296875" style="74" customWidth="1"/>
    <col min="12045" max="12045" width="15.19921875" style="74" customWidth="1"/>
    <col min="12046" max="12288" width="9.296875" style="74"/>
    <col min="12289" max="12289" width="5.796875" style="74" customWidth="1"/>
    <col min="12290" max="12290" width="22.296875" style="74" customWidth="1"/>
    <col min="12291" max="12291" width="13" style="74" customWidth="1"/>
    <col min="12292" max="12292" width="11" style="74" customWidth="1"/>
    <col min="12293" max="12293" width="15.5" style="74" customWidth="1"/>
    <col min="12294" max="12294" width="11.19921875" style="74" customWidth="1"/>
    <col min="12295" max="12295" width="13.296875" style="74" customWidth="1"/>
    <col min="12296" max="12297" width="14" style="74" customWidth="1"/>
    <col min="12298" max="12298" width="13.296875" style="74" customWidth="1"/>
    <col min="12299" max="12299" width="12.296875" style="74" customWidth="1"/>
    <col min="12300" max="12300" width="14.296875" style="74" customWidth="1"/>
    <col min="12301" max="12301" width="15.19921875" style="74" customWidth="1"/>
    <col min="12302" max="12544" width="9.296875" style="74"/>
    <col min="12545" max="12545" width="5.796875" style="74" customWidth="1"/>
    <col min="12546" max="12546" width="22.296875" style="74" customWidth="1"/>
    <col min="12547" max="12547" width="13" style="74" customWidth="1"/>
    <col min="12548" max="12548" width="11" style="74" customWidth="1"/>
    <col min="12549" max="12549" width="15.5" style="74" customWidth="1"/>
    <col min="12550" max="12550" width="11.19921875" style="74" customWidth="1"/>
    <col min="12551" max="12551" width="13.296875" style="74" customWidth="1"/>
    <col min="12552" max="12553" width="14" style="74" customWidth="1"/>
    <col min="12554" max="12554" width="13.296875" style="74" customWidth="1"/>
    <col min="12555" max="12555" width="12.296875" style="74" customWidth="1"/>
    <col min="12556" max="12556" width="14.296875" style="74" customWidth="1"/>
    <col min="12557" max="12557" width="15.19921875" style="74" customWidth="1"/>
    <col min="12558" max="12800" width="9.296875" style="74"/>
    <col min="12801" max="12801" width="5.796875" style="74" customWidth="1"/>
    <col min="12802" max="12802" width="22.296875" style="74" customWidth="1"/>
    <col min="12803" max="12803" width="13" style="74" customWidth="1"/>
    <col min="12804" max="12804" width="11" style="74" customWidth="1"/>
    <col min="12805" max="12805" width="15.5" style="74" customWidth="1"/>
    <col min="12806" max="12806" width="11.19921875" style="74" customWidth="1"/>
    <col min="12807" max="12807" width="13.296875" style="74" customWidth="1"/>
    <col min="12808" max="12809" width="14" style="74" customWidth="1"/>
    <col min="12810" max="12810" width="13.296875" style="74" customWidth="1"/>
    <col min="12811" max="12811" width="12.296875" style="74" customWidth="1"/>
    <col min="12812" max="12812" width="14.296875" style="74" customWidth="1"/>
    <col min="12813" max="12813" width="15.19921875" style="74" customWidth="1"/>
    <col min="12814" max="13056" width="9.296875" style="74"/>
    <col min="13057" max="13057" width="5.796875" style="74" customWidth="1"/>
    <col min="13058" max="13058" width="22.296875" style="74" customWidth="1"/>
    <col min="13059" max="13059" width="13" style="74" customWidth="1"/>
    <col min="13060" max="13060" width="11" style="74" customWidth="1"/>
    <col min="13061" max="13061" width="15.5" style="74" customWidth="1"/>
    <col min="13062" max="13062" width="11.19921875" style="74" customWidth="1"/>
    <col min="13063" max="13063" width="13.296875" style="74" customWidth="1"/>
    <col min="13064" max="13065" width="14" style="74" customWidth="1"/>
    <col min="13066" max="13066" width="13.296875" style="74" customWidth="1"/>
    <col min="13067" max="13067" width="12.296875" style="74" customWidth="1"/>
    <col min="13068" max="13068" width="14.296875" style="74" customWidth="1"/>
    <col min="13069" max="13069" width="15.19921875" style="74" customWidth="1"/>
    <col min="13070" max="13312" width="9.296875" style="74"/>
    <col min="13313" max="13313" width="5.796875" style="74" customWidth="1"/>
    <col min="13314" max="13314" width="22.296875" style="74" customWidth="1"/>
    <col min="13315" max="13315" width="13" style="74" customWidth="1"/>
    <col min="13316" max="13316" width="11" style="74" customWidth="1"/>
    <col min="13317" max="13317" width="15.5" style="74" customWidth="1"/>
    <col min="13318" max="13318" width="11.19921875" style="74" customWidth="1"/>
    <col min="13319" max="13319" width="13.296875" style="74" customWidth="1"/>
    <col min="13320" max="13321" width="14" style="74" customWidth="1"/>
    <col min="13322" max="13322" width="13.296875" style="74" customWidth="1"/>
    <col min="13323" max="13323" width="12.296875" style="74" customWidth="1"/>
    <col min="13324" max="13324" width="14.296875" style="74" customWidth="1"/>
    <col min="13325" max="13325" width="15.19921875" style="74" customWidth="1"/>
    <col min="13326" max="13568" width="9.296875" style="74"/>
    <col min="13569" max="13569" width="5.796875" style="74" customWidth="1"/>
    <col min="13570" max="13570" width="22.296875" style="74" customWidth="1"/>
    <col min="13571" max="13571" width="13" style="74" customWidth="1"/>
    <col min="13572" max="13572" width="11" style="74" customWidth="1"/>
    <col min="13573" max="13573" width="15.5" style="74" customWidth="1"/>
    <col min="13574" max="13574" width="11.19921875" style="74" customWidth="1"/>
    <col min="13575" max="13575" width="13.296875" style="74" customWidth="1"/>
    <col min="13576" max="13577" width="14" style="74" customWidth="1"/>
    <col min="13578" max="13578" width="13.296875" style="74" customWidth="1"/>
    <col min="13579" max="13579" width="12.296875" style="74" customWidth="1"/>
    <col min="13580" max="13580" width="14.296875" style="74" customWidth="1"/>
    <col min="13581" max="13581" width="15.19921875" style="74" customWidth="1"/>
    <col min="13582" max="13824" width="9.296875" style="74"/>
    <col min="13825" max="13825" width="5.796875" style="74" customWidth="1"/>
    <col min="13826" max="13826" width="22.296875" style="74" customWidth="1"/>
    <col min="13827" max="13827" width="13" style="74" customWidth="1"/>
    <col min="13828" max="13828" width="11" style="74" customWidth="1"/>
    <col min="13829" max="13829" width="15.5" style="74" customWidth="1"/>
    <col min="13830" max="13830" width="11.19921875" style="74" customWidth="1"/>
    <col min="13831" max="13831" width="13.296875" style="74" customWidth="1"/>
    <col min="13832" max="13833" width="14" style="74" customWidth="1"/>
    <col min="13834" max="13834" width="13.296875" style="74" customWidth="1"/>
    <col min="13835" max="13835" width="12.296875" style="74" customWidth="1"/>
    <col min="13836" max="13836" width="14.296875" style="74" customWidth="1"/>
    <col min="13837" max="13837" width="15.19921875" style="74" customWidth="1"/>
    <col min="13838" max="14080" width="9.296875" style="74"/>
    <col min="14081" max="14081" width="5.796875" style="74" customWidth="1"/>
    <col min="14082" max="14082" width="22.296875" style="74" customWidth="1"/>
    <col min="14083" max="14083" width="13" style="74" customWidth="1"/>
    <col min="14084" max="14084" width="11" style="74" customWidth="1"/>
    <col min="14085" max="14085" width="15.5" style="74" customWidth="1"/>
    <col min="14086" max="14086" width="11.19921875" style="74" customWidth="1"/>
    <col min="14087" max="14087" width="13.296875" style="74" customWidth="1"/>
    <col min="14088" max="14089" width="14" style="74" customWidth="1"/>
    <col min="14090" max="14090" width="13.296875" style="74" customWidth="1"/>
    <col min="14091" max="14091" width="12.296875" style="74" customWidth="1"/>
    <col min="14092" max="14092" width="14.296875" style="74" customWidth="1"/>
    <col min="14093" max="14093" width="15.19921875" style="74" customWidth="1"/>
    <col min="14094" max="14336" width="9.296875" style="74"/>
    <col min="14337" max="14337" width="5.796875" style="74" customWidth="1"/>
    <col min="14338" max="14338" width="22.296875" style="74" customWidth="1"/>
    <col min="14339" max="14339" width="13" style="74" customWidth="1"/>
    <col min="14340" max="14340" width="11" style="74" customWidth="1"/>
    <col min="14341" max="14341" width="15.5" style="74" customWidth="1"/>
    <col min="14342" max="14342" width="11.19921875" style="74" customWidth="1"/>
    <col min="14343" max="14343" width="13.296875" style="74" customWidth="1"/>
    <col min="14344" max="14345" width="14" style="74" customWidth="1"/>
    <col min="14346" max="14346" width="13.296875" style="74" customWidth="1"/>
    <col min="14347" max="14347" width="12.296875" style="74" customWidth="1"/>
    <col min="14348" max="14348" width="14.296875" style="74" customWidth="1"/>
    <col min="14349" max="14349" width="15.19921875" style="74" customWidth="1"/>
    <col min="14350" max="14592" width="9.296875" style="74"/>
    <col min="14593" max="14593" width="5.796875" style="74" customWidth="1"/>
    <col min="14594" max="14594" width="22.296875" style="74" customWidth="1"/>
    <col min="14595" max="14595" width="13" style="74" customWidth="1"/>
    <col min="14596" max="14596" width="11" style="74" customWidth="1"/>
    <col min="14597" max="14597" width="15.5" style="74" customWidth="1"/>
    <col min="14598" max="14598" width="11.19921875" style="74" customWidth="1"/>
    <col min="14599" max="14599" width="13.296875" style="74" customWidth="1"/>
    <col min="14600" max="14601" width="14" style="74" customWidth="1"/>
    <col min="14602" max="14602" width="13.296875" style="74" customWidth="1"/>
    <col min="14603" max="14603" width="12.296875" style="74" customWidth="1"/>
    <col min="14604" max="14604" width="14.296875" style="74" customWidth="1"/>
    <col min="14605" max="14605" width="15.19921875" style="74" customWidth="1"/>
    <col min="14606" max="14848" width="9.296875" style="74"/>
    <col min="14849" max="14849" width="5.796875" style="74" customWidth="1"/>
    <col min="14850" max="14850" width="22.296875" style="74" customWidth="1"/>
    <col min="14851" max="14851" width="13" style="74" customWidth="1"/>
    <col min="14852" max="14852" width="11" style="74" customWidth="1"/>
    <col min="14853" max="14853" width="15.5" style="74" customWidth="1"/>
    <col min="14854" max="14854" width="11.19921875" style="74" customWidth="1"/>
    <col min="14855" max="14855" width="13.296875" style="74" customWidth="1"/>
    <col min="14856" max="14857" width="14" style="74" customWidth="1"/>
    <col min="14858" max="14858" width="13.296875" style="74" customWidth="1"/>
    <col min="14859" max="14859" width="12.296875" style="74" customWidth="1"/>
    <col min="14860" max="14860" width="14.296875" style="74" customWidth="1"/>
    <col min="14861" max="14861" width="15.19921875" style="74" customWidth="1"/>
    <col min="14862" max="15104" width="9.296875" style="74"/>
    <col min="15105" max="15105" width="5.796875" style="74" customWidth="1"/>
    <col min="15106" max="15106" width="22.296875" style="74" customWidth="1"/>
    <col min="15107" max="15107" width="13" style="74" customWidth="1"/>
    <col min="15108" max="15108" width="11" style="74" customWidth="1"/>
    <col min="15109" max="15109" width="15.5" style="74" customWidth="1"/>
    <col min="15110" max="15110" width="11.19921875" style="74" customWidth="1"/>
    <col min="15111" max="15111" width="13.296875" style="74" customWidth="1"/>
    <col min="15112" max="15113" width="14" style="74" customWidth="1"/>
    <col min="15114" max="15114" width="13.296875" style="74" customWidth="1"/>
    <col min="15115" max="15115" width="12.296875" style="74" customWidth="1"/>
    <col min="15116" max="15116" width="14.296875" style="74" customWidth="1"/>
    <col min="15117" max="15117" width="15.19921875" style="74" customWidth="1"/>
    <col min="15118" max="15360" width="9.296875" style="74"/>
    <col min="15361" max="15361" width="5.796875" style="74" customWidth="1"/>
    <col min="15362" max="15362" width="22.296875" style="74" customWidth="1"/>
    <col min="15363" max="15363" width="13" style="74" customWidth="1"/>
    <col min="15364" max="15364" width="11" style="74" customWidth="1"/>
    <col min="15365" max="15365" width="15.5" style="74" customWidth="1"/>
    <col min="15366" max="15366" width="11.19921875" style="74" customWidth="1"/>
    <col min="15367" max="15367" width="13.296875" style="74" customWidth="1"/>
    <col min="15368" max="15369" width="14" style="74" customWidth="1"/>
    <col min="15370" max="15370" width="13.296875" style="74" customWidth="1"/>
    <col min="15371" max="15371" width="12.296875" style="74" customWidth="1"/>
    <col min="15372" max="15372" width="14.296875" style="74" customWidth="1"/>
    <col min="15373" max="15373" width="15.19921875" style="74" customWidth="1"/>
    <col min="15374" max="15616" width="9.296875" style="74"/>
    <col min="15617" max="15617" width="5.796875" style="74" customWidth="1"/>
    <col min="15618" max="15618" width="22.296875" style="74" customWidth="1"/>
    <col min="15619" max="15619" width="13" style="74" customWidth="1"/>
    <col min="15620" max="15620" width="11" style="74" customWidth="1"/>
    <col min="15621" max="15621" width="15.5" style="74" customWidth="1"/>
    <col min="15622" max="15622" width="11.19921875" style="74" customWidth="1"/>
    <col min="15623" max="15623" width="13.296875" style="74" customWidth="1"/>
    <col min="15624" max="15625" width="14" style="74" customWidth="1"/>
    <col min="15626" max="15626" width="13.296875" style="74" customWidth="1"/>
    <col min="15627" max="15627" width="12.296875" style="74" customWidth="1"/>
    <col min="15628" max="15628" width="14.296875" style="74" customWidth="1"/>
    <col min="15629" max="15629" width="15.19921875" style="74" customWidth="1"/>
    <col min="15630" max="15872" width="9.296875" style="74"/>
    <col min="15873" max="15873" width="5.796875" style="74" customWidth="1"/>
    <col min="15874" max="15874" width="22.296875" style="74" customWidth="1"/>
    <col min="15875" max="15875" width="13" style="74" customWidth="1"/>
    <col min="15876" max="15876" width="11" style="74" customWidth="1"/>
    <col min="15877" max="15877" width="15.5" style="74" customWidth="1"/>
    <col min="15878" max="15878" width="11.19921875" style="74" customWidth="1"/>
    <col min="15879" max="15879" width="13.296875" style="74" customWidth="1"/>
    <col min="15880" max="15881" width="14" style="74" customWidth="1"/>
    <col min="15882" max="15882" width="13.296875" style="74" customWidth="1"/>
    <col min="15883" max="15883" width="12.296875" style="74" customWidth="1"/>
    <col min="15884" max="15884" width="14.296875" style="74" customWidth="1"/>
    <col min="15885" max="15885" width="15.19921875" style="74" customWidth="1"/>
    <col min="15886" max="16128" width="9.296875" style="74"/>
    <col min="16129" max="16129" width="5.796875" style="74" customWidth="1"/>
    <col min="16130" max="16130" width="22.296875" style="74" customWidth="1"/>
    <col min="16131" max="16131" width="13" style="74" customWidth="1"/>
    <col min="16132" max="16132" width="11" style="74" customWidth="1"/>
    <col min="16133" max="16133" width="15.5" style="74" customWidth="1"/>
    <col min="16134" max="16134" width="11.19921875" style="74" customWidth="1"/>
    <col min="16135" max="16135" width="13.296875" style="74" customWidth="1"/>
    <col min="16136" max="16137" width="14" style="74" customWidth="1"/>
    <col min="16138" max="16138" width="13.296875" style="74" customWidth="1"/>
    <col min="16139" max="16139" width="12.296875" style="74" customWidth="1"/>
    <col min="16140" max="16140" width="14.296875" style="74" customWidth="1"/>
    <col min="16141" max="16141" width="15.19921875" style="74" customWidth="1"/>
    <col min="16142" max="16384" width="9.296875" style="74"/>
  </cols>
  <sheetData>
    <row r="1" spans="1:13" ht="33" customHeight="1" x14ac:dyDescent="0.3">
      <c r="A1" s="757" t="s">
        <v>527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</row>
    <row r="2" spans="1:13" ht="14" x14ac:dyDescent="0.3">
      <c r="A2" s="75"/>
      <c r="B2" s="76"/>
      <c r="C2" s="76"/>
      <c r="D2" s="77"/>
      <c r="E2" s="78"/>
      <c r="F2" s="78"/>
      <c r="G2" s="79"/>
      <c r="H2" s="79"/>
      <c r="I2" s="78"/>
    </row>
    <row r="3" spans="1:13" ht="14" x14ac:dyDescent="0.3">
      <c r="A3" s="75"/>
      <c r="B3" s="80"/>
      <c r="C3" s="80"/>
      <c r="D3" s="81"/>
      <c r="E3" s="77"/>
      <c r="F3" s="77"/>
      <c r="G3" s="77"/>
      <c r="H3" s="77"/>
      <c r="I3" s="77"/>
      <c r="K3" s="765" t="s">
        <v>1</v>
      </c>
      <c r="L3" s="765"/>
      <c r="M3" s="765"/>
    </row>
    <row r="4" spans="1:13" s="83" customFormat="1" ht="75.75" customHeight="1" x14ac:dyDescent="0.3">
      <c r="A4" s="499" t="s">
        <v>407</v>
      </c>
      <c r="B4" s="499" t="s">
        <v>454</v>
      </c>
      <c r="C4" s="499" t="s">
        <v>455</v>
      </c>
      <c r="D4" s="499" t="s">
        <v>465</v>
      </c>
      <c r="E4" s="499" t="s">
        <v>206</v>
      </c>
      <c r="F4" s="499" t="s">
        <v>466</v>
      </c>
      <c r="G4" s="500" t="s">
        <v>210</v>
      </c>
      <c r="H4" s="500" t="s">
        <v>467</v>
      </c>
      <c r="I4" s="500" t="s">
        <v>231</v>
      </c>
      <c r="J4" s="501" t="s">
        <v>233</v>
      </c>
      <c r="K4" s="259" t="s">
        <v>235</v>
      </c>
      <c r="L4" s="501" t="s">
        <v>468</v>
      </c>
      <c r="M4" s="259" t="s">
        <v>469</v>
      </c>
    </row>
    <row r="5" spans="1:13" ht="46.5" customHeight="1" x14ac:dyDescent="0.3">
      <c r="A5" s="502" t="s">
        <v>10</v>
      </c>
      <c r="B5" s="503" t="s">
        <v>747</v>
      </c>
      <c r="C5" s="584" t="s">
        <v>746</v>
      </c>
      <c r="D5" s="524">
        <v>716638</v>
      </c>
      <c r="E5" s="525">
        <v>83346</v>
      </c>
      <c r="F5" s="525"/>
      <c r="G5" s="526"/>
      <c r="H5" s="526"/>
      <c r="I5" s="525"/>
      <c r="J5" s="567"/>
      <c r="K5" s="567"/>
      <c r="L5" s="567"/>
      <c r="M5" s="568">
        <f t="shared" ref="M5:M13" si="0">SUM(D5:L5)</f>
        <v>799984</v>
      </c>
    </row>
    <row r="6" spans="1:13" ht="46.5" customHeight="1" x14ac:dyDescent="0.3">
      <c r="A6" s="502"/>
      <c r="B6" s="503" t="s">
        <v>860</v>
      </c>
      <c r="C6" s="584"/>
      <c r="D6" s="524">
        <f>D7-D5</f>
        <v>6087994</v>
      </c>
      <c r="E6" s="524">
        <f t="shared" ref="E6:L6" si="1">E7-E5</f>
        <v>652717</v>
      </c>
      <c r="F6" s="524">
        <f t="shared" si="1"/>
        <v>4987</v>
      </c>
      <c r="G6" s="524">
        <f t="shared" si="1"/>
        <v>0</v>
      </c>
      <c r="H6" s="524">
        <f t="shared" si="1"/>
        <v>0</v>
      </c>
      <c r="I6" s="524">
        <f t="shared" si="1"/>
        <v>0</v>
      </c>
      <c r="J6" s="524">
        <f t="shared" si="1"/>
        <v>0</v>
      </c>
      <c r="K6" s="524">
        <f t="shared" si="1"/>
        <v>0</v>
      </c>
      <c r="L6" s="524">
        <f t="shared" si="1"/>
        <v>0</v>
      </c>
      <c r="M6" s="568">
        <f t="shared" si="0"/>
        <v>6745698</v>
      </c>
    </row>
    <row r="7" spans="1:13" s="84" customFormat="1" ht="46.5" customHeight="1" x14ac:dyDescent="0.35">
      <c r="A7" s="499"/>
      <c r="B7" s="509" t="s">
        <v>859</v>
      </c>
      <c r="C7" s="585"/>
      <c r="D7" s="529">
        <v>6804632</v>
      </c>
      <c r="E7" s="530">
        <v>736063</v>
      </c>
      <c r="F7" s="530">
        <v>4987</v>
      </c>
      <c r="G7" s="531"/>
      <c r="H7" s="531"/>
      <c r="I7" s="530"/>
      <c r="J7" s="569"/>
      <c r="K7" s="569"/>
      <c r="L7" s="569"/>
      <c r="M7" s="570">
        <f t="shared" si="0"/>
        <v>7545682</v>
      </c>
    </row>
    <row r="8" spans="1:13" ht="46.5" customHeight="1" x14ac:dyDescent="0.3">
      <c r="A8" s="502" t="s">
        <v>16</v>
      </c>
      <c r="B8" s="503" t="s">
        <v>751</v>
      </c>
      <c r="C8" s="584" t="s">
        <v>750</v>
      </c>
      <c r="D8" s="524"/>
      <c r="E8" s="525"/>
      <c r="F8" s="525">
        <v>4665650</v>
      </c>
      <c r="G8" s="526"/>
      <c r="H8" s="526"/>
      <c r="I8" s="525"/>
      <c r="J8" s="567"/>
      <c r="K8" s="567"/>
      <c r="L8" s="567"/>
      <c r="M8" s="568">
        <f t="shared" si="0"/>
        <v>4665650</v>
      </c>
    </row>
    <row r="9" spans="1:13" ht="46.5" customHeight="1" x14ac:dyDescent="0.3">
      <c r="A9" s="502"/>
      <c r="B9" s="503" t="s">
        <v>860</v>
      </c>
      <c r="C9" s="584"/>
      <c r="D9" s="524"/>
      <c r="E9" s="525"/>
      <c r="F9" s="525">
        <f>F10-F8</f>
        <v>396901</v>
      </c>
      <c r="G9" s="526"/>
      <c r="H9" s="526"/>
      <c r="I9" s="525"/>
      <c r="J9" s="567"/>
      <c r="K9" s="567"/>
      <c r="L9" s="567"/>
      <c r="M9" s="568">
        <f t="shared" si="0"/>
        <v>396901</v>
      </c>
    </row>
    <row r="10" spans="1:13" s="84" customFormat="1" ht="46.5" customHeight="1" x14ac:dyDescent="0.35">
      <c r="A10" s="499"/>
      <c r="B10" s="509" t="s">
        <v>859</v>
      </c>
      <c r="C10" s="585"/>
      <c r="D10" s="529"/>
      <c r="E10" s="530"/>
      <c r="F10" s="530">
        <v>5062551</v>
      </c>
      <c r="G10" s="531"/>
      <c r="H10" s="531"/>
      <c r="I10" s="530"/>
      <c r="J10" s="569"/>
      <c r="K10" s="569"/>
      <c r="L10" s="569"/>
      <c r="M10" s="570">
        <f t="shared" si="0"/>
        <v>5062551</v>
      </c>
    </row>
    <row r="11" spans="1:13" ht="46.5" customHeight="1" x14ac:dyDescent="0.3">
      <c r="A11" s="502" t="s">
        <v>19</v>
      </c>
      <c r="B11" s="503" t="s">
        <v>749</v>
      </c>
      <c r="C11" s="584" t="s">
        <v>748</v>
      </c>
      <c r="D11" s="524">
        <v>17247982</v>
      </c>
      <c r="E11" s="525">
        <v>3822077</v>
      </c>
      <c r="F11" s="525">
        <v>2000000</v>
      </c>
      <c r="G11" s="526"/>
      <c r="H11" s="526"/>
      <c r="I11" s="525"/>
      <c r="J11" s="567"/>
      <c r="K11" s="567"/>
      <c r="L11" s="508"/>
      <c r="M11" s="568">
        <f t="shared" si="0"/>
        <v>23070059</v>
      </c>
    </row>
    <row r="12" spans="1:13" ht="46.5" customHeight="1" x14ac:dyDescent="0.3">
      <c r="A12" s="502"/>
      <c r="B12" s="503" t="s">
        <v>860</v>
      </c>
      <c r="C12" s="584"/>
      <c r="D12" s="524">
        <f>D13-D11</f>
        <v>466518</v>
      </c>
      <c r="E12" s="524">
        <f t="shared" ref="E12:L12" si="2">E13-E11</f>
        <v>103695</v>
      </c>
      <c r="F12" s="524">
        <f t="shared" si="2"/>
        <v>420767</v>
      </c>
      <c r="G12" s="524">
        <f t="shared" si="2"/>
        <v>0</v>
      </c>
      <c r="H12" s="524">
        <f t="shared" si="2"/>
        <v>0</v>
      </c>
      <c r="I12" s="524">
        <f t="shared" si="2"/>
        <v>0</v>
      </c>
      <c r="J12" s="524">
        <f t="shared" si="2"/>
        <v>0</v>
      </c>
      <c r="K12" s="524">
        <f t="shared" si="2"/>
        <v>0</v>
      </c>
      <c r="L12" s="524">
        <f t="shared" si="2"/>
        <v>0</v>
      </c>
      <c r="M12" s="568">
        <f t="shared" si="0"/>
        <v>990980</v>
      </c>
    </row>
    <row r="13" spans="1:13" s="84" customFormat="1" ht="46.5" customHeight="1" x14ac:dyDescent="0.35">
      <c r="A13" s="499"/>
      <c r="B13" s="509" t="s">
        <v>859</v>
      </c>
      <c r="C13" s="585"/>
      <c r="D13" s="529">
        <v>17714500</v>
      </c>
      <c r="E13" s="530">
        <v>3925772</v>
      </c>
      <c r="F13" s="530">
        <v>2420767</v>
      </c>
      <c r="G13" s="531"/>
      <c r="H13" s="531"/>
      <c r="I13" s="530"/>
      <c r="J13" s="569"/>
      <c r="K13" s="569"/>
      <c r="L13" s="514"/>
      <c r="M13" s="570">
        <f t="shared" si="0"/>
        <v>24061039</v>
      </c>
    </row>
    <row r="14" spans="1:13" s="84" customFormat="1" ht="33" customHeight="1" x14ac:dyDescent="0.35">
      <c r="A14" s="566" t="s">
        <v>22</v>
      </c>
      <c r="B14" s="517" t="s">
        <v>408</v>
      </c>
      <c r="C14" s="518"/>
      <c r="D14" s="529">
        <f>D13+D10+D7</f>
        <v>24519132</v>
      </c>
      <c r="E14" s="529">
        <f t="shared" ref="E14:M14" si="3">E13+E10+E7</f>
        <v>4661835</v>
      </c>
      <c r="F14" s="529">
        <f t="shared" si="3"/>
        <v>7488305</v>
      </c>
      <c r="G14" s="529">
        <f t="shared" si="3"/>
        <v>0</v>
      </c>
      <c r="H14" s="529">
        <f t="shared" si="3"/>
        <v>0</v>
      </c>
      <c r="I14" s="529">
        <f t="shared" si="3"/>
        <v>0</v>
      </c>
      <c r="J14" s="529">
        <f t="shared" si="3"/>
        <v>0</v>
      </c>
      <c r="K14" s="529">
        <f t="shared" si="3"/>
        <v>0</v>
      </c>
      <c r="L14" s="529">
        <f t="shared" si="3"/>
        <v>0</v>
      </c>
      <c r="M14" s="529">
        <f t="shared" si="3"/>
        <v>36669272</v>
      </c>
    </row>
    <row r="15" spans="1:13" ht="21" customHeight="1" x14ac:dyDescent="0.3">
      <c r="A15" s="85"/>
      <c r="B15" s="86"/>
      <c r="C15" s="86"/>
      <c r="D15" s="87"/>
      <c r="E15" s="88"/>
      <c r="F15" s="87"/>
      <c r="G15" s="87"/>
      <c r="H15" s="87"/>
      <c r="I15" s="89"/>
    </row>
    <row r="16" spans="1:13" ht="42" customHeight="1" x14ac:dyDescent="0.3">
      <c r="A16" s="85"/>
      <c r="B16" s="90"/>
      <c r="C16" s="91"/>
      <c r="D16" s="92"/>
      <c r="E16" s="88"/>
      <c r="F16" s="88"/>
      <c r="G16" s="87"/>
      <c r="H16" s="87"/>
      <c r="I16" s="87"/>
    </row>
    <row r="17" spans="1:9" ht="42" customHeight="1" x14ac:dyDescent="0.3">
      <c r="A17" s="93"/>
      <c r="B17" s="94"/>
      <c r="C17" s="95"/>
      <c r="D17" s="96"/>
      <c r="E17" s="78"/>
      <c r="F17" s="78"/>
      <c r="G17" s="79"/>
      <c r="H17" s="79"/>
      <c r="I17" s="79"/>
    </row>
    <row r="18" spans="1:9" ht="14" x14ac:dyDescent="0.3">
      <c r="A18" s="75"/>
      <c r="B18" s="76"/>
      <c r="C18" s="76"/>
      <c r="D18" s="77"/>
      <c r="E18" s="77"/>
      <c r="F18" s="77"/>
      <c r="G18" s="77"/>
      <c r="H18" s="77"/>
      <c r="I18" s="77"/>
    </row>
    <row r="19" spans="1:9" s="98" customFormat="1" ht="14" x14ac:dyDescent="0.3">
      <c r="A19" s="75"/>
      <c r="B19" s="76"/>
      <c r="C19" s="76"/>
      <c r="D19" s="77"/>
      <c r="E19" s="78"/>
      <c r="F19" s="97"/>
      <c r="G19" s="97"/>
      <c r="H19" s="97"/>
      <c r="I19" s="97"/>
    </row>
  </sheetData>
  <mergeCells count="2">
    <mergeCell ref="A1:M1"/>
    <mergeCell ref="K3:M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>&amp;R &amp;"Times New Roman CE,Félkövér dőlt"&amp;11 11.2.  melléklet a 16/2017. (IX.04.)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view="pageLayout" topLeftCell="C1" zoomScaleNormal="100" zoomScaleSheetLayoutView="100" workbookViewId="0">
      <selection activeCell="H1" sqref="H1"/>
    </sheetView>
  </sheetViews>
  <sheetFormatPr defaultColWidth="9.296875" defaultRowHeight="15.5" x14ac:dyDescent="0.35"/>
  <cols>
    <col min="1" max="1" width="6.296875" style="11" customWidth="1"/>
    <col min="2" max="2" width="78.69921875" style="11" customWidth="1"/>
    <col min="3" max="3" width="11.19921875" style="11" customWidth="1"/>
    <col min="4" max="4" width="20.796875" style="12" customWidth="1"/>
    <col min="5" max="5" width="15" style="297" bestFit="1" customWidth="1"/>
    <col min="6" max="6" width="14.69921875" style="297" bestFit="1" customWidth="1"/>
    <col min="7" max="7" width="9.296875" style="1"/>
    <col min="8" max="8" width="11.19921875" style="1" bestFit="1" customWidth="1"/>
    <col min="9" max="16384" width="9.296875" style="1"/>
  </cols>
  <sheetData>
    <row r="1" spans="1:6" ht="60" customHeight="1" x14ac:dyDescent="0.35">
      <c r="A1" s="712" t="s">
        <v>646</v>
      </c>
      <c r="B1" s="712"/>
      <c r="C1" s="712"/>
      <c r="D1" s="712"/>
      <c r="E1" s="712"/>
      <c r="F1" s="712"/>
    </row>
    <row r="2" spans="1:6" ht="16" customHeight="1" x14ac:dyDescent="0.35">
      <c r="A2" s="713" t="s">
        <v>0</v>
      </c>
      <c r="B2" s="713"/>
      <c r="C2" s="713"/>
      <c r="D2" s="713"/>
      <c r="E2" s="713"/>
      <c r="F2" s="713"/>
    </row>
    <row r="3" spans="1:6" ht="16" customHeight="1" x14ac:dyDescent="0.35">
      <c r="A3" s="715"/>
      <c r="B3" s="715"/>
      <c r="C3" s="2"/>
      <c r="F3" s="3" t="s">
        <v>1</v>
      </c>
    </row>
    <row r="4" spans="1:6" ht="38.15" customHeight="1" x14ac:dyDescent="0.35">
      <c r="A4" s="4" t="s">
        <v>2</v>
      </c>
      <c r="B4" s="5" t="s">
        <v>3</v>
      </c>
      <c r="C4" s="5" t="s">
        <v>4</v>
      </c>
      <c r="D4" s="6" t="s">
        <v>5</v>
      </c>
      <c r="E4" s="298" t="s">
        <v>860</v>
      </c>
      <c r="F4" s="299" t="s">
        <v>859</v>
      </c>
    </row>
    <row r="5" spans="1:6" s="7" customFormat="1" ht="12" customHeight="1" x14ac:dyDescent="0.25">
      <c r="A5" s="4" t="s">
        <v>6</v>
      </c>
      <c r="B5" s="5" t="s">
        <v>7</v>
      </c>
      <c r="C5" s="5" t="s">
        <v>8</v>
      </c>
      <c r="D5" s="6" t="s">
        <v>9</v>
      </c>
      <c r="E5" s="300" t="s">
        <v>269</v>
      </c>
      <c r="F5" s="300" t="s">
        <v>479</v>
      </c>
    </row>
    <row r="6" spans="1:6" s="8" customFormat="1" ht="15.75" customHeight="1" x14ac:dyDescent="0.3">
      <c r="A6" s="358" t="s">
        <v>10</v>
      </c>
      <c r="B6" s="359" t="s">
        <v>11</v>
      </c>
      <c r="C6" s="360" t="s">
        <v>12</v>
      </c>
      <c r="D6" s="361">
        <f>'9.sz.mell.'!D6</f>
        <v>250951560</v>
      </c>
      <c r="E6" s="301">
        <f>F6-D6</f>
        <v>0</v>
      </c>
      <c r="F6" s="301">
        <v>250951560</v>
      </c>
    </row>
    <row r="7" spans="1:6" s="8" customFormat="1" ht="15.75" customHeight="1" x14ac:dyDescent="0.3">
      <c r="A7" s="358" t="s">
        <v>13</v>
      </c>
      <c r="B7" s="359" t="s">
        <v>14</v>
      </c>
      <c r="C7" s="360" t="s">
        <v>15</v>
      </c>
      <c r="D7" s="361">
        <f>'9.sz.mell.'!D7</f>
        <v>242687617</v>
      </c>
      <c r="E7" s="301">
        <f t="shared" ref="E7:E11" si="0">F7-D7</f>
        <v>2932300</v>
      </c>
      <c r="F7" s="301">
        <v>245619917</v>
      </c>
    </row>
    <row r="8" spans="1:6" s="8" customFormat="1" ht="24" customHeight="1" x14ac:dyDescent="0.3">
      <c r="A8" s="358" t="s">
        <v>16</v>
      </c>
      <c r="B8" s="359" t="s">
        <v>17</v>
      </c>
      <c r="C8" s="360" t="s">
        <v>18</v>
      </c>
      <c r="D8" s="361">
        <f>'9.sz.mell.'!D8</f>
        <v>326754354</v>
      </c>
      <c r="E8" s="301">
        <f t="shared" si="0"/>
        <v>11255769</v>
      </c>
      <c r="F8" s="301">
        <v>338010123</v>
      </c>
    </row>
    <row r="9" spans="1:6" s="8" customFormat="1" ht="15.75" customHeight="1" x14ac:dyDescent="0.3">
      <c r="A9" s="358" t="s">
        <v>19</v>
      </c>
      <c r="B9" s="359" t="s">
        <v>20</v>
      </c>
      <c r="C9" s="360" t="s">
        <v>21</v>
      </c>
      <c r="D9" s="361">
        <f>'9.sz.mell.'!D9</f>
        <v>26773920</v>
      </c>
      <c r="E9" s="301">
        <f t="shared" si="0"/>
        <v>1656063</v>
      </c>
      <c r="F9" s="301">
        <v>28429983</v>
      </c>
    </row>
    <row r="10" spans="1:6" s="8" customFormat="1" ht="15.75" customHeight="1" x14ac:dyDescent="0.3">
      <c r="A10" s="358" t="s">
        <v>22</v>
      </c>
      <c r="B10" s="359" t="s">
        <v>23</v>
      </c>
      <c r="C10" s="360" t="s">
        <v>24</v>
      </c>
      <c r="D10" s="361">
        <f>'9.sz.mell.'!D10</f>
        <v>0</v>
      </c>
      <c r="E10" s="301">
        <f t="shared" si="0"/>
        <v>15168511</v>
      </c>
      <c r="F10" s="301">
        <v>15168511</v>
      </c>
    </row>
    <row r="11" spans="1:6" s="8" customFormat="1" ht="15.75" customHeight="1" x14ac:dyDescent="0.3">
      <c r="A11" s="358" t="s">
        <v>25</v>
      </c>
      <c r="B11" s="359" t="s">
        <v>26</v>
      </c>
      <c r="C11" s="360" t="s">
        <v>27</v>
      </c>
      <c r="D11" s="361">
        <f>'9.sz.mell.'!D11</f>
        <v>0</v>
      </c>
      <c r="E11" s="301">
        <f t="shared" si="0"/>
        <v>0</v>
      </c>
      <c r="F11" s="301"/>
    </row>
    <row r="12" spans="1:6" s="8" customFormat="1" ht="15.75" customHeight="1" x14ac:dyDescent="0.3">
      <c r="A12" s="130" t="s">
        <v>28</v>
      </c>
      <c r="B12" s="115" t="s">
        <v>29</v>
      </c>
      <c r="C12" s="119" t="s">
        <v>30</v>
      </c>
      <c r="D12" s="132">
        <f>+D6+D7+D8+D9+D10+D11</f>
        <v>847167451</v>
      </c>
      <c r="E12" s="132">
        <f t="shared" ref="E12:F12" si="1">+E6+E7+E8+E9+E10+E11</f>
        <v>31012643</v>
      </c>
      <c r="F12" s="132">
        <f t="shared" si="1"/>
        <v>878180094</v>
      </c>
    </row>
    <row r="13" spans="1:6" s="8" customFormat="1" ht="15.75" customHeight="1" x14ac:dyDescent="0.3">
      <c r="A13" s="358" t="s">
        <v>31</v>
      </c>
      <c r="B13" s="359" t="s">
        <v>32</v>
      </c>
      <c r="C13" s="360" t="s">
        <v>33</v>
      </c>
      <c r="D13" s="361">
        <f>'9.sz.mell.'!D13</f>
        <v>0</v>
      </c>
      <c r="E13" s="301"/>
      <c r="F13" s="301"/>
    </row>
    <row r="14" spans="1:6" s="8" customFormat="1" ht="15.75" customHeight="1" x14ac:dyDescent="0.3">
      <c r="A14" s="358" t="s">
        <v>34</v>
      </c>
      <c r="B14" s="359" t="s">
        <v>35</v>
      </c>
      <c r="C14" s="360" t="s">
        <v>36</v>
      </c>
      <c r="D14" s="361">
        <f>SUM(D15:D21)</f>
        <v>110724067</v>
      </c>
      <c r="E14" s="301">
        <f>F14-D14</f>
        <v>279338329</v>
      </c>
      <c r="F14" s="301">
        <f>SUM(F15:F21)</f>
        <v>390062396</v>
      </c>
    </row>
    <row r="15" spans="1:6" s="8" customFormat="1" ht="24" customHeight="1" x14ac:dyDescent="0.3">
      <c r="A15" s="358" t="s">
        <v>37</v>
      </c>
      <c r="B15" s="362" t="s">
        <v>38</v>
      </c>
      <c r="C15" s="360" t="s">
        <v>36</v>
      </c>
      <c r="D15" s="363">
        <f>'9.sz.mell.'!D15+'10.sz.mell'!G6+'11.sz.mell'!F6</f>
        <v>0</v>
      </c>
      <c r="E15" s="301">
        <f t="shared" ref="E15:E21" si="2">F15-D15</f>
        <v>0</v>
      </c>
      <c r="F15" s="301"/>
    </row>
    <row r="16" spans="1:6" s="8" customFormat="1" ht="18.75" customHeight="1" x14ac:dyDescent="0.3">
      <c r="A16" s="358" t="s">
        <v>39</v>
      </c>
      <c r="B16" s="364" t="s">
        <v>40</v>
      </c>
      <c r="C16" s="360" t="s">
        <v>36</v>
      </c>
      <c r="D16" s="363">
        <v>55826180</v>
      </c>
      <c r="E16" s="301">
        <f t="shared" si="2"/>
        <v>9000000</v>
      </c>
      <c r="F16" s="301">
        <v>64826180</v>
      </c>
    </row>
    <row r="17" spans="1:8" s="8" customFormat="1" ht="15.75" customHeight="1" x14ac:dyDescent="0.3">
      <c r="A17" s="358" t="s">
        <v>41</v>
      </c>
      <c r="B17" s="364" t="s">
        <v>42</v>
      </c>
      <c r="C17" s="360" t="s">
        <v>36</v>
      </c>
      <c r="D17" s="363">
        <f>'9.sz.mell.'!D17</f>
        <v>0</v>
      </c>
      <c r="E17" s="301">
        <f t="shared" si="2"/>
        <v>0</v>
      </c>
      <c r="F17" s="301"/>
    </row>
    <row r="18" spans="1:8" s="8" customFormat="1" ht="19.5" customHeight="1" x14ac:dyDescent="0.3">
      <c r="A18" s="358" t="s">
        <v>43</v>
      </c>
      <c r="B18" s="364" t="s">
        <v>44</v>
      </c>
      <c r="C18" s="360" t="s">
        <v>36</v>
      </c>
      <c r="D18" s="363">
        <v>15049000</v>
      </c>
      <c r="E18" s="301">
        <f t="shared" si="2"/>
        <v>338580</v>
      </c>
      <c r="F18" s="301">
        <v>15387580</v>
      </c>
    </row>
    <row r="19" spans="1:8" s="8" customFormat="1" ht="19.5" customHeight="1" x14ac:dyDescent="0.3">
      <c r="A19" s="358" t="s">
        <v>45</v>
      </c>
      <c r="B19" s="364" t="s">
        <v>46</v>
      </c>
      <c r="C19" s="360" t="s">
        <v>36</v>
      </c>
      <c r="D19" s="363">
        <f>'9.sz.mell.'!D19</f>
        <v>8348400</v>
      </c>
      <c r="E19" s="301">
        <f t="shared" si="2"/>
        <v>0</v>
      </c>
      <c r="F19" s="301">
        <v>8348400</v>
      </c>
    </row>
    <row r="20" spans="1:8" s="8" customFormat="1" ht="24" customHeight="1" x14ac:dyDescent="0.3">
      <c r="A20" s="358" t="s">
        <v>47</v>
      </c>
      <c r="B20" s="364" t="s">
        <v>48</v>
      </c>
      <c r="C20" s="360" t="s">
        <v>36</v>
      </c>
      <c r="D20" s="363">
        <f>'9.sz.mell.'!D20+'11.sz.mell'!F8</f>
        <v>31500487</v>
      </c>
      <c r="E20" s="301">
        <f t="shared" si="2"/>
        <v>265391188</v>
      </c>
      <c r="F20" s="301">
        <v>296891675</v>
      </c>
      <c r="H20" s="668" t="s">
        <v>865</v>
      </c>
    </row>
    <row r="21" spans="1:8" s="8" customFormat="1" ht="24.75" customHeight="1" x14ac:dyDescent="0.3">
      <c r="A21" s="358" t="s">
        <v>49</v>
      </c>
      <c r="B21" s="364" t="s">
        <v>50</v>
      </c>
      <c r="C21" s="360" t="s">
        <v>36</v>
      </c>
      <c r="D21" s="363">
        <f>'9.sz.mell.'!D21</f>
        <v>0</v>
      </c>
      <c r="E21" s="301">
        <f t="shared" si="2"/>
        <v>4608561</v>
      </c>
      <c r="F21" s="301">
        <v>4608561</v>
      </c>
    </row>
    <row r="22" spans="1:8" s="8" customFormat="1" ht="18" customHeight="1" x14ac:dyDescent="0.3">
      <c r="A22" s="365" t="s">
        <v>51</v>
      </c>
      <c r="B22" s="366" t="s">
        <v>52</v>
      </c>
      <c r="C22" s="367" t="s">
        <v>53</v>
      </c>
      <c r="D22" s="368">
        <f>SUM(D12+D13+D14)</f>
        <v>957891518</v>
      </c>
      <c r="E22" s="368">
        <f t="shared" ref="E22:F22" si="3">SUM(E12+E13+E14)</f>
        <v>310350972</v>
      </c>
      <c r="F22" s="368">
        <f t="shared" si="3"/>
        <v>1268242490</v>
      </c>
    </row>
    <row r="23" spans="1:8" s="8" customFormat="1" ht="15.75" customHeight="1" x14ac:dyDescent="0.3">
      <c r="A23" s="358" t="s">
        <v>54</v>
      </c>
      <c r="B23" s="369" t="s">
        <v>55</v>
      </c>
      <c r="C23" s="360" t="s">
        <v>56</v>
      </c>
      <c r="D23" s="361"/>
      <c r="E23" s="301"/>
      <c r="F23" s="301"/>
    </row>
    <row r="24" spans="1:8" s="8" customFormat="1" ht="15.75" customHeight="1" x14ac:dyDescent="0.3">
      <c r="A24" s="358" t="s">
        <v>57</v>
      </c>
      <c r="B24" s="369" t="s">
        <v>58</v>
      </c>
      <c r="C24" s="360" t="s">
        <v>59</v>
      </c>
      <c r="D24" s="361">
        <f>SUM(D25:D30)</f>
        <v>50000000</v>
      </c>
      <c r="E24" s="301">
        <f>F24-D24</f>
        <v>1157803187</v>
      </c>
      <c r="F24" s="301">
        <f>SUM(F25:F30)</f>
        <v>1207803187</v>
      </c>
    </row>
    <row r="25" spans="1:8" s="8" customFormat="1" ht="15.75" customHeight="1" x14ac:dyDescent="0.3">
      <c r="A25" s="358" t="s">
        <v>60</v>
      </c>
      <c r="B25" s="362" t="s">
        <v>61</v>
      </c>
      <c r="C25" s="360" t="s">
        <v>59</v>
      </c>
      <c r="D25" s="361">
        <f>'9.sz.mell.'!D25</f>
        <v>50000000</v>
      </c>
      <c r="E25" s="301">
        <f t="shared" ref="E25:E30" si="4">F25-D25</f>
        <v>0</v>
      </c>
      <c r="F25" s="301">
        <v>50000000</v>
      </c>
    </row>
    <row r="26" spans="1:8" s="8" customFormat="1" ht="18.75" customHeight="1" x14ac:dyDescent="0.3">
      <c r="A26" s="358" t="s">
        <v>62</v>
      </c>
      <c r="B26" s="370" t="s">
        <v>63</v>
      </c>
      <c r="C26" s="360" t="s">
        <v>59</v>
      </c>
      <c r="D26" s="361"/>
      <c r="E26" s="301">
        <f t="shared" si="4"/>
        <v>1157803187</v>
      </c>
      <c r="F26" s="301">
        <v>1157803187</v>
      </c>
    </row>
    <row r="27" spans="1:8" s="8" customFormat="1" ht="15.75" customHeight="1" x14ac:dyDescent="0.3">
      <c r="A27" s="358" t="s">
        <v>64</v>
      </c>
      <c r="B27" s="370" t="s">
        <v>65</v>
      </c>
      <c r="C27" s="360" t="s">
        <v>59</v>
      </c>
      <c r="D27" s="361"/>
      <c r="E27" s="301">
        <f t="shared" si="4"/>
        <v>0</v>
      </c>
      <c r="F27" s="301"/>
    </row>
    <row r="28" spans="1:8" s="8" customFormat="1" ht="15.75" customHeight="1" x14ac:dyDescent="0.3">
      <c r="A28" s="358" t="s">
        <v>66</v>
      </c>
      <c r="B28" s="370" t="s">
        <v>67</v>
      </c>
      <c r="C28" s="360" t="s">
        <v>59</v>
      </c>
      <c r="D28" s="361"/>
      <c r="E28" s="301">
        <f t="shared" si="4"/>
        <v>0</v>
      </c>
      <c r="F28" s="301"/>
    </row>
    <row r="29" spans="1:8" s="8" customFormat="1" ht="24.75" customHeight="1" x14ac:dyDescent="0.3">
      <c r="A29" s="358" t="s">
        <v>68</v>
      </c>
      <c r="B29" s="370" t="s">
        <v>69</v>
      </c>
      <c r="C29" s="360" t="s">
        <v>59</v>
      </c>
      <c r="D29" s="361"/>
      <c r="E29" s="301">
        <f t="shared" si="4"/>
        <v>0</v>
      </c>
      <c r="F29" s="301"/>
    </row>
    <row r="30" spans="1:8" s="8" customFormat="1" ht="24" customHeight="1" x14ac:dyDescent="0.3">
      <c r="A30" s="358" t="s">
        <v>70</v>
      </c>
      <c r="B30" s="370" t="s">
        <v>71</v>
      </c>
      <c r="C30" s="360" t="s">
        <v>59</v>
      </c>
      <c r="D30" s="361"/>
      <c r="E30" s="301">
        <f t="shared" si="4"/>
        <v>0</v>
      </c>
      <c r="F30" s="301"/>
    </row>
    <row r="31" spans="1:8" s="8" customFormat="1" ht="22.5" customHeight="1" x14ac:dyDescent="0.3">
      <c r="A31" s="130" t="s">
        <v>72</v>
      </c>
      <c r="B31" s="115" t="s">
        <v>73</v>
      </c>
      <c r="C31" s="119" t="s">
        <v>74</v>
      </c>
      <c r="D31" s="132">
        <f>SUM(D23+D24)</f>
        <v>50000000</v>
      </c>
      <c r="E31" s="132">
        <f t="shared" ref="E31:F31" si="5">SUM(E23+E24)</f>
        <v>1157803187</v>
      </c>
      <c r="F31" s="132">
        <f t="shared" si="5"/>
        <v>1207803187</v>
      </c>
    </row>
    <row r="32" spans="1:8" s="8" customFormat="1" ht="14.25" customHeight="1" x14ac:dyDescent="0.3">
      <c r="A32" s="358" t="s">
        <v>75</v>
      </c>
      <c r="B32" s="371" t="s">
        <v>76</v>
      </c>
      <c r="C32" s="372" t="s">
        <v>77</v>
      </c>
      <c r="D32" s="373">
        <f>'9.sz.mell.'!D32</f>
        <v>0</v>
      </c>
      <c r="E32" s="301"/>
      <c r="F32" s="301"/>
    </row>
    <row r="33" spans="1:6" s="8" customFormat="1" ht="14.25" customHeight="1" x14ac:dyDescent="0.3">
      <c r="A33" s="358" t="s">
        <v>78</v>
      </c>
      <c r="B33" s="359" t="s">
        <v>79</v>
      </c>
      <c r="C33" s="360" t="s">
        <v>80</v>
      </c>
      <c r="D33" s="361">
        <f>SUM(D34:D36)</f>
        <v>131000000</v>
      </c>
      <c r="E33" s="301">
        <f>F33-D33</f>
        <v>0</v>
      </c>
      <c r="F33" s="301">
        <v>131000000</v>
      </c>
    </row>
    <row r="34" spans="1:6" s="8" customFormat="1" ht="14.25" customHeight="1" x14ac:dyDescent="0.3">
      <c r="A34" s="358" t="s">
        <v>81</v>
      </c>
      <c r="B34" s="374" t="s">
        <v>82</v>
      </c>
      <c r="C34" s="375" t="s">
        <v>80</v>
      </c>
      <c r="D34" s="376">
        <f>'9.sz.mell.'!D34</f>
        <v>75000000</v>
      </c>
      <c r="E34" s="301">
        <f t="shared" ref="E34:E44" si="6">F34-D34</f>
        <v>0</v>
      </c>
      <c r="F34" s="301">
        <v>75000000</v>
      </c>
    </row>
    <row r="35" spans="1:6" s="8" customFormat="1" ht="14.25" customHeight="1" x14ac:dyDescent="0.3">
      <c r="A35" s="358" t="s">
        <v>83</v>
      </c>
      <c r="B35" s="377" t="s">
        <v>84</v>
      </c>
      <c r="C35" s="375" t="s">
        <v>80</v>
      </c>
      <c r="D35" s="376">
        <f>'9.sz.mell.'!D35</f>
        <v>8000000</v>
      </c>
      <c r="E35" s="301">
        <f t="shared" si="6"/>
        <v>0</v>
      </c>
      <c r="F35" s="301">
        <v>8000000</v>
      </c>
    </row>
    <row r="36" spans="1:6" s="8" customFormat="1" ht="14.25" customHeight="1" x14ac:dyDescent="0.3">
      <c r="A36" s="358" t="s">
        <v>85</v>
      </c>
      <c r="B36" s="377" t="s">
        <v>86</v>
      </c>
      <c r="C36" s="375" t="s">
        <v>80</v>
      </c>
      <c r="D36" s="376">
        <f>'9.sz.mell.'!D36</f>
        <v>48000000</v>
      </c>
      <c r="E36" s="301">
        <f t="shared" si="6"/>
        <v>0</v>
      </c>
      <c r="F36" s="301">
        <v>48000000</v>
      </c>
    </row>
    <row r="37" spans="1:6" s="8" customFormat="1" ht="14.25" customHeight="1" x14ac:dyDescent="0.3">
      <c r="A37" s="358" t="s">
        <v>87</v>
      </c>
      <c r="B37" s="378" t="s">
        <v>88</v>
      </c>
      <c r="C37" s="360" t="s">
        <v>89</v>
      </c>
      <c r="D37" s="361">
        <f>SUM(D38:D39)</f>
        <v>580000000</v>
      </c>
      <c r="E37" s="301">
        <f t="shared" si="6"/>
        <v>0</v>
      </c>
      <c r="F37" s="301">
        <v>580000000</v>
      </c>
    </row>
    <row r="38" spans="1:6" s="8" customFormat="1" ht="14.25" customHeight="1" x14ac:dyDescent="0.3">
      <c r="A38" s="358" t="s">
        <v>90</v>
      </c>
      <c r="B38" s="379" t="s">
        <v>91</v>
      </c>
      <c r="C38" s="375" t="s">
        <v>89</v>
      </c>
      <c r="D38" s="376">
        <f>'9.sz.mell.'!D38</f>
        <v>580000000</v>
      </c>
      <c r="E38" s="301">
        <f t="shared" si="6"/>
        <v>0</v>
      </c>
      <c r="F38" s="301">
        <v>580000000</v>
      </c>
    </row>
    <row r="39" spans="1:6" s="8" customFormat="1" ht="14.25" customHeight="1" x14ac:dyDescent="0.3">
      <c r="A39" s="358" t="s">
        <v>92</v>
      </c>
      <c r="B39" s="379" t="s">
        <v>93</v>
      </c>
      <c r="C39" s="375" t="s">
        <v>89</v>
      </c>
      <c r="D39" s="376">
        <f>'9.sz.mell.'!D39</f>
        <v>0</v>
      </c>
      <c r="E39" s="301">
        <f t="shared" si="6"/>
        <v>0</v>
      </c>
      <c r="F39" s="301"/>
    </row>
    <row r="40" spans="1:6" s="8" customFormat="1" ht="17.25" customHeight="1" x14ac:dyDescent="0.3">
      <c r="A40" s="358" t="s">
        <v>94</v>
      </c>
      <c r="B40" s="380" t="s">
        <v>95</v>
      </c>
      <c r="C40" s="360" t="s">
        <v>96</v>
      </c>
      <c r="D40" s="361">
        <f>'9.sz.mell.'!D40</f>
        <v>38000000</v>
      </c>
      <c r="E40" s="301">
        <f t="shared" si="6"/>
        <v>0</v>
      </c>
      <c r="F40" s="301">
        <v>38000000</v>
      </c>
    </row>
    <row r="41" spans="1:6" s="8" customFormat="1" ht="17.25" customHeight="1" x14ac:dyDescent="0.3">
      <c r="A41" s="358" t="s">
        <v>97</v>
      </c>
      <c r="B41" s="378" t="s">
        <v>98</v>
      </c>
      <c r="C41" s="360" t="s">
        <v>99</v>
      </c>
      <c r="D41" s="361">
        <f>SUM(D42:D43)</f>
        <v>0</v>
      </c>
      <c r="E41" s="301">
        <f>SUM(E42:E43)</f>
        <v>669400</v>
      </c>
      <c r="F41" s="301">
        <f>SUM(F42:F43)</f>
        <v>669400</v>
      </c>
    </row>
    <row r="42" spans="1:6" s="8" customFormat="1" ht="14.25" customHeight="1" x14ac:dyDescent="0.3">
      <c r="A42" s="358" t="s">
        <v>100</v>
      </c>
      <c r="B42" s="379" t="s">
        <v>101</v>
      </c>
      <c r="C42" s="375" t="s">
        <v>99</v>
      </c>
      <c r="D42" s="361">
        <f>'9.sz.mell.'!D42</f>
        <v>0</v>
      </c>
      <c r="E42" s="301">
        <f t="shared" si="6"/>
        <v>669400</v>
      </c>
      <c r="F42" s="301">
        <v>669400</v>
      </c>
    </row>
    <row r="43" spans="1:6" s="8" customFormat="1" ht="14.25" customHeight="1" x14ac:dyDescent="0.3">
      <c r="A43" s="358" t="s">
        <v>102</v>
      </c>
      <c r="B43" s="379" t="s">
        <v>103</v>
      </c>
      <c r="C43" s="375" t="s">
        <v>99</v>
      </c>
      <c r="D43" s="361">
        <f>'9.sz.mell.'!D43</f>
        <v>0</v>
      </c>
      <c r="E43" s="301">
        <f t="shared" si="6"/>
        <v>0</v>
      </c>
      <c r="F43" s="301"/>
    </row>
    <row r="44" spans="1:6" s="8" customFormat="1" ht="14.25" customHeight="1" x14ac:dyDescent="0.3">
      <c r="A44" s="358" t="s">
        <v>104</v>
      </c>
      <c r="B44" s="369" t="s">
        <v>105</v>
      </c>
      <c r="C44" s="381" t="s">
        <v>106</v>
      </c>
      <c r="D44" s="361">
        <f>'9.sz.mell.'!D44</f>
        <v>2000000</v>
      </c>
      <c r="E44" s="301">
        <f t="shared" si="6"/>
        <v>593953</v>
      </c>
      <c r="F44" s="301">
        <v>2593953</v>
      </c>
    </row>
    <row r="45" spans="1:6" s="8" customFormat="1" ht="17.25" customHeight="1" x14ac:dyDescent="0.3">
      <c r="A45" s="130" t="s">
        <v>107</v>
      </c>
      <c r="B45" s="115" t="s">
        <v>108</v>
      </c>
      <c r="C45" s="119" t="s">
        <v>109</v>
      </c>
      <c r="D45" s="132">
        <f>SUM(D32+D33+D37+D40+D41+D44)</f>
        <v>751000000</v>
      </c>
      <c r="E45" s="132">
        <f t="shared" ref="E45:F45" si="7">SUM(E32+E33+E37+E40+E41+E44)</f>
        <v>1263353</v>
      </c>
      <c r="F45" s="132">
        <f t="shared" si="7"/>
        <v>752263353</v>
      </c>
    </row>
    <row r="46" spans="1:6" s="8" customFormat="1" ht="14.25" customHeight="1" x14ac:dyDescent="0.3">
      <c r="A46" s="358" t="s">
        <v>110</v>
      </c>
      <c r="B46" s="369" t="s">
        <v>111</v>
      </c>
      <c r="C46" s="381" t="s">
        <v>112</v>
      </c>
      <c r="D46" s="361">
        <v>50457314</v>
      </c>
      <c r="E46" s="301">
        <f>F46-D46</f>
        <v>-304090</v>
      </c>
      <c r="F46" s="301">
        <v>50153224</v>
      </c>
    </row>
    <row r="47" spans="1:6" s="8" customFormat="1" ht="14.25" customHeight="1" x14ac:dyDescent="0.3">
      <c r="A47" s="358" t="s">
        <v>113</v>
      </c>
      <c r="B47" s="369" t="s">
        <v>114</v>
      </c>
      <c r="C47" s="381" t="s">
        <v>115</v>
      </c>
      <c r="D47" s="361">
        <f>'9.sz.mell.'!D47+'10.sz.mell'!G17+'11.sz.mell'!F17</f>
        <v>24500000</v>
      </c>
      <c r="E47" s="301">
        <f t="shared" ref="E47:E56" si="8">F47-D47</f>
        <v>487768</v>
      </c>
      <c r="F47" s="301">
        <v>24987768</v>
      </c>
    </row>
    <row r="48" spans="1:6" s="8" customFormat="1" ht="14.25" customHeight="1" x14ac:dyDescent="0.3">
      <c r="A48" s="358" t="s">
        <v>116</v>
      </c>
      <c r="B48" s="369" t="s">
        <v>117</v>
      </c>
      <c r="C48" s="381" t="s">
        <v>118</v>
      </c>
      <c r="D48" s="361">
        <f>'9.sz.mell.'!D48+'10.sz.mell'!G18+'11.sz.mell'!F18</f>
        <v>29604344</v>
      </c>
      <c r="E48" s="301">
        <f t="shared" si="8"/>
        <v>1348440</v>
      </c>
      <c r="F48" s="301">
        <v>30952784</v>
      </c>
    </row>
    <row r="49" spans="1:6" s="8" customFormat="1" ht="14.25" customHeight="1" x14ac:dyDescent="0.3">
      <c r="A49" s="358" t="s">
        <v>119</v>
      </c>
      <c r="B49" s="369" t="s">
        <v>120</v>
      </c>
      <c r="C49" s="381" t="s">
        <v>121</v>
      </c>
      <c r="D49" s="361">
        <f>'9.sz.mell.'!D49+'10.sz.mell'!G21+'11.sz.mell'!F21</f>
        <v>23275230</v>
      </c>
      <c r="E49" s="301">
        <f t="shared" si="8"/>
        <v>0</v>
      </c>
      <c r="F49" s="301">
        <v>23275230</v>
      </c>
    </row>
    <row r="50" spans="1:6" s="8" customFormat="1" ht="14.25" customHeight="1" x14ac:dyDescent="0.3">
      <c r="A50" s="358" t="s">
        <v>122</v>
      </c>
      <c r="B50" s="369" t="s">
        <v>123</v>
      </c>
      <c r="C50" s="381" t="s">
        <v>124</v>
      </c>
      <c r="D50" s="361">
        <f>'9.sz.mell.'!D50</f>
        <v>24000000</v>
      </c>
      <c r="E50" s="301">
        <f t="shared" si="8"/>
        <v>0</v>
      </c>
      <c r="F50" s="301">
        <v>24000000</v>
      </c>
    </row>
    <row r="51" spans="1:6" s="8" customFormat="1" ht="14.25" customHeight="1" x14ac:dyDescent="0.3">
      <c r="A51" s="358" t="s">
        <v>125</v>
      </c>
      <c r="B51" s="369" t="s">
        <v>126</v>
      </c>
      <c r="C51" s="381" t="s">
        <v>127</v>
      </c>
      <c r="D51" s="361">
        <v>29550028</v>
      </c>
      <c r="E51" s="301">
        <f t="shared" si="8"/>
        <v>552836</v>
      </c>
      <c r="F51" s="301">
        <v>30102864</v>
      </c>
    </row>
    <row r="52" spans="1:6" s="8" customFormat="1" ht="14.25" customHeight="1" x14ac:dyDescent="0.3">
      <c r="A52" s="358" t="s">
        <v>128</v>
      </c>
      <c r="B52" s="369" t="s">
        <v>129</v>
      </c>
      <c r="C52" s="381" t="s">
        <v>130</v>
      </c>
      <c r="D52" s="361">
        <f>'9.sz.mell.'!D52+'10.sz.mell'!G24+'11.sz.mell'!F24</f>
        <v>0</v>
      </c>
      <c r="E52" s="301">
        <f t="shared" si="8"/>
        <v>0</v>
      </c>
      <c r="F52" s="301"/>
    </row>
    <row r="53" spans="1:6" s="8" customFormat="1" ht="14.25" customHeight="1" x14ac:dyDescent="0.3">
      <c r="A53" s="358" t="s">
        <v>131</v>
      </c>
      <c r="B53" s="369" t="s">
        <v>132</v>
      </c>
      <c r="C53" s="381" t="s">
        <v>133</v>
      </c>
      <c r="D53" s="361">
        <f>'9.sz.mell.'!D53</f>
        <v>500000</v>
      </c>
      <c r="E53" s="301">
        <f t="shared" si="8"/>
        <v>485105</v>
      </c>
      <c r="F53" s="301">
        <v>985105</v>
      </c>
    </row>
    <row r="54" spans="1:6" s="8" customFormat="1" ht="14.25" customHeight="1" x14ac:dyDescent="0.3">
      <c r="A54" s="358" t="s">
        <v>134</v>
      </c>
      <c r="B54" s="369" t="s">
        <v>135</v>
      </c>
      <c r="C54" s="381" t="s">
        <v>136</v>
      </c>
      <c r="D54" s="361">
        <f>'9.sz.mell.'!D54</f>
        <v>0</v>
      </c>
      <c r="E54" s="301">
        <f t="shared" si="8"/>
        <v>1172</v>
      </c>
      <c r="F54" s="301">
        <v>1172</v>
      </c>
    </row>
    <row r="55" spans="1:6" s="8" customFormat="1" ht="14.25" customHeight="1" x14ac:dyDescent="0.3">
      <c r="A55" s="358" t="s">
        <v>137</v>
      </c>
      <c r="B55" s="369" t="s">
        <v>138</v>
      </c>
      <c r="C55" s="381" t="s">
        <v>139</v>
      </c>
      <c r="D55" s="361">
        <f>'9.sz.mell.'!D55</f>
        <v>500000</v>
      </c>
      <c r="E55" s="301">
        <f t="shared" si="8"/>
        <v>2028359</v>
      </c>
      <c r="F55" s="301">
        <v>2528359</v>
      </c>
    </row>
    <row r="56" spans="1:6" s="8" customFormat="1" ht="14.25" customHeight="1" x14ac:dyDescent="0.3">
      <c r="A56" s="358" t="s">
        <v>140</v>
      </c>
      <c r="B56" s="359" t="s">
        <v>141</v>
      </c>
      <c r="C56" s="381" t="s">
        <v>142</v>
      </c>
      <c r="D56" s="361">
        <f>'9.sz.mell.'!D56</f>
        <v>2250000</v>
      </c>
      <c r="E56" s="301">
        <f t="shared" si="8"/>
        <v>448905</v>
      </c>
      <c r="F56" s="301">
        <v>2698905</v>
      </c>
    </row>
    <row r="57" spans="1:6" s="8" customFormat="1" ht="15.75" customHeight="1" x14ac:dyDescent="0.3">
      <c r="A57" s="365" t="s">
        <v>143</v>
      </c>
      <c r="B57" s="382" t="s">
        <v>144</v>
      </c>
      <c r="C57" s="367" t="s">
        <v>145</v>
      </c>
      <c r="D57" s="268">
        <f>SUM(D46:D56)</f>
        <v>184636916</v>
      </c>
      <c r="E57" s="268">
        <f t="shared" ref="E57:F57" si="9">SUM(E46:E56)</f>
        <v>5048495</v>
      </c>
      <c r="F57" s="268">
        <f t="shared" si="9"/>
        <v>189685411</v>
      </c>
    </row>
    <row r="58" spans="1:6" s="8" customFormat="1" ht="14.25" customHeight="1" x14ac:dyDescent="0.3">
      <c r="A58" s="383" t="s">
        <v>146</v>
      </c>
      <c r="B58" s="369" t="s">
        <v>147</v>
      </c>
      <c r="C58" s="381" t="s">
        <v>148</v>
      </c>
      <c r="D58" s="384">
        <f>'9.sz.mell.'!D58</f>
        <v>0</v>
      </c>
      <c r="E58" s="301"/>
      <c r="F58" s="301"/>
    </row>
    <row r="59" spans="1:6" s="8" customFormat="1" ht="14.25" customHeight="1" x14ac:dyDescent="0.3">
      <c r="A59" s="383" t="s">
        <v>149</v>
      </c>
      <c r="B59" s="369" t="s">
        <v>150</v>
      </c>
      <c r="C59" s="381" t="s">
        <v>151</v>
      </c>
      <c r="D59" s="384">
        <f>'9.sz.mell.'!D59</f>
        <v>0</v>
      </c>
      <c r="E59" s="301">
        <f>F59-D59</f>
        <v>3962074</v>
      </c>
      <c r="F59" s="301">
        <v>3962074</v>
      </c>
    </row>
    <row r="60" spans="1:6" s="8" customFormat="1" ht="14.25" customHeight="1" x14ac:dyDescent="0.3">
      <c r="A60" s="383" t="s">
        <v>152</v>
      </c>
      <c r="B60" s="369" t="s">
        <v>153</v>
      </c>
      <c r="C60" s="381" t="s">
        <v>154</v>
      </c>
      <c r="D60" s="384">
        <f>'9.sz.mell.'!D60</f>
        <v>2160072</v>
      </c>
      <c r="E60" s="301">
        <f t="shared" ref="E60:E62" si="10">F60-D60</f>
        <v>101065</v>
      </c>
      <c r="F60" s="301">
        <v>2261137</v>
      </c>
    </row>
    <row r="61" spans="1:6" s="8" customFormat="1" ht="14.25" customHeight="1" x14ac:dyDescent="0.3">
      <c r="A61" s="383" t="s">
        <v>155</v>
      </c>
      <c r="B61" s="369" t="s">
        <v>156</v>
      </c>
      <c r="C61" s="381" t="s">
        <v>157</v>
      </c>
      <c r="D61" s="384">
        <f>'9.sz.mell.'!D61</f>
        <v>0</v>
      </c>
      <c r="E61" s="301">
        <f t="shared" si="10"/>
        <v>0</v>
      </c>
      <c r="F61" s="301"/>
    </row>
    <row r="62" spans="1:6" s="8" customFormat="1" ht="14.25" customHeight="1" x14ac:dyDescent="0.3">
      <c r="A62" s="383" t="s">
        <v>158</v>
      </c>
      <c r="B62" s="359" t="s">
        <v>159</v>
      </c>
      <c r="C62" s="381" t="s">
        <v>160</v>
      </c>
      <c r="D62" s="384">
        <f>'9.sz.mell.'!D62</f>
        <v>0</v>
      </c>
      <c r="E62" s="301">
        <f t="shared" si="10"/>
        <v>0</v>
      </c>
      <c r="F62" s="301"/>
    </row>
    <row r="63" spans="1:6" s="8" customFormat="1" ht="14.25" customHeight="1" x14ac:dyDescent="0.3">
      <c r="A63" s="130" t="s">
        <v>161</v>
      </c>
      <c r="B63" s="382" t="s">
        <v>162</v>
      </c>
      <c r="C63" s="381" t="s">
        <v>163</v>
      </c>
      <c r="D63" s="368">
        <f>SUM(D58:D62)</f>
        <v>2160072</v>
      </c>
      <c r="E63" s="368">
        <f t="shared" ref="E63:F63" si="11">SUM(E58:E62)</f>
        <v>4063139</v>
      </c>
      <c r="F63" s="368">
        <f t="shared" si="11"/>
        <v>6223211</v>
      </c>
    </row>
    <row r="64" spans="1:6" s="8" customFormat="1" ht="16.5" customHeight="1" x14ac:dyDescent="0.3">
      <c r="A64" s="358" t="s">
        <v>164</v>
      </c>
      <c r="B64" s="359" t="s">
        <v>165</v>
      </c>
      <c r="C64" s="360" t="s">
        <v>166</v>
      </c>
      <c r="D64" s="361"/>
      <c r="E64" s="301">
        <f>F64-D64</f>
        <v>45000</v>
      </c>
      <c r="F64" s="301">
        <v>45000</v>
      </c>
    </row>
    <row r="65" spans="1:6" s="8" customFormat="1" ht="17.25" customHeight="1" x14ac:dyDescent="0.3">
      <c r="A65" s="358" t="s">
        <v>167</v>
      </c>
      <c r="B65" s="359" t="s">
        <v>168</v>
      </c>
      <c r="C65" s="360" t="s">
        <v>169</v>
      </c>
      <c r="D65" s="361"/>
      <c r="E65" s="301">
        <f>F65-D65</f>
        <v>2313497</v>
      </c>
      <c r="F65" s="301">
        <v>2313497</v>
      </c>
    </row>
    <row r="66" spans="1:6" s="8" customFormat="1" ht="17.25" customHeight="1" x14ac:dyDescent="0.3">
      <c r="A66" s="130" t="s">
        <v>170</v>
      </c>
      <c r="B66" s="366" t="s">
        <v>171</v>
      </c>
      <c r="C66" s="367" t="s">
        <v>172</v>
      </c>
      <c r="D66" s="368">
        <f>SUM(D64:D65)</f>
        <v>0</v>
      </c>
      <c r="E66" s="368">
        <f t="shared" ref="E66:F66" si="12">SUM(E64:E65)</f>
        <v>2358497</v>
      </c>
      <c r="F66" s="368">
        <f t="shared" si="12"/>
        <v>2358497</v>
      </c>
    </row>
    <row r="67" spans="1:6" s="8" customFormat="1" ht="16.5" customHeight="1" x14ac:dyDescent="0.3">
      <c r="A67" s="358" t="s">
        <v>173</v>
      </c>
      <c r="B67" s="359" t="s">
        <v>174</v>
      </c>
      <c r="C67" s="360" t="s">
        <v>175</v>
      </c>
      <c r="D67" s="384"/>
      <c r="E67" s="301">
        <f>F67-D67</f>
        <v>926787</v>
      </c>
      <c r="F67" s="301">
        <v>926787</v>
      </c>
    </row>
    <row r="68" spans="1:6" s="8" customFormat="1" ht="14.25" customHeight="1" x14ac:dyDescent="0.3">
      <c r="A68" s="358" t="s">
        <v>176</v>
      </c>
      <c r="B68" s="359" t="s">
        <v>177</v>
      </c>
      <c r="C68" s="360" t="s">
        <v>178</v>
      </c>
      <c r="D68" s="384"/>
      <c r="E68" s="301"/>
      <c r="F68" s="301"/>
    </row>
    <row r="69" spans="1:6" s="8" customFormat="1" ht="15.75" customHeight="1" x14ac:dyDescent="0.3">
      <c r="A69" s="358" t="s">
        <v>179</v>
      </c>
      <c r="B69" s="366" t="s">
        <v>180</v>
      </c>
      <c r="C69" s="367" t="s">
        <v>181</v>
      </c>
      <c r="D69" s="268">
        <f>SUM(D67:D68)</f>
        <v>0</v>
      </c>
      <c r="E69" s="268">
        <f t="shared" ref="E69:F69" si="13">SUM(E67:E68)</f>
        <v>926787</v>
      </c>
      <c r="F69" s="268">
        <f t="shared" si="13"/>
        <v>926787</v>
      </c>
    </row>
    <row r="70" spans="1:6" s="8" customFormat="1" ht="21" customHeight="1" x14ac:dyDescent="0.3">
      <c r="A70" s="130" t="s">
        <v>182</v>
      </c>
      <c r="B70" s="382" t="s">
        <v>183</v>
      </c>
      <c r="C70" s="267" t="s">
        <v>184</v>
      </c>
      <c r="D70" s="132">
        <f>SUM(D22+D31+D45+D57+D63+D66+D69)</f>
        <v>1945688506</v>
      </c>
      <c r="E70" s="132">
        <f t="shared" ref="E70:F70" si="14">SUM(E22+E31+E45+E57+E63+E66+E69)</f>
        <v>1481814430</v>
      </c>
      <c r="F70" s="132">
        <f t="shared" si="14"/>
        <v>3427502936</v>
      </c>
    </row>
    <row r="71" spans="1:6" s="8" customFormat="1" ht="14.25" customHeight="1" x14ac:dyDescent="0.3">
      <c r="A71" s="358" t="s">
        <v>185</v>
      </c>
      <c r="B71" s="359" t="s">
        <v>186</v>
      </c>
      <c r="C71" s="360" t="s">
        <v>187</v>
      </c>
      <c r="D71" s="385"/>
      <c r="E71" s="301"/>
      <c r="F71" s="301"/>
    </row>
    <row r="72" spans="1:6" s="8" customFormat="1" ht="14.25" customHeight="1" x14ac:dyDescent="0.3">
      <c r="A72" s="358" t="s">
        <v>188</v>
      </c>
      <c r="B72" s="359" t="s">
        <v>189</v>
      </c>
      <c r="C72" s="360" t="s">
        <v>190</v>
      </c>
      <c r="D72" s="385">
        <f>SUM(D73:D74)</f>
        <v>304494626</v>
      </c>
      <c r="E72" s="301">
        <f>F72-D72</f>
        <v>107029296</v>
      </c>
      <c r="F72" s="301">
        <v>411523922</v>
      </c>
    </row>
    <row r="73" spans="1:6" s="8" customFormat="1" ht="14.25" customHeight="1" x14ac:dyDescent="0.3">
      <c r="A73" s="358" t="s">
        <v>191</v>
      </c>
      <c r="B73" s="386" t="s">
        <v>192</v>
      </c>
      <c r="C73" s="360" t="s">
        <v>193</v>
      </c>
      <c r="D73" s="384">
        <v>274494626</v>
      </c>
      <c r="E73" s="301">
        <v>100911786</v>
      </c>
      <c r="F73" s="301">
        <v>375406412</v>
      </c>
    </row>
    <row r="74" spans="1:6" s="8" customFormat="1" ht="14.25" customHeight="1" x14ac:dyDescent="0.3">
      <c r="A74" s="358" t="s">
        <v>194</v>
      </c>
      <c r="B74" s="387" t="s">
        <v>195</v>
      </c>
      <c r="C74" s="360" t="s">
        <v>196</v>
      </c>
      <c r="D74" s="384">
        <v>30000000</v>
      </c>
      <c r="E74" s="301">
        <f t="shared" ref="E74:E75" si="15">F74-D74</f>
        <v>6117510</v>
      </c>
      <c r="F74" s="301">
        <v>36117510</v>
      </c>
    </row>
    <row r="75" spans="1:6" s="8" customFormat="1" ht="14.25" customHeight="1" x14ac:dyDescent="0.3">
      <c r="A75" s="358" t="s">
        <v>197</v>
      </c>
      <c r="B75" s="388" t="s">
        <v>732</v>
      </c>
      <c r="C75" s="360" t="s">
        <v>734</v>
      </c>
      <c r="D75" s="384"/>
      <c r="E75" s="301">
        <f t="shared" si="15"/>
        <v>0</v>
      </c>
      <c r="F75" s="301"/>
    </row>
    <row r="76" spans="1:6" s="8" customFormat="1" ht="14.25" customHeight="1" x14ac:dyDescent="0.3">
      <c r="A76" s="130" t="s">
        <v>200</v>
      </c>
      <c r="B76" s="389" t="s">
        <v>735</v>
      </c>
      <c r="C76" s="390" t="s">
        <v>199</v>
      </c>
      <c r="D76" s="132">
        <f>SUM(D71+D72+D75)</f>
        <v>304494626</v>
      </c>
      <c r="E76" s="132">
        <f t="shared" ref="E76:F76" si="16">SUM(E71+E72+E75)</f>
        <v>107029296</v>
      </c>
      <c r="F76" s="132">
        <f t="shared" si="16"/>
        <v>411523922</v>
      </c>
    </row>
    <row r="77" spans="1:6" s="8" customFormat="1" ht="18.75" customHeight="1" x14ac:dyDescent="0.3">
      <c r="A77" s="130" t="s">
        <v>733</v>
      </c>
      <c r="B77" s="389" t="s">
        <v>736</v>
      </c>
      <c r="C77" s="390" t="s">
        <v>737</v>
      </c>
      <c r="D77" s="132">
        <f>SUM(D76,D70)</f>
        <v>2250183132</v>
      </c>
      <c r="E77" s="132">
        <f>SUM(E76,E70)</f>
        <v>1588843726</v>
      </c>
      <c r="F77" s="132">
        <f t="shared" ref="F77" si="17">SUM(F76,F70)</f>
        <v>3839026858</v>
      </c>
    </row>
    <row r="78" spans="1:6" ht="17.25" customHeight="1" x14ac:dyDescent="0.35">
      <c r="A78" s="713"/>
      <c r="B78" s="713"/>
      <c r="C78" s="713"/>
      <c r="D78" s="713"/>
    </row>
    <row r="79" spans="1:6" s="9" customFormat="1" ht="16.5" customHeight="1" x14ac:dyDescent="0.35">
      <c r="A79" s="713" t="s">
        <v>202</v>
      </c>
      <c r="B79" s="713"/>
      <c r="C79" s="713"/>
      <c r="D79" s="713"/>
      <c r="E79" s="302"/>
      <c r="F79" s="302"/>
    </row>
    <row r="80" spans="1:6" ht="38.15" customHeight="1" x14ac:dyDescent="0.35">
      <c r="A80" s="107" t="s">
        <v>2</v>
      </c>
      <c r="B80" s="107" t="s">
        <v>203</v>
      </c>
      <c r="C80" s="107" t="s">
        <v>4</v>
      </c>
      <c r="D80" s="119" t="str">
        <f>+D4</f>
        <v>2017. évi eredeti előirányzat</v>
      </c>
      <c r="E80" s="298" t="s">
        <v>860</v>
      </c>
      <c r="F80" s="299" t="s">
        <v>859</v>
      </c>
    </row>
    <row r="81" spans="1:6" s="7" customFormat="1" ht="12" customHeight="1" x14ac:dyDescent="0.25">
      <c r="A81" s="107" t="s">
        <v>6</v>
      </c>
      <c r="B81" s="107" t="s">
        <v>7</v>
      </c>
      <c r="C81" s="107" t="s">
        <v>8</v>
      </c>
      <c r="D81" s="107" t="s">
        <v>9</v>
      </c>
      <c r="E81" s="303" t="s">
        <v>269</v>
      </c>
      <c r="F81" s="303" t="s">
        <v>479</v>
      </c>
    </row>
    <row r="82" spans="1:6" ht="15.75" customHeight="1" x14ac:dyDescent="0.35">
      <c r="A82" s="383" t="s">
        <v>10</v>
      </c>
      <c r="B82" s="371" t="s">
        <v>204</v>
      </c>
      <c r="C82" s="372" t="s">
        <v>205</v>
      </c>
      <c r="D82" s="361">
        <f>'9.sz.mell.'!D81+'10.sz.mell'!G47+'11.sz.mell'!F47</f>
        <v>323812114</v>
      </c>
      <c r="E82" s="304">
        <f>F82-D82</f>
        <v>179565122</v>
      </c>
      <c r="F82" s="304">
        <v>503377236</v>
      </c>
    </row>
    <row r="83" spans="1:6" ht="15.75" customHeight="1" x14ac:dyDescent="0.35">
      <c r="A83" s="383" t="s">
        <v>13</v>
      </c>
      <c r="B83" s="371" t="s">
        <v>206</v>
      </c>
      <c r="C83" s="372" t="s">
        <v>207</v>
      </c>
      <c r="D83" s="361">
        <f>'9.sz.mell.'!D82+'10.sz.mell'!G48+'11.sz.mell'!F48</f>
        <v>73417889</v>
      </c>
      <c r="E83" s="304">
        <f t="shared" ref="E83:E95" si="18">F83-D83</f>
        <v>20323809</v>
      </c>
      <c r="F83" s="304">
        <v>93741698</v>
      </c>
    </row>
    <row r="84" spans="1:6" ht="15.75" customHeight="1" x14ac:dyDescent="0.35">
      <c r="A84" s="383" t="s">
        <v>16</v>
      </c>
      <c r="B84" s="371" t="s">
        <v>208</v>
      </c>
      <c r="C84" s="372" t="s">
        <v>209</v>
      </c>
      <c r="D84" s="361">
        <v>574940083</v>
      </c>
      <c r="E84" s="304">
        <f t="shared" si="18"/>
        <v>1231814034</v>
      </c>
      <c r="F84" s="304">
        <v>1806754117</v>
      </c>
    </row>
    <row r="85" spans="1:6" ht="15.75" customHeight="1" x14ac:dyDescent="0.35">
      <c r="A85" s="383" t="s">
        <v>19</v>
      </c>
      <c r="B85" s="371" t="s">
        <v>210</v>
      </c>
      <c r="C85" s="372" t="s">
        <v>211</v>
      </c>
      <c r="D85" s="361">
        <f>'9.sz.mell.'!D84+'10.sz.mell'!G50+'11.sz.mell'!F50</f>
        <v>66820160</v>
      </c>
      <c r="E85" s="304">
        <f t="shared" si="18"/>
        <v>-6650969</v>
      </c>
      <c r="F85" s="304">
        <v>60169191</v>
      </c>
    </row>
    <row r="86" spans="1:6" ht="15.75" customHeight="1" x14ac:dyDescent="0.35">
      <c r="A86" s="383" t="s">
        <v>22</v>
      </c>
      <c r="B86" s="371" t="s">
        <v>212</v>
      </c>
      <c r="C86" s="372" t="s">
        <v>213</v>
      </c>
      <c r="D86" s="361">
        <f>SUM(D87:D93)</f>
        <v>965514977</v>
      </c>
      <c r="E86" s="304">
        <f t="shared" si="18"/>
        <v>105862049</v>
      </c>
      <c r="F86" s="304">
        <f>SUM(F87:F93)</f>
        <v>1071377026</v>
      </c>
    </row>
    <row r="87" spans="1:6" ht="15.75" customHeight="1" x14ac:dyDescent="0.35">
      <c r="A87" s="383" t="s">
        <v>25</v>
      </c>
      <c r="B87" s="316" t="s">
        <v>214</v>
      </c>
      <c r="C87" s="391" t="s">
        <v>215</v>
      </c>
      <c r="D87" s="376">
        <f>'9.sz.mell.'!D86</f>
        <v>11554719</v>
      </c>
      <c r="E87" s="304">
        <f t="shared" si="18"/>
        <v>2887042</v>
      </c>
      <c r="F87" s="304">
        <v>14441761</v>
      </c>
    </row>
    <row r="88" spans="1:6" ht="15.75" customHeight="1" x14ac:dyDescent="0.35">
      <c r="A88" s="383" t="s">
        <v>28</v>
      </c>
      <c r="B88" s="392" t="s">
        <v>216</v>
      </c>
      <c r="C88" s="393" t="s">
        <v>217</v>
      </c>
      <c r="D88" s="376">
        <f>'9.sz.mell.'!D87</f>
        <v>0</v>
      </c>
      <c r="E88" s="304">
        <f t="shared" si="18"/>
        <v>0</v>
      </c>
      <c r="F88" s="304"/>
    </row>
    <row r="89" spans="1:6" ht="15.75" customHeight="1" x14ac:dyDescent="0.35">
      <c r="A89" s="383" t="s">
        <v>31</v>
      </c>
      <c r="B89" s="392" t="s">
        <v>218</v>
      </c>
      <c r="C89" s="393" t="s">
        <v>219</v>
      </c>
      <c r="D89" s="376">
        <f>'9.sz.mell.'!D88</f>
        <v>0</v>
      </c>
      <c r="E89" s="304">
        <f t="shared" si="18"/>
        <v>0</v>
      </c>
      <c r="F89" s="304"/>
    </row>
    <row r="90" spans="1:6" ht="15.75" customHeight="1" x14ac:dyDescent="0.35">
      <c r="A90" s="383" t="s">
        <v>34</v>
      </c>
      <c r="B90" s="394" t="s">
        <v>220</v>
      </c>
      <c r="C90" s="393" t="s">
        <v>221</v>
      </c>
      <c r="D90" s="376">
        <f>'9.sz.mell.'!D89</f>
        <v>435516731</v>
      </c>
      <c r="E90" s="304">
        <f t="shared" si="18"/>
        <v>25844448</v>
      </c>
      <c r="F90" s="304">
        <v>461361179</v>
      </c>
    </row>
    <row r="91" spans="1:6" ht="15.75" customHeight="1" x14ac:dyDescent="0.35">
      <c r="A91" s="383" t="s">
        <v>37</v>
      </c>
      <c r="B91" s="392" t="s">
        <v>222</v>
      </c>
      <c r="C91" s="393" t="s">
        <v>223</v>
      </c>
      <c r="D91" s="376">
        <f>'9.sz.mell.'!D90</f>
        <v>0</v>
      </c>
      <c r="E91" s="304">
        <f t="shared" si="18"/>
        <v>0</v>
      </c>
      <c r="F91" s="304"/>
    </row>
    <row r="92" spans="1:6" ht="15.75" customHeight="1" x14ac:dyDescent="0.35">
      <c r="A92" s="383" t="s">
        <v>39</v>
      </c>
      <c r="B92" s="392" t="s">
        <v>224</v>
      </c>
      <c r="C92" s="393" t="s">
        <v>225</v>
      </c>
      <c r="D92" s="376">
        <v>431297184</v>
      </c>
      <c r="E92" s="304">
        <f t="shared" si="18"/>
        <v>25700000</v>
      </c>
      <c r="F92" s="304">
        <v>456997184</v>
      </c>
    </row>
    <row r="93" spans="1:6" ht="15.75" customHeight="1" x14ac:dyDescent="0.35">
      <c r="A93" s="383" t="s">
        <v>41</v>
      </c>
      <c r="B93" s="392" t="s">
        <v>226</v>
      </c>
      <c r="C93" s="393" t="s">
        <v>227</v>
      </c>
      <c r="D93" s="376">
        <v>87146343</v>
      </c>
      <c r="E93" s="304">
        <f t="shared" si="18"/>
        <v>51430559</v>
      </c>
      <c r="F93" s="304">
        <v>138576902</v>
      </c>
    </row>
    <row r="94" spans="1:6" ht="15.75" customHeight="1" x14ac:dyDescent="0.35">
      <c r="A94" s="383" t="s">
        <v>43</v>
      </c>
      <c r="B94" s="392" t="s">
        <v>228</v>
      </c>
      <c r="C94" s="391" t="s">
        <v>227</v>
      </c>
      <c r="D94" s="376">
        <f>'9.sz.mell.'!D93</f>
        <v>70000000</v>
      </c>
      <c r="E94" s="304">
        <f t="shared" si="18"/>
        <v>51430559</v>
      </c>
      <c r="F94" s="304">
        <v>121430559</v>
      </c>
    </row>
    <row r="95" spans="1:6" ht="15.75" customHeight="1" x14ac:dyDescent="0.35">
      <c r="A95" s="383" t="s">
        <v>45</v>
      </c>
      <c r="B95" s="395" t="s">
        <v>229</v>
      </c>
      <c r="C95" s="391" t="s">
        <v>227</v>
      </c>
      <c r="D95" s="376">
        <v>17146343</v>
      </c>
      <c r="E95" s="304">
        <f t="shared" si="18"/>
        <v>0</v>
      </c>
      <c r="F95" s="304">
        <v>17146343</v>
      </c>
    </row>
    <row r="96" spans="1:6" ht="15.75" customHeight="1" x14ac:dyDescent="0.35">
      <c r="A96" s="396" t="s">
        <v>47</v>
      </c>
      <c r="B96" s="397" t="s">
        <v>471</v>
      </c>
      <c r="C96" s="119" t="s">
        <v>230</v>
      </c>
      <c r="D96" s="268">
        <f>SUM(D82:D86)</f>
        <v>2004505223</v>
      </c>
      <c r="E96" s="268">
        <f t="shared" ref="E96:F96" si="19">SUM(E82:E86)</f>
        <v>1530914045</v>
      </c>
      <c r="F96" s="268">
        <f t="shared" si="19"/>
        <v>3535419268</v>
      </c>
    </row>
    <row r="97" spans="1:7" ht="16.5" customHeight="1" x14ac:dyDescent="0.35">
      <c r="A97" s="383" t="s">
        <v>49</v>
      </c>
      <c r="B97" s="371" t="s">
        <v>231</v>
      </c>
      <c r="C97" s="372" t="s">
        <v>232</v>
      </c>
      <c r="D97" s="361">
        <v>62504500</v>
      </c>
      <c r="E97" s="304">
        <f>F97-D97</f>
        <v>27593139</v>
      </c>
      <c r="F97" s="304">
        <v>90097639</v>
      </c>
    </row>
    <row r="98" spans="1:7" ht="16.5" customHeight="1" x14ac:dyDescent="0.35">
      <c r="A98" s="383" t="s">
        <v>51</v>
      </c>
      <c r="B98" s="371" t="s">
        <v>233</v>
      </c>
      <c r="C98" s="372" t="s">
        <v>234</v>
      </c>
      <c r="D98" s="361">
        <v>123810571</v>
      </c>
      <c r="E98" s="304">
        <f t="shared" ref="E98:E105" si="20">F98-D98</f>
        <v>29261542</v>
      </c>
      <c r="F98" s="304">
        <v>153072113</v>
      </c>
    </row>
    <row r="99" spans="1:7" ht="16.5" customHeight="1" x14ac:dyDescent="0.35">
      <c r="A99" s="383" t="s">
        <v>54</v>
      </c>
      <c r="B99" s="359" t="s">
        <v>235</v>
      </c>
      <c r="C99" s="360" t="s">
        <v>236</v>
      </c>
      <c r="D99" s="361">
        <f>SUM(D100:D105)</f>
        <v>5000000</v>
      </c>
      <c r="E99" s="304">
        <f t="shared" si="20"/>
        <v>1075000</v>
      </c>
      <c r="F99" s="304">
        <v>6075000</v>
      </c>
    </row>
    <row r="100" spans="1:7" ht="16.5" customHeight="1" x14ac:dyDescent="0.35">
      <c r="A100" s="383" t="s">
        <v>57</v>
      </c>
      <c r="B100" s="398" t="s">
        <v>237</v>
      </c>
      <c r="C100" s="375" t="s">
        <v>238</v>
      </c>
      <c r="D100" s="363">
        <f>'9.sz.mell.'!D99</f>
        <v>0</v>
      </c>
      <c r="E100" s="304">
        <f t="shared" si="20"/>
        <v>0</v>
      </c>
      <c r="F100" s="304"/>
    </row>
    <row r="101" spans="1:7" ht="16.5" customHeight="1" x14ac:dyDescent="0.35">
      <c r="A101" s="383" t="s">
        <v>60</v>
      </c>
      <c r="B101" s="399" t="s">
        <v>218</v>
      </c>
      <c r="C101" s="375" t="s">
        <v>239</v>
      </c>
      <c r="D101" s="363">
        <f>'9.sz.mell.'!D100</f>
        <v>0</v>
      </c>
      <c r="E101" s="304">
        <f t="shared" si="20"/>
        <v>0</v>
      </c>
      <c r="F101" s="304"/>
    </row>
    <row r="102" spans="1:7" ht="16.5" customHeight="1" x14ac:dyDescent="0.35">
      <c r="A102" s="383" t="s">
        <v>62</v>
      </c>
      <c r="B102" s="399" t="s">
        <v>240</v>
      </c>
      <c r="C102" s="375" t="s">
        <v>241</v>
      </c>
      <c r="D102" s="363">
        <f>'9.sz.mell.'!D101</f>
        <v>0</v>
      </c>
      <c r="E102" s="304">
        <f t="shared" si="20"/>
        <v>0</v>
      </c>
      <c r="F102" s="304"/>
    </row>
    <row r="103" spans="1:7" ht="16.5" customHeight="1" x14ac:dyDescent="0.35">
      <c r="A103" s="383" t="s">
        <v>64</v>
      </c>
      <c r="B103" s="399" t="s">
        <v>242</v>
      </c>
      <c r="C103" s="375" t="s">
        <v>243</v>
      </c>
      <c r="D103" s="363">
        <f>'9.sz.mell.'!D102</f>
        <v>0</v>
      </c>
      <c r="E103" s="304">
        <f t="shared" si="20"/>
        <v>0</v>
      </c>
      <c r="F103" s="304"/>
    </row>
    <row r="104" spans="1:7" ht="16.5" customHeight="1" x14ac:dyDescent="0.35">
      <c r="A104" s="383" t="s">
        <v>66</v>
      </c>
      <c r="B104" s="399" t="s">
        <v>244</v>
      </c>
      <c r="C104" s="375" t="s">
        <v>245</v>
      </c>
      <c r="D104" s="363">
        <f>'9.sz.mell.'!D103</f>
        <v>5000000</v>
      </c>
      <c r="E104" s="304">
        <f t="shared" si="20"/>
        <v>0</v>
      </c>
      <c r="F104" s="304">
        <v>5000000</v>
      </c>
    </row>
    <row r="105" spans="1:7" ht="16.5" customHeight="1" x14ac:dyDescent="0.35">
      <c r="A105" s="383" t="s">
        <v>68</v>
      </c>
      <c r="B105" s="399" t="s">
        <v>246</v>
      </c>
      <c r="C105" s="375" t="s">
        <v>247</v>
      </c>
      <c r="D105" s="363">
        <f>'9.sz.mell.'!D104</f>
        <v>0</v>
      </c>
      <c r="E105" s="304">
        <f t="shared" si="20"/>
        <v>0</v>
      </c>
      <c r="F105" s="304"/>
    </row>
    <row r="106" spans="1:7" ht="16.5" customHeight="1" x14ac:dyDescent="0.35">
      <c r="A106" s="396" t="s">
        <v>70</v>
      </c>
      <c r="B106" s="397" t="s">
        <v>470</v>
      </c>
      <c r="C106" s="119" t="s">
        <v>248</v>
      </c>
      <c r="D106" s="132">
        <f>+D97+D98+D99</f>
        <v>191315071</v>
      </c>
      <c r="E106" s="132">
        <f t="shared" ref="E106:F106" si="21">+E97+E98+E99</f>
        <v>57929681</v>
      </c>
      <c r="F106" s="132">
        <f t="shared" si="21"/>
        <v>249244752</v>
      </c>
    </row>
    <row r="107" spans="1:7" ht="23.25" customHeight="1" x14ac:dyDescent="0.35">
      <c r="A107" s="130" t="s">
        <v>72</v>
      </c>
      <c r="B107" s="382" t="s">
        <v>249</v>
      </c>
      <c r="C107" s="119" t="s">
        <v>250</v>
      </c>
      <c r="D107" s="368">
        <f>SUM(D96+D106)</f>
        <v>2195820294</v>
      </c>
      <c r="E107" s="368">
        <f t="shared" ref="E107:F107" si="22">SUM(E96+E106)</f>
        <v>1588843726</v>
      </c>
      <c r="F107" s="368">
        <f t="shared" si="22"/>
        <v>3784664020</v>
      </c>
    </row>
    <row r="108" spans="1:7" ht="16.5" customHeight="1" x14ac:dyDescent="0.35">
      <c r="A108" s="383" t="s">
        <v>75</v>
      </c>
      <c r="B108" s="312" t="s">
        <v>251</v>
      </c>
      <c r="C108" s="400" t="s">
        <v>252</v>
      </c>
      <c r="D108" s="385">
        <f>'9.sz.mell.'!D107</f>
        <v>23997938</v>
      </c>
      <c r="E108" s="304">
        <f>F108-D108</f>
        <v>0</v>
      </c>
      <c r="F108" s="304">
        <v>23997938</v>
      </c>
    </row>
    <row r="109" spans="1:7" ht="16.5" customHeight="1" x14ac:dyDescent="0.35">
      <c r="A109" s="383" t="s">
        <v>78</v>
      </c>
      <c r="B109" s="313" t="s">
        <v>253</v>
      </c>
      <c r="C109" s="372" t="s">
        <v>254</v>
      </c>
      <c r="D109" s="385">
        <f>'9.sz.mell.'!D108</f>
        <v>0</v>
      </c>
      <c r="E109" s="304">
        <f t="shared" ref="E109:E111" si="23">F109-D109</f>
        <v>0</v>
      </c>
      <c r="F109" s="304"/>
    </row>
    <row r="110" spans="1:7" ht="16.5" customHeight="1" x14ac:dyDescent="0.35">
      <c r="A110" s="401" t="s">
        <v>81</v>
      </c>
      <c r="B110" s="313" t="s">
        <v>255</v>
      </c>
      <c r="C110" s="372" t="s">
        <v>256</v>
      </c>
      <c r="D110" s="385">
        <f>'9.sz.mell.'!D109</f>
        <v>30364900</v>
      </c>
      <c r="E110" s="304">
        <f t="shared" si="23"/>
        <v>0</v>
      </c>
      <c r="F110" s="304">
        <v>30364900</v>
      </c>
    </row>
    <row r="111" spans="1:7" ht="16.5" customHeight="1" x14ac:dyDescent="0.35">
      <c r="A111" s="383" t="s">
        <v>83</v>
      </c>
      <c r="B111" s="313" t="s">
        <v>257</v>
      </c>
      <c r="C111" s="372" t="s">
        <v>258</v>
      </c>
      <c r="D111" s="361"/>
      <c r="E111" s="304">
        <f t="shared" si="23"/>
        <v>0</v>
      </c>
      <c r="F111" s="304"/>
    </row>
    <row r="112" spans="1:7" ht="24.75" customHeight="1" x14ac:dyDescent="0.35">
      <c r="A112" s="402" t="s">
        <v>85</v>
      </c>
      <c r="B112" s="115" t="s">
        <v>259</v>
      </c>
      <c r="C112" s="119" t="s">
        <v>260</v>
      </c>
      <c r="D112" s="403">
        <f>SUM(D108:D111)</f>
        <v>54362838</v>
      </c>
      <c r="E112" s="403">
        <f t="shared" ref="E112:F112" si="24">SUM(E108:E111)</f>
        <v>0</v>
      </c>
      <c r="F112" s="403">
        <f t="shared" si="24"/>
        <v>54362838</v>
      </c>
      <c r="G112" s="10"/>
    </row>
    <row r="113" spans="1:6" s="8" customFormat="1" ht="27.75" customHeight="1" x14ac:dyDescent="0.3">
      <c r="A113" s="267">
        <v>32</v>
      </c>
      <c r="B113" s="366" t="s">
        <v>261</v>
      </c>
      <c r="C113" s="404" t="s">
        <v>262</v>
      </c>
      <c r="D113" s="403">
        <f>D107+D112</f>
        <v>2250183132</v>
      </c>
      <c r="E113" s="403">
        <f t="shared" ref="E113:F113" si="25">E107+E112</f>
        <v>1588843726</v>
      </c>
      <c r="F113" s="403">
        <f t="shared" si="25"/>
        <v>3839026858</v>
      </c>
    </row>
    <row r="114" spans="1:6" ht="16.5" customHeight="1" x14ac:dyDescent="0.35"/>
    <row r="115" spans="1:6" ht="30.75" customHeight="1" x14ac:dyDescent="0.35">
      <c r="A115" s="716" t="s">
        <v>263</v>
      </c>
      <c r="B115" s="716"/>
      <c r="C115" s="716"/>
      <c r="D115" s="716"/>
    </row>
    <row r="116" spans="1:6" ht="15" customHeight="1" x14ac:dyDescent="0.35">
      <c r="A116" s="715"/>
      <c r="B116" s="715"/>
      <c r="C116" s="2"/>
      <c r="D116" s="13"/>
    </row>
    <row r="117" spans="1:6" ht="29.25" customHeight="1" x14ac:dyDescent="0.35">
      <c r="A117" s="267">
        <v>1</v>
      </c>
      <c r="B117" s="714" t="s">
        <v>264</v>
      </c>
      <c r="C117" s="714"/>
      <c r="D117" s="406">
        <f>D70-D107</f>
        <v>-250131788</v>
      </c>
      <c r="E117" s="406">
        <f t="shared" ref="E117:F117" si="26">E70-E107</f>
        <v>-107029296</v>
      </c>
      <c r="F117" s="406">
        <f t="shared" si="26"/>
        <v>-357161084</v>
      </c>
    </row>
    <row r="118" spans="1:6" ht="29.25" customHeight="1" x14ac:dyDescent="0.35">
      <c r="A118" s="267" t="s">
        <v>13</v>
      </c>
      <c r="B118" s="714" t="s">
        <v>858</v>
      </c>
      <c r="C118" s="714"/>
      <c r="D118" s="406">
        <f>D76-D112</f>
        <v>250131788</v>
      </c>
      <c r="E118" s="406">
        <f t="shared" ref="E118:F118" si="27">E76-E112</f>
        <v>107029296</v>
      </c>
      <c r="F118" s="406">
        <f t="shared" si="27"/>
        <v>357161084</v>
      </c>
    </row>
  </sheetData>
  <mergeCells count="9">
    <mergeCell ref="A1:F1"/>
    <mergeCell ref="A2:F2"/>
    <mergeCell ref="B117:C117"/>
    <mergeCell ref="B118:C118"/>
    <mergeCell ref="A116:B116"/>
    <mergeCell ref="A79:D79"/>
    <mergeCell ref="A3:B3"/>
    <mergeCell ref="A78:D78"/>
    <mergeCell ref="A115:D1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4" orientation="portrait" r:id="rId1"/>
  <headerFooter alignWithMargins="0">
    <oddHeader>&amp;R&amp;"Times New Roman CE,Félkövér dőlt"&amp;11 1. melléklet a 16/2017. (IX.04.) önkormányzati rendelethez</oddHeader>
  </headerFooter>
  <rowBreaks count="1" manualBreakCount="1">
    <brk id="77" max="5" man="1"/>
  </rowBreaks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topLeftCell="C1" zoomScaleNormal="100" workbookViewId="0">
      <selection activeCell="E5" sqref="E5"/>
    </sheetView>
  </sheetViews>
  <sheetFormatPr defaultRowHeight="15.5" x14ac:dyDescent="0.35"/>
  <cols>
    <col min="1" max="1" width="5.5" style="142" customWidth="1"/>
    <col min="2" max="2" width="28.796875" style="141" customWidth="1"/>
    <col min="3" max="14" width="11.296875" style="141" customWidth="1"/>
    <col min="15" max="15" width="11.296875" style="142" customWidth="1"/>
    <col min="16" max="256" width="9.296875" style="141"/>
    <col min="257" max="257" width="5.5" style="141" customWidth="1"/>
    <col min="258" max="258" width="28.796875" style="141" customWidth="1"/>
    <col min="259" max="271" width="11.296875" style="141" customWidth="1"/>
    <col min="272" max="512" width="9.296875" style="141"/>
    <col min="513" max="513" width="5.5" style="141" customWidth="1"/>
    <col min="514" max="514" width="28.796875" style="141" customWidth="1"/>
    <col min="515" max="527" width="11.296875" style="141" customWidth="1"/>
    <col min="528" max="768" width="9.296875" style="141"/>
    <col min="769" max="769" width="5.5" style="141" customWidth="1"/>
    <col min="770" max="770" width="28.796875" style="141" customWidth="1"/>
    <col min="771" max="783" width="11.296875" style="141" customWidth="1"/>
    <col min="784" max="1024" width="9.296875" style="141"/>
    <col min="1025" max="1025" width="5.5" style="141" customWidth="1"/>
    <col min="1026" max="1026" width="28.796875" style="141" customWidth="1"/>
    <col min="1027" max="1039" width="11.296875" style="141" customWidth="1"/>
    <col min="1040" max="1280" width="9.296875" style="141"/>
    <col min="1281" max="1281" width="5.5" style="141" customWidth="1"/>
    <col min="1282" max="1282" width="28.796875" style="141" customWidth="1"/>
    <col min="1283" max="1295" width="11.296875" style="141" customWidth="1"/>
    <col min="1296" max="1536" width="9.296875" style="141"/>
    <col min="1537" max="1537" width="5.5" style="141" customWidth="1"/>
    <col min="1538" max="1538" width="28.796875" style="141" customWidth="1"/>
    <col min="1539" max="1551" width="11.296875" style="141" customWidth="1"/>
    <col min="1552" max="1792" width="9.296875" style="141"/>
    <col min="1793" max="1793" width="5.5" style="141" customWidth="1"/>
    <col min="1794" max="1794" width="28.796875" style="141" customWidth="1"/>
    <col min="1795" max="1807" width="11.296875" style="141" customWidth="1"/>
    <col min="1808" max="2048" width="9.296875" style="141"/>
    <col min="2049" max="2049" width="5.5" style="141" customWidth="1"/>
    <col min="2050" max="2050" width="28.796875" style="141" customWidth="1"/>
    <col min="2051" max="2063" width="11.296875" style="141" customWidth="1"/>
    <col min="2064" max="2304" width="9.296875" style="141"/>
    <col min="2305" max="2305" width="5.5" style="141" customWidth="1"/>
    <col min="2306" max="2306" width="28.796875" style="141" customWidth="1"/>
    <col min="2307" max="2319" width="11.296875" style="141" customWidth="1"/>
    <col min="2320" max="2560" width="9.296875" style="141"/>
    <col min="2561" max="2561" width="5.5" style="141" customWidth="1"/>
    <col min="2562" max="2562" width="28.796875" style="141" customWidth="1"/>
    <col min="2563" max="2575" width="11.296875" style="141" customWidth="1"/>
    <col min="2576" max="2816" width="9.296875" style="141"/>
    <col min="2817" max="2817" width="5.5" style="141" customWidth="1"/>
    <col min="2818" max="2818" width="28.796875" style="141" customWidth="1"/>
    <col min="2819" max="2831" width="11.296875" style="141" customWidth="1"/>
    <col min="2832" max="3072" width="9.296875" style="141"/>
    <col min="3073" max="3073" width="5.5" style="141" customWidth="1"/>
    <col min="3074" max="3074" width="28.796875" style="141" customWidth="1"/>
    <col min="3075" max="3087" width="11.296875" style="141" customWidth="1"/>
    <col min="3088" max="3328" width="9.296875" style="141"/>
    <col min="3329" max="3329" width="5.5" style="141" customWidth="1"/>
    <col min="3330" max="3330" width="28.796875" style="141" customWidth="1"/>
    <col min="3331" max="3343" width="11.296875" style="141" customWidth="1"/>
    <col min="3344" max="3584" width="9.296875" style="141"/>
    <col min="3585" max="3585" width="5.5" style="141" customWidth="1"/>
    <col min="3586" max="3586" width="28.796875" style="141" customWidth="1"/>
    <col min="3587" max="3599" width="11.296875" style="141" customWidth="1"/>
    <col min="3600" max="3840" width="9.296875" style="141"/>
    <col min="3841" max="3841" width="5.5" style="141" customWidth="1"/>
    <col min="3842" max="3842" width="28.796875" style="141" customWidth="1"/>
    <col min="3843" max="3855" width="11.296875" style="141" customWidth="1"/>
    <col min="3856" max="4096" width="9.296875" style="141"/>
    <col min="4097" max="4097" width="5.5" style="141" customWidth="1"/>
    <col min="4098" max="4098" width="28.796875" style="141" customWidth="1"/>
    <col min="4099" max="4111" width="11.296875" style="141" customWidth="1"/>
    <col min="4112" max="4352" width="9.296875" style="141"/>
    <col min="4353" max="4353" width="5.5" style="141" customWidth="1"/>
    <col min="4354" max="4354" width="28.796875" style="141" customWidth="1"/>
    <col min="4355" max="4367" width="11.296875" style="141" customWidth="1"/>
    <col min="4368" max="4608" width="9.296875" style="141"/>
    <col min="4609" max="4609" width="5.5" style="141" customWidth="1"/>
    <col min="4610" max="4610" width="28.796875" style="141" customWidth="1"/>
    <col min="4611" max="4623" width="11.296875" style="141" customWidth="1"/>
    <col min="4624" max="4864" width="9.296875" style="141"/>
    <col min="4865" max="4865" width="5.5" style="141" customWidth="1"/>
    <col min="4866" max="4866" width="28.796875" style="141" customWidth="1"/>
    <col min="4867" max="4879" width="11.296875" style="141" customWidth="1"/>
    <col min="4880" max="5120" width="9.296875" style="141"/>
    <col min="5121" max="5121" width="5.5" style="141" customWidth="1"/>
    <col min="5122" max="5122" width="28.796875" style="141" customWidth="1"/>
    <col min="5123" max="5135" width="11.296875" style="141" customWidth="1"/>
    <col min="5136" max="5376" width="9.296875" style="141"/>
    <col min="5377" max="5377" width="5.5" style="141" customWidth="1"/>
    <col min="5378" max="5378" width="28.796875" style="141" customWidth="1"/>
    <col min="5379" max="5391" width="11.296875" style="141" customWidth="1"/>
    <col min="5392" max="5632" width="9.296875" style="141"/>
    <col min="5633" max="5633" width="5.5" style="141" customWidth="1"/>
    <col min="5634" max="5634" width="28.796875" style="141" customWidth="1"/>
    <col min="5635" max="5647" width="11.296875" style="141" customWidth="1"/>
    <col min="5648" max="5888" width="9.296875" style="141"/>
    <col min="5889" max="5889" width="5.5" style="141" customWidth="1"/>
    <col min="5890" max="5890" width="28.796875" style="141" customWidth="1"/>
    <col min="5891" max="5903" width="11.296875" style="141" customWidth="1"/>
    <col min="5904" max="6144" width="9.296875" style="141"/>
    <col min="6145" max="6145" width="5.5" style="141" customWidth="1"/>
    <col min="6146" max="6146" width="28.796875" style="141" customWidth="1"/>
    <col min="6147" max="6159" width="11.296875" style="141" customWidth="1"/>
    <col min="6160" max="6400" width="9.296875" style="141"/>
    <col min="6401" max="6401" width="5.5" style="141" customWidth="1"/>
    <col min="6402" max="6402" width="28.796875" style="141" customWidth="1"/>
    <col min="6403" max="6415" width="11.296875" style="141" customWidth="1"/>
    <col min="6416" max="6656" width="9.296875" style="141"/>
    <col min="6657" max="6657" width="5.5" style="141" customWidth="1"/>
    <col min="6658" max="6658" width="28.796875" style="141" customWidth="1"/>
    <col min="6659" max="6671" width="11.296875" style="141" customWidth="1"/>
    <col min="6672" max="6912" width="9.296875" style="141"/>
    <col min="6913" max="6913" width="5.5" style="141" customWidth="1"/>
    <col min="6914" max="6914" width="28.796875" style="141" customWidth="1"/>
    <col min="6915" max="6927" width="11.296875" style="141" customWidth="1"/>
    <col min="6928" max="7168" width="9.296875" style="141"/>
    <col min="7169" max="7169" width="5.5" style="141" customWidth="1"/>
    <col min="7170" max="7170" width="28.796875" style="141" customWidth="1"/>
    <col min="7171" max="7183" width="11.296875" style="141" customWidth="1"/>
    <col min="7184" max="7424" width="9.296875" style="141"/>
    <col min="7425" max="7425" width="5.5" style="141" customWidth="1"/>
    <col min="7426" max="7426" width="28.796875" style="141" customWidth="1"/>
    <col min="7427" max="7439" width="11.296875" style="141" customWidth="1"/>
    <col min="7440" max="7680" width="9.296875" style="141"/>
    <col min="7681" max="7681" width="5.5" style="141" customWidth="1"/>
    <col min="7682" max="7682" width="28.796875" style="141" customWidth="1"/>
    <col min="7683" max="7695" width="11.296875" style="141" customWidth="1"/>
    <col min="7696" max="7936" width="9.296875" style="141"/>
    <col min="7937" max="7937" width="5.5" style="141" customWidth="1"/>
    <col min="7938" max="7938" width="28.796875" style="141" customWidth="1"/>
    <col min="7939" max="7951" width="11.296875" style="141" customWidth="1"/>
    <col min="7952" max="8192" width="9.296875" style="141"/>
    <col min="8193" max="8193" width="5.5" style="141" customWidth="1"/>
    <col min="8194" max="8194" width="28.796875" style="141" customWidth="1"/>
    <col min="8195" max="8207" width="11.296875" style="141" customWidth="1"/>
    <col min="8208" max="8448" width="9.296875" style="141"/>
    <col min="8449" max="8449" width="5.5" style="141" customWidth="1"/>
    <col min="8450" max="8450" width="28.796875" style="141" customWidth="1"/>
    <col min="8451" max="8463" width="11.296875" style="141" customWidth="1"/>
    <col min="8464" max="8704" width="9.296875" style="141"/>
    <col min="8705" max="8705" width="5.5" style="141" customWidth="1"/>
    <col min="8706" max="8706" width="28.796875" style="141" customWidth="1"/>
    <col min="8707" max="8719" width="11.296875" style="141" customWidth="1"/>
    <col min="8720" max="8960" width="9.296875" style="141"/>
    <col min="8961" max="8961" width="5.5" style="141" customWidth="1"/>
    <col min="8962" max="8962" width="28.796875" style="141" customWidth="1"/>
    <col min="8963" max="8975" width="11.296875" style="141" customWidth="1"/>
    <col min="8976" max="9216" width="9.296875" style="141"/>
    <col min="9217" max="9217" width="5.5" style="141" customWidth="1"/>
    <col min="9218" max="9218" width="28.796875" style="141" customWidth="1"/>
    <col min="9219" max="9231" width="11.296875" style="141" customWidth="1"/>
    <col min="9232" max="9472" width="9.296875" style="141"/>
    <col min="9473" max="9473" width="5.5" style="141" customWidth="1"/>
    <col min="9474" max="9474" width="28.796875" style="141" customWidth="1"/>
    <col min="9475" max="9487" width="11.296875" style="141" customWidth="1"/>
    <col min="9488" max="9728" width="9.296875" style="141"/>
    <col min="9729" max="9729" width="5.5" style="141" customWidth="1"/>
    <col min="9730" max="9730" width="28.796875" style="141" customWidth="1"/>
    <col min="9731" max="9743" width="11.296875" style="141" customWidth="1"/>
    <col min="9744" max="9984" width="9.296875" style="141"/>
    <col min="9985" max="9985" width="5.5" style="141" customWidth="1"/>
    <col min="9986" max="9986" width="28.796875" style="141" customWidth="1"/>
    <col min="9987" max="9999" width="11.296875" style="141" customWidth="1"/>
    <col min="10000" max="10240" width="9.296875" style="141"/>
    <col min="10241" max="10241" width="5.5" style="141" customWidth="1"/>
    <col min="10242" max="10242" width="28.796875" style="141" customWidth="1"/>
    <col min="10243" max="10255" width="11.296875" style="141" customWidth="1"/>
    <col min="10256" max="10496" width="9.296875" style="141"/>
    <col min="10497" max="10497" width="5.5" style="141" customWidth="1"/>
    <col min="10498" max="10498" width="28.796875" style="141" customWidth="1"/>
    <col min="10499" max="10511" width="11.296875" style="141" customWidth="1"/>
    <col min="10512" max="10752" width="9.296875" style="141"/>
    <col min="10753" max="10753" width="5.5" style="141" customWidth="1"/>
    <col min="10754" max="10754" width="28.796875" style="141" customWidth="1"/>
    <col min="10755" max="10767" width="11.296875" style="141" customWidth="1"/>
    <col min="10768" max="11008" width="9.296875" style="141"/>
    <col min="11009" max="11009" width="5.5" style="141" customWidth="1"/>
    <col min="11010" max="11010" width="28.796875" style="141" customWidth="1"/>
    <col min="11011" max="11023" width="11.296875" style="141" customWidth="1"/>
    <col min="11024" max="11264" width="9.296875" style="141"/>
    <col min="11265" max="11265" width="5.5" style="141" customWidth="1"/>
    <col min="11266" max="11266" width="28.796875" style="141" customWidth="1"/>
    <col min="11267" max="11279" width="11.296875" style="141" customWidth="1"/>
    <col min="11280" max="11520" width="9.296875" style="141"/>
    <col min="11521" max="11521" width="5.5" style="141" customWidth="1"/>
    <col min="11522" max="11522" width="28.796875" style="141" customWidth="1"/>
    <col min="11523" max="11535" width="11.296875" style="141" customWidth="1"/>
    <col min="11536" max="11776" width="9.296875" style="141"/>
    <col min="11777" max="11777" width="5.5" style="141" customWidth="1"/>
    <col min="11778" max="11778" width="28.796875" style="141" customWidth="1"/>
    <col min="11779" max="11791" width="11.296875" style="141" customWidth="1"/>
    <col min="11792" max="12032" width="9.296875" style="141"/>
    <col min="12033" max="12033" width="5.5" style="141" customWidth="1"/>
    <col min="12034" max="12034" width="28.796875" style="141" customWidth="1"/>
    <col min="12035" max="12047" width="11.296875" style="141" customWidth="1"/>
    <col min="12048" max="12288" width="9.296875" style="141"/>
    <col min="12289" max="12289" width="5.5" style="141" customWidth="1"/>
    <col min="12290" max="12290" width="28.796875" style="141" customWidth="1"/>
    <col min="12291" max="12303" width="11.296875" style="141" customWidth="1"/>
    <col min="12304" max="12544" width="9.296875" style="141"/>
    <col min="12545" max="12545" width="5.5" style="141" customWidth="1"/>
    <col min="12546" max="12546" width="28.796875" style="141" customWidth="1"/>
    <col min="12547" max="12559" width="11.296875" style="141" customWidth="1"/>
    <col min="12560" max="12800" width="9.296875" style="141"/>
    <col min="12801" max="12801" width="5.5" style="141" customWidth="1"/>
    <col min="12802" max="12802" width="28.796875" style="141" customWidth="1"/>
    <col min="12803" max="12815" width="11.296875" style="141" customWidth="1"/>
    <col min="12816" max="13056" width="9.296875" style="141"/>
    <col min="13057" max="13057" width="5.5" style="141" customWidth="1"/>
    <col min="13058" max="13058" width="28.796875" style="141" customWidth="1"/>
    <col min="13059" max="13071" width="11.296875" style="141" customWidth="1"/>
    <col min="13072" max="13312" width="9.296875" style="141"/>
    <col min="13313" max="13313" width="5.5" style="141" customWidth="1"/>
    <col min="13314" max="13314" width="28.796875" style="141" customWidth="1"/>
    <col min="13315" max="13327" width="11.296875" style="141" customWidth="1"/>
    <col min="13328" max="13568" width="9.296875" style="141"/>
    <col min="13569" max="13569" width="5.5" style="141" customWidth="1"/>
    <col min="13570" max="13570" width="28.796875" style="141" customWidth="1"/>
    <col min="13571" max="13583" width="11.296875" style="141" customWidth="1"/>
    <col min="13584" max="13824" width="9.296875" style="141"/>
    <col min="13825" max="13825" width="5.5" style="141" customWidth="1"/>
    <col min="13826" max="13826" width="28.796875" style="141" customWidth="1"/>
    <col min="13827" max="13839" width="11.296875" style="141" customWidth="1"/>
    <col min="13840" max="14080" width="9.296875" style="141"/>
    <col min="14081" max="14081" width="5.5" style="141" customWidth="1"/>
    <col min="14082" max="14082" width="28.796875" style="141" customWidth="1"/>
    <col min="14083" max="14095" width="11.296875" style="141" customWidth="1"/>
    <col min="14096" max="14336" width="9.296875" style="141"/>
    <col min="14337" max="14337" width="5.5" style="141" customWidth="1"/>
    <col min="14338" max="14338" width="28.796875" style="141" customWidth="1"/>
    <col min="14339" max="14351" width="11.296875" style="141" customWidth="1"/>
    <col min="14352" max="14592" width="9.296875" style="141"/>
    <col min="14593" max="14593" width="5.5" style="141" customWidth="1"/>
    <col min="14594" max="14594" width="28.796875" style="141" customWidth="1"/>
    <col min="14595" max="14607" width="11.296875" style="141" customWidth="1"/>
    <col min="14608" max="14848" width="9.296875" style="141"/>
    <col min="14849" max="14849" width="5.5" style="141" customWidth="1"/>
    <col min="14850" max="14850" width="28.796875" style="141" customWidth="1"/>
    <col min="14851" max="14863" width="11.296875" style="141" customWidth="1"/>
    <col min="14864" max="15104" width="9.296875" style="141"/>
    <col min="15105" max="15105" width="5.5" style="141" customWidth="1"/>
    <col min="15106" max="15106" width="28.796875" style="141" customWidth="1"/>
    <col min="15107" max="15119" width="11.296875" style="141" customWidth="1"/>
    <col min="15120" max="15360" width="9.296875" style="141"/>
    <col min="15361" max="15361" width="5.5" style="141" customWidth="1"/>
    <col min="15362" max="15362" width="28.796875" style="141" customWidth="1"/>
    <col min="15363" max="15375" width="11.296875" style="141" customWidth="1"/>
    <col min="15376" max="15616" width="9.296875" style="141"/>
    <col min="15617" max="15617" width="5.5" style="141" customWidth="1"/>
    <col min="15618" max="15618" width="28.796875" style="141" customWidth="1"/>
    <col min="15619" max="15631" width="11.296875" style="141" customWidth="1"/>
    <col min="15632" max="15872" width="9.296875" style="141"/>
    <col min="15873" max="15873" width="5.5" style="141" customWidth="1"/>
    <col min="15874" max="15874" width="28.796875" style="141" customWidth="1"/>
    <col min="15875" max="15887" width="11.296875" style="141" customWidth="1"/>
    <col min="15888" max="16128" width="9.296875" style="141"/>
    <col min="16129" max="16129" width="5.5" style="141" customWidth="1"/>
    <col min="16130" max="16130" width="28.796875" style="141" customWidth="1"/>
    <col min="16131" max="16143" width="11.296875" style="141" customWidth="1"/>
    <col min="16144" max="16384" width="9.296875" style="141"/>
  </cols>
  <sheetData>
    <row r="1" spans="1:15" ht="45.75" customHeight="1" x14ac:dyDescent="0.35">
      <c r="A1" s="767" t="s">
        <v>569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</row>
    <row r="2" spans="1:15" ht="12" customHeight="1" x14ac:dyDescent="0.35">
      <c r="N2" s="143"/>
      <c r="O2" s="144" t="s">
        <v>423</v>
      </c>
    </row>
    <row r="3" spans="1:15" s="142" customFormat="1" ht="31.5" customHeight="1" x14ac:dyDescent="0.35">
      <c r="A3" s="586" t="s">
        <v>407</v>
      </c>
      <c r="B3" s="587" t="s">
        <v>267</v>
      </c>
      <c r="C3" s="587" t="s">
        <v>530</v>
      </c>
      <c r="D3" s="587" t="s">
        <v>531</v>
      </c>
      <c r="E3" s="587" t="s">
        <v>532</v>
      </c>
      <c r="F3" s="587" t="s">
        <v>533</v>
      </c>
      <c r="G3" s="587" t="s">
        <v>534</v>
      </c>
      <c r="H3" s="587" t="s">
        <v>535</v>
      </c>
      <c r="I3" s="587" t="s">
        <v>536</v>
      </c>
      <c r="J3" s="587" t="s">
        <v>537</v>
      </c>
      <c r="K3" s="587" t="s">
        <v>538</v>
      </c>
      <c r="L3" s="587" t="s">
        <v>539</v>
      </c>
      <c r="M3" s="587" t="s">
        <v>540</v>
      </c>
      <c r="N3" s="587" t="s">
        <v>541</v>
      </c>
      <c r="O3" s="587" t="s">
        <v>542</v>
      </c>
    </row>
    <row r="4" spans="1:15" s="145" customFormat="1" ht="21" customHeight="1" x14ac:dyDescent="0.3">
      <c r="A4" s="588" t="s">
        <v>10</v>
      </c>
      <c r="B4" s="769" t="s">
        <v>265</v>
      </c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</row>
    <row r="5" spans="1:15" s="146" customFormat="1" ht="21" customHeight="1" x14ac:dyDescent="0.3">
      <c r="A5" s="588" t="s">
        <v>13</v>
      </c>
      <c r="B5" s="588" t="s">
        <v>543</v>
      </c>
      <c r="C5" s="589">
        <v>81795</v>
      </c>
      <c r="D5" s="589">
        <v>137620</v>
      </c>
      <c r="E5" s="589">
        <v>81795</v>
      </c>
      <c r="F5" s="589">
        <v>71293</v>
      </c>
      <c r="G5" s="589">
        <v>71293</v>
      </c>
      <c r="H5" s="589">
        <v>71293</v>
      </c>
      <c r="I5" s="589">
        <v>71293</v>
      </c>
      <c r="J5" s="589">
        <v>71293</v>
      </c>
      <c r="K5" s="589">
        <v>71293</v>
      </c>
      <c r="L5" s="589">
        <v>71291</v>
      </c>
      <c r="M5" s="589">
        <v>71290</v>
      </c>
      <c r="N5" s="589">
        <v>86342</v>
      </c>
      <c r="O5" s="590">
        <f t="shared" ref="O5:O12" si="0">SUM(C5:N5)</f>
        <v>957891</v>
      </c>
    </row>
    <row r="6" spans="1:15" s="146" customFormat="1" ht="21" customHeight="1" x14ac:dyDescent="0.3">
      <c r="A6" s="588" t="s">
        <v>16</v>
      </c>
      <c r="B6" s="591" t="s">
        <v>544</v>
      </c>
      <c r="C6" s="589"/>
      <c r="D6" s="589"/>
      <c r="E6" s="589"/>
      <c r="F6" s="589">
        <v>50000</v>
      </c>
      <c r="G6" s="589"/>
      <c r="H6" s="589"/>
      <c r="I6" s="589"/>
      <c r="J6" s="589"/>
      <c r="K6" s="589"/>
      <c r="L6" s="589"/>
      <c r="M6" s="589"/>
      <c r="N6" s="589"/>
      <c r="O6" s="590">
        <f t="shared" si="0"/>
        <v>50000</v>
      </c>
    </row>
    <row r="7" spans="1:15" s="146" customFormat="1" ht="21" customHeight="1" x14ac:dyDescent="0.3">
      <c r="A7" s="588" t="s">
        <v>19</v>
      </c>
      <c r="B7" s="588" t="s">
        <v>457</v>
      </c>
      <c r="C7" s="589">
        <v>15386</v>
      </c>
      <c r="D7" s="589">
        <v>15386</v>
      </c>
      <c r="E7" s="589">
        <v>292387</v>
      </c>
      <c r="F7" s="589">
        <v>15387</v>
      </c>
      <c r="G7" s="589">
        <v>149380</v>
      </c>
      <c r="H7" s="589">
        <v>16387</v>
      </c>
      <c r="I7" s="589">
        <v>15387</v>
      </c>
      <c r="J7" s="589">
        <v>16091</v>
      </c>
      <c r="K7" s="589">
        <v>292387</v>
      </c>
      <c r="L7" s="589">
        <v>16387</v>
      </c>
      <c r="M7" s="589">
        <v>15386</v>
      </c>
      <c r="N7" s="589">
        <v>75686</v>
      </c>
      <c r="O7" s="590">
        <f t="shared" si="0"/>
        <v>935637</v>
      </c>
    </row>
    <row r="8" spans="1:15" s="146" customFormat="1" ht="21" customHeight="1" x14ac:dyDescent="0.3">
      <c r="A8" s="588" t="s">
        <v>22</v>
      </c>
      <c r="B8" s="588" t="s">
        <v>458</v>
      </c>
      <c r="C8" s="589">
        <v>180</v>
      </c>
      <c r="D8" s="589">
        <v>180</v>
      </c>
      <c r="E8" s="589">
        <v>180</v>
      </c>
      <c r="F8" s="589">
        <v>180</v>
      </c>
      <c r="G8" s="589">
        <v>180</v>
      </c>
      <c r="H8" s="589">
        <v>180</v>
      </c>
      <c r="I8" s="589">
        <v>180</v>
      </c>
      <c r="J8" s="589">
        <v>180</v>
      </c>
      <c r="K8" s="589">
        <v>180</v>
      </c>
      <c r="L8" s="589">
        <v>180</v>
      </c>
      <c r="M8" s="589">
        <v>180</v>
      </c>
      <c r="N8" s="589">
        <v>180</v>
      </c>
      <c r="O8" s="590">
        <f t="shared" si="0"/>
        <v>2160</v>
      </c>
    </row>
    <row r="9" spans="1:15" s="146" customFormat="1" ht="21" customHeight="1" x14ac:dyDescent="0.3">
      <c r="A9" s="588" t="s">
        <v>25</v>
      </c>
      <c r="B9" s="588" t="s">
        <v>545</v>
      </c>
      <c r="C9" s="589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90">
        <f t="shared" si="0"/>
        <v>0</v>
      </c>
    </row>
    <row r="10" spans="1:15" s="146" customFormat="1" ht="21" customHeight="1" x14ac:dyDescent="0.3">
      <c r="A10" s="588" t="s">
        <v>28</v>
      </c>
      <c r="B10" s="588" t="s">
        <v>546</v>
      </c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90">
        <f t="shared" si="0"/>
        <v>0</v>
      </c>
    </row>
    <row r="11" spans="1:15" s="146" customFormat="1" ht="21" customHeight="1" x14ac:dyDescent="0.3">
      <c r="A11" s="588" t="s">
        <v>31</v>
      </c>
      <c r="B11" s="591" t="s">
        <v>547</v>
      </c>
      <c r="C11" s="589">
        <v>88180</v>
      </c>
      <c r="D11" s="589">
        <v>25495</v>
      </c>
      <c r="E11" s="589">
        <v>19620</v>
      </c>
      <c r="F11" s="589">
        <v>7875</v>
      </c>
      <c r="G11" s="589">
        <v>57874</v>
      </c>
      <c r="H11" s="589">
        <v>15750</v>
      </c>
      <c r="I11" s="589">
        <v>7875</v>
      </c>
      <c r="J11" s="589">
        <v>24826</v>
      </c>
      <c r="K11" s="589">
        <v>33375</v>
      </c>
      <c r="L11" s="589">
        <v>7875</v>
      </c>
      <c r="M11" s="589">
        <v>7875</v>
      </c>
      <c r="N11" s="589">
        <v>7875</v>
      </c>
      <c r="O11" s="590">
        <f t="shared" si="0"/>
        <v>304495</v>
      </c>
    </row>
    <row r="12" spans="1:15" s="145" customFormat="1" ht="21" customHeight="1" x14ac:dyDescent="0.3">
      <c r="A12" s="588" t="s">
        <v>34</v>
      </c>
      <c r="B12" s="592" t="s">
        <v>548</v>
      </c>
      <c r="C12" s="593">
        <f t="shared" ref="C12:N12" si="1">SUM(C5:C11)</f>
        <v>185541</v>
      </c>
      <c r="D12" s="593">
        <f t="shared" si="1"/>
        <v>178681</v>
      </c>
      <c r="E12" s="593">
        <f t="shared" si="1"/>
        <v>393982</v>
      </c>
      <c r="F12" s="593">
        <f t="shared" si="1"/>
        <v>144735</v>
      </c>
      <c r="G12" s="593">
        <f t="shared" si="1"/>
        <v>278727</v>
      </c>
      <c r="H12" s="593">
        <f t="shared" si="1"/>
        <v>103610</v>
      </c>
      <c r="I12" s="593">
        <f t="shared" si="1"/>
        <v>94735</v>
      </c>
      <c r="J12" s="593">
        <f t="shared" si="1"/>
        <v>112390</v>
      </c>
      <c r="K12" s="593">
        <f t="shared" si="1"/>
        <v>397235</v>
      </c>
      <c r="L12" s="593">
        <f t="shared" si="1"/>
        <v>95733</v>
      </c>
      <c r="M12" s="593">
        <f t="shared" si="1"/>
        <v>94731</v>
      </c>
      <c r="N12" s="593">
        <f t="shared" si="1"/>
        <v>170083</v>
      </c>
      <c r="O12" s="593">
        <f t="shared" si="0"/>
        <v>2250183</v>
      </c>
    </row>
    <row r="13" spans="1:15" s="145" customFormat="1" ht="21" customHeight="1" x14ac:dyDescent="0.3">
      <c r="A13" s="588" t="s">
        <v>37</v>
      </c>
      <c r="B13" s="769" t="s">
        <v>266</v>
      </c>
      <c r="C13" s="769"/>
      <c r="D13" s="769"/>
      <c r="E13" s="769"/>
      <c r="F13" s="769"/>
      <c r="G13" s="769"/>
      <c r="H13" s="769"/>
      <c r="I13" s="769"/>
      <c r="J13" s="769"/>
      <c r="K13" s="769"/>
      <c r="L13" s="769"/>
      <c r="M13" s="769"/>
      <c r="N13" s="769"/>
      <c r="O13" s="769"/>
    </row>
    <row r="14" spans="1:15" s="146" customFormat="1" ht="21" customHeight="1" x14ac:dyDescent="0.3">
      <c r="A14" s="588" t="s">
        <v>39</v>
      </c>
      <c r="B14" s="588" t="s">
        <v>465</v>
      </c>
      <c r="C14" s="589">
        <v>38284</v>
      </c>
      <c r="D14" s="589">
        <v>38284</v>
      </c>
      <c r="E14" s="589">
        <v>38730</v>
      </c>
      <c r="F14" s="589">
        <v>21946</v>
      </c>
      <c r="G14" s="589">
        <v>22946</v>
      </c>
      <c r="H14" s="589">
        <v>21946</v>
      </c>
      <c r="I14" s="589">
        <v>21946</v>
      </c>
      <c r="J14" s="589">
        <v>25946</v>
      </c>
      <c r="K14" s="589">
        <v>21946</v>
      </c>
      <c r="L14" s="589">
        <v>26946</v>
      </c>
      <c r="M14" s="589">
        <v>21946</v>
      </c>
      <c r="N14" s="589">
        <v>22946</v>
      </c>
      <c r="O14" s="590">
        <f t="shared" ref="O14:O23" si="2">SUM(C14:N14)</f>
        <v>323812</v>
      </c>
    </row>
    <row r="15" spans="1:15" s="146" customFormat="1" ht="24" customHeight="1" x14ac:dyDescent="0.3">
      <c r="A15" s="588" t="s">
        <v>41</v>
      </c>
      <c r="B15" s="591" t="s">
        <v>206</v>
      </c>
      <c r="C15" s="589">
        <v>9273</v>
      </c>
      <c r="D15" s="589">
        <v>9273</v>
      </c>
      <c r="E15" s="589">
        <v>9273</v>
      </c>
      <c r="F15" s="589">
        <v>5066</v>
      </c>
      <c r="G15" s="589">
        <v>5066</v>
      </c>
      <c r="H15" s="589">
        <v>5066</v>
      </c>
      <c r="I15" s="589">
        <v>5066</v>
      </c>
      <c r="J15" s="589">
        <v>5066</v>
      </c>
      <c r="K15" s="589">
        <v>5066</v>
      </c>
      <c r="L15" s="589">
        <v>5066</v>
      </c>
      <c r="M15" s="589">
        <v>5067</v>
      </c>
      <c r="N15" s="589">
        <v>5070</v>
      </c>
      <c r="O15" s="590">
        <f t="shared" si="2"/>
        <v>73418</v>
      </c>
    </row>
    <row r="16" spans="1:15" s="146" customFormat="1" ht="21" customHeight="1" x14ac:dyDescent="0.3">
      <c r="A16" s="588" t="s">
        <v>43</v>
      </c>
      <c r="B16" s="588" t="s">
        <v>208</v>
      </c>
      <c r="C16" s="589">
        <v>47912</v>
      </c>
      <c r="D16" s="589">
        <v>47911</v>
      </c>
      <c r="E16" s="589">
        <v>47912</v>
      </c>
      <c r="F16" s="589">
        <v>47912</v>
      </c>
      <c r="G16" s="589">
        <v>47911</v>
      </c>
      <c r="H16" s="589">
        <v>47912</v>
      </c>
      <c r="I16" s="589">
        <v>47912</v>
      </c>
      <c r="J16" s="589">
        <v>47911</v>
      </c>
      <c r="K16" s="589">
        <v>47912</v>
      </c>
      <c r="L16" s="589">
        <v>47911</v>
      </c>
      <c r="M16" s="589">
        <v>47912</v>
      </c>
      <c r="N16" s="589">
        <v>47912</v>
      </c>
      <c r="O16" s="590">
        <f t="shared" si="2"/>
        <v>574940</v>
      </c>
    </row>
    <row r="17" spans="1:15" s="146" customFormat="1" ht="21" customHeight="1" x14ac:dyDescent="0.3">
      <c r="A17" s="588" t="s">
        <v>45</v>
      </c>
      <c r="B17" s="588" t="s">
        <v>210</v>
      </c>
      <c r="C17" s="589">
        <v>5570</v>
      </c>
      <c r="D17" s="589">
        <v>5570</v>
      </c>
      <c r="E17" s="589">
        <v>5568</v>
      </c>
      <c r="F17" s="589">
        <v>5568</v>
      </c>
      <c r="G17" s="589">
        <v>5568</v>
      </c>
      <c r="H17" s="589">
        <v>5568</v>
      </c>
      <c r="I17" s="589">
        <v>5568</v>
      </c>
      <c r="J17" s="589">
        <v>5568</v>
      </c>
      <c r="K17" s="589">
        <v>5568</v>
      </c>
      <c r="L17" s="589">
        <v>5568</v>
      </c>
      <c r="M17" s="589">
        <v>5568</v>
      </c>
      <c r="N17" s="589">
        <v>5568</v>
      </c>
      <c r="O17" s="590">
        <f t="shared" si="2"/>
        <v>66820</v>
      </c>
    </row>
    <row r="18" spans="1:15" s="146" customFormat="1" ht="21" customHeight="1" x14ac:dyDescent="0.3">
      <c r="A18" s="588" t="s">
        <v>47</v>
      </c>
      <c r="B18" s="588" t="s">
        <v>212</v>
      </c>
      <c r="C18" s="589">
        <v>91050</v>
      </c>
      <c r="D18" s="589">
        <v>79498</v>
      </c>
      <c r="E18" s="589">
        <v>79497</v>
      </c>
      <c r="F18" s="589">
        <v>79497</v>
      </c>
      <c r="G18" s="589">
        <v>79497</v>
      </c>
      <c r="H18" s="589">
        <v>79497</v>
      </c>
      <c r="I18" s="589">
        <v>79497</v>
      </c>
      <c r="J18" s="589">
        <v>79497</v>
      </c>
      <c r="K18" s="589">
        <v>79497</v>
      </c>
      <c r="L18" s="589">
        <v>79496</v>
      </c>
      <c r="M18" s="589">
        <v>79496</v>
      </c>
      <c r="N18" s="589">
        <v>79496</v>
      </c>
      <c r="O18" s="590">
        <f t="shared" si="2"/>
        <v>965515</v>
      </c>
    </row>
    <row r="19" spans="1:15" s="146" customFormat="1" ht="21" customHeight="1" x14ac:dyDescent="0.3">
      <c r="A19" s="588" t="s">
        <v>49</v>
      </c>
      <c r="B19" s="588" t="s">
        <v>231</v>
      </c>
      <c r="C19" s="589">
        <v>32320</v>
      </c>
      <c r="D19" s="589">
        <v>37</v>
      </c>
      <c r="E19" s="589">
        <v>13120</v>
      </c>
      <c r="F19" s="589">
        <v>1981</v>
      </c>
      <c r="G19" s="589">
        <v>3000</v>
      </c>
      <c r="H19" s="589">
        <v>5000</v>
      </c>
      <c r="I19" s="589">
        <v>2046</v>
      </c>
      <c r="J19" s="589"/>
      <c r="K19" s="589"/>
      <c r="L19" s="589">
        <v>5000</v>
      </c>
      <c r="M19" s="589"/>
      <c r="N19" s="589"/>
      <c r="O19" s="590">
        <f t="shared" si="2"/>
        <v>62504</v>
      </c>
    </row>
    <row r="20" spans="1:15" s="146" customFormat="1" ht="21" customHeight="1" x14ac:dyDescent="0.3">
      <c r="A20" s="588" t="s">
        <v>51</v>
      </c>
      <c r="B20" s="591" t="s">
        <v>233</v>
      </c>
      <c r="C20" s="589"/>
      <c r="D20" s="589"/>
      <c r="E20" s="589">
        <v>1800</v>
      </c>
      <c r="F20" s="589"/>
      <c r="G20" s="589">
        <v>7390</v>
      </c>
      <c r="H20" s="589">
        <v>7390</v>
      </c>
      <c r="I20" s="589">
        <v>7390</v>
      </c>
      <c r="J20" s="589">
        <v>16951</v>
      </c>
      <c r="K20" s="589">
        <v>50000</v>
      </c>
      <c r="L20" s="589">
        <v>7390</v>
      </c>
      <c r="M20" s="589"/>
      <c r="N20" s="589">
        <v>25500</v>
      </c>
      <c r="O20" s="590">
        <f t="shared" si="2"/>
        <v>123811</v>
      </c>
    </row>
    <row r="21" spans="1:15" s="146" customFormat="1" ht="21" customHeight="1" x14ac:dyDescent="0.3">
      <c r="A21" s="588" t="s">
        <v>54</v>
      </c>
      <c r="B21" s="588" t="s">
        <v>235</v>
      </c>
      <c r="C21" s="589">
        <v>416</v>
      </c>
      <c r="D21" s="589">
        <v>416</v>
      </c>
      <c r="E21" s="589">
        <v>416</v>
      </c>
      <c r="F21" s="589">
        <v>420</v>
      </c>
      <c r="G21" s="589">
        <v>416</v>
      </c>
      <c r="H21" s="589">
        <v>416</v>
      </c>
      <c r="I21" s="589">
        <v>416</v>
      </c>
      <c r="J21" s="589">
        <v>420</v>
      </c>
      <c r="K21" s="589">
        <v>416</v>
      </c>
      <c r="L21" s="589">
        <v>416</v>
      </c>
      <c r="M21" s="589">
        <v>416</v>
      </c>
      <c r="N21" s="589">
        <v>416</v>
      </c>
      <c r="O21" s="590">
        <f t="shared" si="2"/>
        <v>5000</v>
      </c>
    </row>
    <row r="22" spans="1:15" s="146" customFormat="1" ht="21" customHeight="1" x14ac:dyDescent="0.3">
      <c r="A22" s="588" t="s">
        <v>64</v>
      </c>
      <c r="B22" s="588" t="s">
        <v>468</v>
      </c>
      <c r="C22" s="589">
        <v>30365</v>
      </c>
      <c r="D22" s="589"/>
      <c r="E22" s="589">
        <v>6000</v>
      </c>
      <c r="F22" s="589"/>
      <c r="G22" s="589"/>
      <c r="H22" s="589">
        <v>5999</v>
      </c>
      <c r="I22" s="589"/>
      <c r="J22" s="589"/>
      <c r="K22" s="589">
        <v>6000</v>
      </c>
      <c r="L22" s="589"/>
      <c r="M22" s="589"/>
      <c r="N22" s="589">
        <v>5999</v>
      </c>
      <c r="O22" s="590">
        <f t="shared" si="2"/>
        <v>54363</v>
      </c>
    </row>
    <row r="23" spans="1:15" s="145" customFormat="1" ht="21" customHeight="1" x14ac:dyDescent="0.3">
      <c r="A23" s="594" t="s">
        <v>66</v>
      </c>
      <c r="B23" s="592" t="s">
        <v>444</v>
      </c>
      <c r="C23" s="593">
        <f t="shared" ref="C23:N23" si="3">SUM(C14:C22)</f>
        <v>255190</v>
      </c>
      <c r="D23" s="593">
        <f t="shared" si="3"/>
        <v>180989</v>
      </c>
      <c r="E23" s="593">
        <f t="shared" si="3"/>
        <v>202316</v>
      </c>
      <c r="F23" s="593">
        <f t="shared" si="3"/>
        <v>162390</v>
      </c>
      <c r="G23" s="593">
        <f t="shared" si="3"/>
        <v>171794</v>
      </c>
      <c r="H23" s="593">
        <f t="shared" si="3"/>
        <v>178794</v>
      </c>
      <c r="I23" s="593">
        <f t="shared" si="3"/>
        <v>169841</v>
      </c>
      <c r="J23" s="593">
        <f t="shared" si="3"/>
        <v>181359</v>
      </c>
      <c r="K23" s="593">
        <f t="shared" si="3"/>
        <v>216405</v>
      </c>
      <c r="L23" s="593">
        <f t="shared" si="3"/>
        <v>177793</v>
      </c>
      <c r="M23" s="593">
        <f t="shared" si="3"/>
        <v>160405</v>
      </c>
      <c r="N23" s="593">
        <f t="shared" si="3"/>
        <v>192907</v>
      </c>
      <c r="O23" s="593">
        <f t="shared" si="2"/>
        <v>2250183</v>
      </c>
    </row>
    <row r="24" spans="1:15" ht="21" customHeight="1" x14ac:dyDescent="0.35">
      <c r="A24" s="594" t="s">
        <v>68</v>
      </c>
      <c r="B24" s="592" t="s">
        <v>549</v>
      </c>
      <c r="C24" s="595">
        <f t="shared" ref="C24:O24" si="4">C12-C23</f>
        <v>-69649</v>
      </c>
      <c r="D24" s="595">
        <f t="shared" si="4"/>
        <v>-2308</v>
      </c>
      <c r="E24" s="595">
        <f t="shared" si="4"/>
        <v>191666</v>
      </c>
      <c r="F24" s="595">
        <f t="shared" si="4"/>
        <v>-17655</v>
      </c>
      <c r="G24" s="595">
        <f t="shared" si="4"/>
        <v>106933</v>
      </c>
      <c r="H24" s="595">
        <f t="shared" si="4"/>
        <v>-75184</v>
      </c>
      <c r="I24" s="595">
        <f t="shared" si="4"/>
        <v>-75106</v>
      </c>
      <c r="J24" s="595">
        <f t="shared" si="4"/>
        <v>-68969</v>
      </c>
      <c r="K24" s="595">
        <f t="shared" si="4"/>
        <v>180830</v>
      </c>
      <c r="L24" s="595">
        <f t="shared" si="4"/>
        <v>-82060</v>
      </c>
      <c r="M24" s="595">
        <f t="shared" si="4"/>
        <v>-65674</v>
      </c>
      <c r="N24" s="595">
        <f t="shared" si="4"/>
        <v>-22824</v>
      </c>
      <c r="O24" s="595">
        <f t="shared" si="4"/>
        <v>0</v>
      </c>
    </row>
    <row r="25" spans="1:15" x14ac:dyDescent="0.35">
      <c r="A25" s="147"/>
    </row>
    <row r="26" spans="1:15" x14ac:dyDescent="0.35">
      <c r="B26" s="148"/>
      <c r="C26" s="149"/>
      <c r="D26" s="149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16/2017. (IX.04.)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Layout" zoomScaleNormal="100" workbookViewId="0">
      <selection activeCell="E5" sqref="E5"/>
    </sheetView>
  </sheetViews>
  <sheetFormatPr defaultRowHeight="13" x14ac:dyDescent="0.3"/>
  <cols>
    <col min="1" max="1" width="5.796875" style="173" customWidth="1"/>
    <col min="2" max="2" width="15.296875" style="108" customWidth="1"/>
    <col min="3" max="4" width="9.5" style="108" customWidth="1"/>
    <col min="5" max="5" width="22.19921875" style="108" customWidth="1"/>
    <col min="6" max="7" width="9.296875" style="108"/>
    <col min="8" max="8" width="23.5" style="108" customWidth="1"/>
    <col min="9" max="9" width="23.69921875" style="108" customWidth="1"/>
    <col min="10" max="10" width="9.296875" style="108"/>
    <col min="11" max="11" width="13.5" style="108" customWidth="1"/>
    <col min="12" max="256" width="9.296875" style="108"/>
    <col min="257" max="257" width="5.796875" style="108" customWidth="1"/>
    <col min="258" max="258" width="54.796875" style="108" customWidth="1"/>
    <col min="259" max="260" width="17.69921875" style="108" customWidth="1"/>
    <col min="261" max="512" width="9.296875" style="108"/>
    <col min="513" max="513" width="5.796875" style="108" customWidth="1"/>
    <col min="514" max="514" width="54.796875" style="108" customWidth="1"/>
    <col min="515" max="516" width="17.69921875" style="108" customWidth="1"/>
    <col min="517" max="768" width="9.296875" style="108"/>
    <col min="769" max="769" width="5.796875" style="108" customWidth="1"/>
    <col min="770" max="770" width="54.796875" style="108" customWidth="1"/>
    <col min="771" max="772" width="17.69921875" style="108" customWidth="1"/>
    <col min="773" max="1024" width="9.296875" style="108"/>
    <col min="1025" max="1025" width="5.796875" style="108" customWidth="1"/>
    <col min="1026" max="1026" width="54.796875" style="108" customWidth="1"/>
    <col min="1027" max="1028" width="17.69921875" style="108" customWidth="1"/>
    <col min="1029" max="1280" width="9.296875" style="108"/>
    <col min="1281" max="1281" width="5.796875" style="108" customWidth="1"/>
    <col min="1282" max="1282" width="54.796875" style="108" customWidth="1"/>
    <col min="1283" max="1284" width="17.69921875" style="108" customWidth="1"/>
    <col min="1285" max="1536" width="9.296875" style="108"/>
    <col min="1537" max="1537" width="5.796875" style="108" customWidth="1"/>
    <col min="1538" max="1538" width="54.796875" style="108" customWidth="1"/>
    <col min="1539" max="1540" width="17.69921875" style="108" customWidth="1"/>
    <col min="1541" max="1792" width="9.296875" style="108"/>
    <col min="1793" max="1793" width="5.796875" style="108" customWidth="1"/>
    <col min="1794" max="1794" width="54.796875" style="108" customWidth="1"/>
    <col min="1795" max="1796" width="17.69921875" style="108" customWidth="1"/>
    <col min="1797" max="2048" width="9.296875" style="108"/>
    <col min="2049" max="2049" width="5.796875" style="108" customWidth="1"/>
    <col min="2050" max="2050" width="54.796875" style="108" customWidth="1"/>
    <col min="2051" max="2052" width="17.69921875" style="108" customWidth="1"/>
    <col min="2053" max="2304" width="9.296875" style="108"/>
    <col min="2305" max="2305" width="5.796875" style="108" customWidth="1"/>
    <col min="2306" max="2306" width="54.796875" style="108" customWidth="1"/>
    <col min="2307" max="2308" width="17.69921875" style="108" customWidth="1"/>
    <col min="2309" max="2560" width="9.296875" style="108"/>
    <col min="2561" max="2561" width="5.796875" style="108" customWidth="1"/>
    <col min="2562" max="2562" width="54.796875" style="108" customWidth="1"/>
    <col min="2563" max="2564" width="17.69921875" style="108" customWidth="1"/>
    <col min="2565" max="2816" width="9.296875" style="108"/>
    <col min="2817" max="2817" width="5.796875" style="108" customWidth="1"/>
    <col min="2818" max="2818" width="54.796875" style="108" customWidth="1"/>
    <col min="2819" max="2820" width="17.69921875" style="108" customWidth="1"/>
    <col min="2821" max="3072" width="9.296875" style="108"/>
    <col min="3073" max="3073" width="5.796875" style="108" customWidth="1"/>
    <col min="3074" max="3074" width="54.796875" style="108" customWidth="1"/>
    <col min="3075" max="3076" width="17.69921875" style="108" customWidth="1"/>
    <col min="3077" max="3328" width="9.296875" style="108"/>
    <col min="3329" max="3329" width="5.796875" style="108" customWidth="1"/>
    <col min="3330" max="3330" width="54.796875" style="108" customWidth="1"/>
    <col min="3331" max="3332" width="17.69921875" style="108" customWidth="1"/>
    <col min="3333" max="3584" width="9.296875" style="108"/>
    <col min="3585" max="3585" width="5.796875" style="108" customWidth="1"/>
    <col min="3586" max="3586" width="54.796875" style="108" customWidth="1"/>
    <col min="3587" max="3588" width="17.69921875" style="108" customWidth="1"/>
    <col min="3589" max="3840" width="9.296875" style="108"/>
    <col min="3841" max="3841" width="5.796875" style="108" customWidth="1"/>
    <col min="3842" max="3842" width="54.796875" style="108" customWidth="1"/>
    <col min="3843" max="3844" width="17.69921875" style="108" customWidth="1"/>
    <col min="3845" max="4096" width="9.296875" style="108"/>
    <col min="4097" max="4097" width="5.796875" style="108" customWidth="1"/>
    <col min="4098" max="4098" width="54.796875" style="108" customWidth="1"/>
    <col min="4099" max="4100" width="17.69921875" style="108" customWidth="1"/>
    <col min="4101" max="4352" width="9.296875" style="108"/>
    <col min="4353" max="4353" width="5.796875" style="108" customWidth="1"/>
    <col min="4354" max="4354" width="54.796875" style="108" customWidth="1"/>
    <col min="4355" max="4356" width="17.69921875" style="108" customWidth="1"/>
    <col min="4357" max="4608" width="9.296875" style="108"/>
    <col min="4609" max="4609" width="5.796875" style="108" customWidth="1"/>
    <col min="4610" max="4610" width="54.796875" style="108" customWidth="1"/>
    <col min="4611" max="4612" width="17.69921875" style="108" customWidth="1"/>
    <col min="4613" max="4864" width="9.296875" style="108"/>
    <col min="4865" max="4865" width="5.796875" style="108" customWidth="1"/>
    <col min="4866" max="4866" width="54.796875" style="108" customWidth="1"/>
    <col min="4867" max="4868" width="17.69921875" style="108" customWidth="1"/>
    <col min="4869" max="5120" width="9.296875" style="108"/>
    <col min="5121" max="5121" width="5.796875" style="108" customWidth="1"/>
    <col min="5122" max="5122" width="54.796875" style="108" customWidth="1"/>
    <col min="5123" max="5124" width="17.69921875" style="108" customWidth="1"/>
    <col min="5125" max="5376" width="9.296875" style="108"/>
    <col min="5377" max="5377" width="5.796875" style="108" customWidth="1"/>
    <col min="5378" max="5378" width="54.796875" style="108" customWidth="1"/>
    <col min="5379" max="5380" width="17.69921875" style="108" customWidth="1"/>
    <col min="5381" max="5632" width="9.296875" style="108"/>
    <col min="5633" max="5633" width="5.796875" style="108" customWidth="1"/>
    <col min="5634" max="5634" width="54.796875" style="108" customWidth="1"/>
    <col min="5635" max="5636" width="17.69921875" style="108" customWidth="1"/>
    <col min="5637" max="5888" width="9.296875" style="108"/>
    <col min="5889" max="5889" width="5.796875" style="108" customWidth="1"/>
    <col min="5890" max="5890" width="54.796875" style="108" customWidth="1"/>
    <col min="5891" max="5892" width="17.69921875" style="108" customWidth="1"/>
    <col min="5893" max="6144" width="9.296875" style="108"/>
    <col min="6145" max="6145" width="5.796875" style="108" customWidth="1"/>
    <col min="6146" max="6146" width="54.796875" style="108" customWidth="1"/>
    <col min="6147" max="6148" width="17.69921875" style="108" customWidth="1"/>
    <col min="6149" max="6400" width="9.296875" style="108"/>
    <col min="6401" max="6401" width="5.796875" style="108" customWidth="1"/>
    <col min="6402" max="6402" width="54.796875" style="108" customWidth="1"/>
    <col min="6403" max="6404" width="17.69921875" style="108" customWidth="1"/>
    <col min="6405" max="6656" width="9.296875" style="108"/>
    <col min="6657" max="6657" width="5.796875" style="108" customWidth="1"/>
    <col min="6658" max="6658" width="54.796875" style="108" customWidth="1"/>
    <col min="6659" max="6660" width="17.69921875" style="108" customWidth="1"/>
    <col min="6661" max="6912" width="9.296875" style="108"/>
    <col min="6913" max="6913" width="5.796875" style="108" customWidth="1"/>
    <col min="6914" max="6914" width="54.796875" style="108" customWidth="1"/>
    <col min="6915" max="6916" width="17.69921875" style="108" customWidth="1"/>
    <col min="6917" max="7168" width="9.296875" style="108"/>
    <col min="7169" max="7169" width="5.796875" style="108" customWidth="1"/>
    <col min="7170" max="7170" width="54.796875" style="108" customWidth="1"/>
    <col min="7171" max="7172" width="17.69921875" style="108" customWidth="1"/>
    <col min="7173" max="7424" width="9.296875" style="108"/>
    <col min="7425" max="7425" width="5.796875" style="108" customWidth="1"/>
    <col min="7426" max="7426" width="54.796875" style="108" customWidth="1"/>
    <col min="7427" max="7428" width="17.69921875" style="108" customWidth="1"/>
    <col min="7429" max="7680" width="9.296875" style="108"/>
    <col min="7681" max="7681" width="5.796875" style="108" customWidth="1"/>
    <col min="7682" max="7682" width="54.796875" style="108" customWidth="1"/>
    <col min="7683" max="7684" width="17.69921875" style="108" customWidth="1"/>
    <col min="7685" max="7936" width="9.296875" style="108"/>
    <col min="7937" max="7937" width="5.796875" style="108" customWidth="1"/>
    <col min="7938" max="7938" width="54.796875" style="108" customWidth="1"/>
    <col min="7939" max="7940" width="17.69921875" style="108" customWidth="1"/>
    <col min="7941" max="8192" width="9.296875" style="108"/>
    <col min="8193" max="8193" width="5.796875" style="108" customWidth="1"/>
    <col min="8194" max="8194" width="54.796875" style="108" customWidth="1"/>
    <col min="8195" max="8196" width="17.69921875" style="108" customWidth="1"/>
    <col min="8197" max="8448" width="9.296875" style="108"/>
    <col min="8449" max="8449" width="5.796875" style="108" customWidth="1"/>
    <col min="8450" max="8450" width="54.796875" style="108" customWidth="1"/>
    <col min="8451" max="8452" width="17.69921875" style="108" customWidth="1"/>
    <col min="8453" max="8704" width="9.296875" style="108"/>
    <col min="8705" max="8705" width="5.796875" style="108" customWidth="1"/>
    <col min="8706" max="8706" width="54.796875" style="108" customWidth="1"/>
    <col min="8707" max="8708" width="17.69921875" style="108" customWidth="1"/>
    <col min="8709" max="8960" width="9.296875" style="108"/>
    <col min="8961" max="8961" width="5.796875" style="108" customWidth="1"/>
    <col min="8962" max="8962" width="54.796875" style="108" customWidth="1"/>
    <col min="8963" max="8964" width="17.69921875" style="108" customWidth="1"/>
    <col min="8965" max="9216" width="9.296875" style="108"/>
    <col min="9217" max="9217" width="5.796875" style="108" customWidth="1"/>
    <col min="9218" max="9218" width="54.796875" style="108" customWidth="1"/>
    <col min="9219" max="9220" width="17.69921875" style="108" customWidth="1"/>
    <col min="9221" max="9472" width="9.296875" style="108"/>
    <col min="9473" max="9473" width="5.796875" style="108" customWidth="1"/>
    <col min="9474" max="9474" width="54.796875" style="108" customWidth="1"/>
    <col min="9475" max="9476" width="17.69921875" style="108" customWidth="1"/>
    <col min="9477" max="9728" width="9.296875" style="108"/>
    <col min="9729" max="9729" width="5.796875" style="108" customWidth="1"/>
    <col min="9730" max="9730" width="54.796875" style="108" customWidth="1"/>
    <col min="9731" max="9732" width="17.69921875" style="108" customWidth="1"/>
    <col min="9733" max="9984" width="9.296875" style="108"/>
    <col min="9985" max="9985" width="5.796875" style="108" customWidth="1"/>
    <col min="9986" max="9986" width="54.796875" style="108" customWidth="1"/>
    <col min="9987" max="9988" width="17.69921875" style="108" customWidth="1"/>
    <col min="9989" max="10240" width="9.296875" style="108"/>
    <col min="10241" max="10241" width="5.796875" style="108" customWidth="1"/>
    <col min="10242" max="10242" width="54.796875" style="108" customWidth="1"/>
    <col min="10243" max="10244" width="17.69921875" style="108" customWidth="1"/>
    <col min="10245" max="10496" width="9.296875" style="108"/>
    <col min="10497" max="10497" width="5.796875" style="108" customWidth="1"/>
    <col min="10498" max="10498" width="54.796875" style="108" customWidth="1"/>
    <col min="10499" max="10500" width="17.69921875" style="108" customWidth="1"/>
    <col min="10501" max="10752" width="9.296875" style="108"/>
    <col min="10753" max="10753" width="5.796875" style="108" customWidth="1"/>
    <col min="10754" max="10754" width="54.796875" style="108" customWidth="1"/>
    <col min="10755" max="10756" width="17.69921875" style="108" customWidth="1"/>
    <col min="10757" max="11008" width="9.296875" style="108"/>
    <col min="11009" max="11009" width="5.796875" style="108" customWidth="1"/>
    <col min="11010" max="11010" width="54.796875" style="108" customWidth="1"/>
    <col min="11011" max="11012" width="17.69921875" style="108" customWidth="1"/>
    <col min="11013" max="11264" width="9.296875" style="108"/>
    <col min="11265" max="11265" width="5.796875" style="108" customWidth="1"/>
    <col min="11266" max="11266" width="54.796875" style="108" customWidth="1"/>
    <col min="11267" max="11268" width="17.69921875" style="108" customWidth="1"/>
    <col min="11269" max="11520" width="9.296875" style="108"/>
    <col min="11521" max="11521" width="5.796875" style="108" customWidth="1"/>
    <col min="11522" max="11522" width="54.796875" style="108" customWidth="1"/>
    <col min="11523" max="11524" width="17.69921875" style="108" customWidth="1"/>
    <col min="11525" max="11776" width="9.296875" style="108"/>
    <col min="11777" max="11777" width="5.796875" style="108" customWidth="1"/>
    <col min="11778" max="11778" width="54.796875" style="108" customWidth="1"/>
    <col min="11779" max="11780" width="17.69921875" style="108" customWidth="1"/>
    <col min="11781" max="12032" width="9.296875" style="108"/>
    <col min="12033" max="12033" width="5.796875" style="108" customWidth="1"/>
    <col min="12034" max="12034" width="54.796875" style="108" customWidth="1"/>
    <col min="12035" max="12036" width="17.69921875" style="108" customWidth="1"/>
    <col min="12037" max="12288" width="9.296875" style="108"/>
    <col min="12289" max="12289" width="5.796875" style="108" customWidth="1"/>
    <col min="12290" max="12290" width="54.796875" style="108" customWidth="1"/>
    <col min="12291" max="12292" width="17.69921875" style="108" customWidth="1"/>
    <col min="12293" max="12544" width="9.296875" style="108"/>
    <col min="12545" max="12545" width="5.796875" style="108" customWidth="1"/>
    <col min="12546" max="12546" width="54.796875" style="108" customWidth="1"/>
    <col min="12547" max="12548" width="17.69921875" style="108" customWidth="1"/>
    <col min="12549" max="12800" width="9.296875" style="108"/>
    <col min="12801" max="12801" width="5.796875" style="108" customWidth="1"/>
    <col min="12802" max="12802" width="54.796875" style="108" customWidth="1"/>
    <col min="12803" max="12804" width="17.69921875" style="108" customWidth="1"/>
    <col min="12805" max="13056" width="9.296875" style="108"/>
    <col min="13057" max="13057" width="5.796875" style="108" customWidth="1"/>
    <col min="13058" max="13058" width="54.796875" style="108" customWidth="1"/>
    <col min="13059" max="13060" width="17.69921875" style="108" customWidth="1"/>
    <col min="13061" max="13312" width="9.296875" style="108"/>
    <col min="13313" max="13313" width="5.796875" style="108" customWidth="1"/>
    <col min="13314" max="13314" width="54.796875" style="108" customWidth="1"/>
    <col min="13315" max="13316" width="17.69921875" style="108" customWidth="1"/>
    <col min="13317" max="13568" width="9.296875" style="108"/>
    <col min="13569" max="13569" width="5.796875" style="108" customWidth="1"/>
    <col min="13570" max="13570" width="54.796875" style="108" customWidth="1"/>
    <col min="13571" max="13572" width="17.69921875" style="108" customWidth="1"/>
    <col min="13573" max="13824" width="9.296875" style="108"/>
    <col min="13825" max="13825" width="5.796875" style="108" customWidth="1"/>
    <col min="13826" max="13826" width="54.796875" style="108" customWidth="1"/>
    <col min="13827" max="13828" width="17.69921875" style="108" customWidth="1"/>
    <col min="13829" max="14080" width="9.296875" style="108"/>
    <col min="14081" max="14081" width="5.796875" style="108" customWidth="1"/>
    <col min="14082" max="14082" width="54.796875" style="108" customWidth="1"/>
    <col min="14083" max="14084" width="17.69921875" style="108" customWidth="1"/>
    <col min="14085" max="14336" width="9.296875" style="108"/>
    <col min="14337" max="14337" width="5.796875" style="108" customWidth="1"/>
    <col min="14338" max="14338" width="54.796875" style="108" customWidth="1"/>
    <col min="14339" max="14340" width="17.69921875" style="108" customWidth="1"/>
    <col min="14341" max="14592" width="9.296875" style="108"/>
    <col min="14593" max="14593" width="5.796875" style="108" customWidth="1"/>
    <col min="14594" max="14594" width="54.796875" style="108" customWidth="1"/>
    <col min="14595" max="14596" width="17.69921875" style="108" customWidth="1"/>
    <col min="14597" max="14848" width="9.296875" style="108"/>
    <col min="14849" max="14849" width="5.796875" style="108" customWidth="1"/>
    <col min="14850" max="14850" width="54.796875" style="108" customWidth="1"/>
    <col min="14851" max="14852" width="17.69921875" style="108" customWidth="1"/>
    <col min="14853" max="15104" width="9.296875" style="108"/>
    <col min="15105" max="15105" width="5.796875" style="108" customWidth="1"/>
    <col min="15106" max="15106" width="54.796875" style="108" customWidth="1"/>
    <col min="15107" max="15108" width="17.69921875" style="108" customWidth="1"/>
    <col min="15109" max="15360" width="9.296875" style="108"/>
    <col min="15361" max="15361" width="5.796875" style="108" customWidth="1"/>
    <col min="15362" max="15362" width="54.796875" style="108" customWidth="1"/>
    <col min="15363" max="15364" width="17.69921875" style="108" customWidth="1"/>
    <col min="15365" max="15616" width="9.296875" style="108"/>
    <col min="15617" max="15617" width="5.796875" style="108" customWidth="1"/>
    <col min="15618" max="15618" width="54.796875" style="108" customWidth="1"/>
    <col min="15619" max="15620" width="17.69921875" style="108" customWidth="1"/>
    <col min="15621" max="15872" width="9.296875" style="108"/>
    <col min="15873" max="15873" width="5.796875" style="108" customWidth="1"/>
    <col min="15874" max="15874" width="54.796875" style="108" customWidth="1"/>
    <col min="15875" max="15876" width="17.69921875" style="108" customWidth="1"/>
    <col min="15877" max="16128" width="9.296875" style="108"/>
    <col min="16129" max="16129" width="5.796875" style="108" customWidth="1"/>
    <col min="16130" max="16130" width="54.796875" style="108" customWidth="1"/>
    <col min="16131" max="16132" width="17.69921875" style="108" customWidth="1"/>
    <col min="16133" max="16384" width="9.296875" style="108"/>
  </cols>
  <sheetData>
    <row r="1" spans="1:11" ht="44.25" customHeight="1" x14ac:dyDescent="0.3">
      <c r="A1" s="776" t="s">
        <v>651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</row>
    <row r="2" spans="1:11" x14ac:dyDescent="0.3">
      <c r="A2" s="220"/>
      <c r="B2" s="220"/>
      <c r="C2" s="220"/>
      <c r="D2" s="220"/>
      <c r="E2" s="220"/>
      <c r="F2" s="220"/>
      <c r="G2" s="220"/>
      <c r="H2" s="220"/>
      <c r="I2" s="220"/>
      <c r="J2" s="777" t="s">
        <v>686</v>
      </c>
      <c r="K2" s="777"/>
    </row>
    <row r="3" spans="1:11" ht="27" customHeight="1" x14ac:dyDescent="0.3">
      <c r="A3" s="778" t="s">
        <v>407</v>
      </c>
      <c r="B3" s="778" t="s">
        <v>687</v>
      </c>
      <c r="C3" s="778"/>
      <c r="D3" s="778"/>
      <c r="E3" s="778" t="s">
        <v>688</v>
      </c>
      <c r="F3" s="778"/>
      <c r="G3" s="778"/>
      <c r="H3" s="778" t="s">
        <v>689</v>
      </c>
      <c r="I3" s="778"/>
      <c r="J3" s="778"/>
      <c r="K3" s="779" t="s">
        <v>408</v>
      </c>
    </row>
    <row r="4" spans="1:11" ht="26" x14ac:dyDescent="0.3">
      <c r="A4" s="778"/>
      <c r="B4" s="596" t="s">
        <v>690</v>
      </c>
      <c r="C4" s="596" t="s">
        <v>691</v>
      </c>
      <c r="D4" s="596" t="s">
        <v>692</v>
      </c>
      <c r="E4" s="596" t="s">
        <v>690</v>
      </c>
      <c r="F4" s="596" t="s">
        <v>691</v>
      </c>
      <c r="G4" s="596" t="s">
        <v>692</v>
      </c>
      <c r="H4" s="596" t="s">
        <v>690</v>
      </c>
      <c r="I4" s="596" t="s">
        <v>691</v>
      </c>
      <c r="J4" s="596" t="s">
        <v>692</v>
      </c>
      <c r="K4" s="779"/>
    </row>
    <row r="5" spans="1:11" ht="33.75" customHeight="1" x14ac:dyDescent="0.3">
      <c r="A5" s="597" t="s">
        <v>10</v>
      </c>
      <c r="B5" s="598" t="s">
        <v>693</v>
      </c>
      <c r="C5" s="598"/>
      <c r="D5" s="598"/>
      <c r="E5" s="599" t="s">
        <v>694</v>
      </c>
      <c r="F5" s="600" t="s">
        <v>695</v>
      </c>
      <c r="G5" s="601">
        <v>6739</v>
      </c>
      <c r="H5" s="599" t="s">
        <v>696</v>
      </c>
      <c r="I5" s="602" t="s">
        <v>697</v>
      </c>
      <c r="J5" s="601">
        <v>1713</v>
      </c>
      <c r="K5" s="601">
        <f>SUM(J5,G5)</f>
        <v>8452</v>
      </c>
    </row>
    <row r="6" spans="1:11" ht="33.75" customHeight="1" x14ac:dyDescent="0.3">
      <c r="A6" s="770" t="s">
        <v>13</v>
      </c>
      <c r="B6" s="772" t="s">
        <v>698</v>
      </c>
      <c r="C6" s="774"/>
      <c r="D6" s="774"/>
      <c r="E6" s="603" t="s">
        <v>699</v>
      </c>
      <c r="F6" s="600">
        <v>50</v>
      </c>
      <c r="G6" s="601">
        <v>1718</v>
      </c>
      <c r="H6" s="604"/>
      <c r="I6" s="604"/>
      <c r="J6" s="605"/>
      <c r="K6" s="601">
        <f>SUM(G6:J6)</f>
        <v>1718</v>
      </c>
    </row>
    <row r="7" spans="1:11" ht="33.75" customHeight="1" x14ac:dyDescent="0.3">
      <c r="A7" s="771"/>
      <c r="B7" s="773"/>
      <c r="C7" s="775"/>
      <c r="D7" s="775"/>
      <c r="E7" s="603" t="s">
        <v>700</v>
      </c>
      <c r="F7" s="600">
        <v>50</v>
      </c>
      <c r="G7" s="601">
        <v>7822</v>
      </c>
      <c r="H7" s="604"/>
      <c r="I7" s="604"/>
      <c r="J7" s="605"/>
      <c r="K7" s="601">
        <f t="shared" ref="K7:K8" si="0">SUM(G7:J7)</f>
        <v>7822</v>
      </c>
    </row>
    <row r="8" spans="1:11" ht="33.75" customHeight="1" x14ac:dyDescent="0.3">
      <c r="A8" s="771"/>
      <c r="B8" s="773"/>
      <c r="C8" s="775"/>
      <c r="D8" s="775"/>
      <c r="E8" s="603" t="s">
        <v>701</v>
      </c>
      <c r="F8" s="600">
        <v>50</v>
      </c>
      <c r="G8" s="601">
        <v>632</v>
      </c>
      <c r="H8" s="604"/>
      <c r="I8" s="604"/>
      <c r="J8" s="605"/>
      <c r="K8" s="601">
        <f t="shared" si="0"/>
        <v>632</v>
      </c>
    </row>
    <row r="9" spans="1:11" ht="36.75" customHeight="1" x14ac:dyDescent="0.3">
      <c r="A9" s="597" t="s">
        <v>16</v>
      </c>
      <c r="B9" s="606" t="s">
        <v>702</v>
      </c>
      <c r="C9" s="597"/>
      <c r="D9" s="597"/>
      <c r="E9" s="607" t="s">
        <v>703</v>
      </c>
      <c r="F9" s="600">
        <v>25</v>
      </c>
      <c r="G9" s="601">
        <v>2752</v>
      </c>
      <c r="H9" s="607" t="s">
        <v>704</v>
      </c>
      <c r="I9" s="599" t="s">
        <v>705</v>
      </c>
      <c r="J9" s="601">
        <v>1351</v>
      </c>
      <c r="K9" s="601">
        <f>SUM(G9+J9)</f>
        <v>4103</v>
      </c>
    </row>
    <row r="10" spans="1:11" ht="27" customHeight="1" x14ac:dyDescent="0.3">
      <c r="A10" s="608"/>
      <c r="B10" s="608" t="s">
        <v>542</v>
      </c>
      <c r="C10" s="608"/>
      <c r="D10" s="608"/>
      <c r="E10" s="608"/>
      <c r="F10" s="608"/>
      <c r="G10" s="609">
        <f>SUM(G5:G9)</f>
        <v>19663</v>
      </c>
      <c r="H10" s="610"/>
      <c r="I10" s="610"/>
      <c r="J10" s="609">
        <f>SUM(J5:J9)</f>
        <v>3064</v>
      </c>
      <c r="K10" s="609">
        <f>SUM(K5:K9)</f>
        <v>22727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16/2017. (IX.04.)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Layout" zoomScaleNormal="100" workbookViewId="0">
      <selection activeCell="E5" sqref="E5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780" t="s">
        <v>595</v>
      </c>
      <c r="B1" s="781"/>
      <c r="C1" s="781"/>
      <c r="D1" s="781"/>
      <c r="E1" s="781"/>
      <c r="F1" s="781"/>
      <c r="G1" s="781"/>
      <c r="H1" s="781"/>
    </row>
    <row r="2" spans="1:8" ht="12.75" customHeight="1" x14ac:dyDescent="0.3">
      <c r="A2" s="180"/>
      <c r="B2" s="181"/>
      <c r="C2" s="181"/>
      <c r="D2" s="181"/>
      <c r="E2" s="181"/>
      <c r="F2" s="181"/>
      <c r="G2" s="181"/>
      <c r="H2" s="182" t="s">
        <v>590</v>
      </c>
    </row>
    <row r="3" spans="1:8" ht="57" customHeight="1" x14ac:dyDescent="0.3">
      <c r="A3" s="230" t="s">
        <v>407</v>
      </c>
      <c r="B3" s="231" t="s">
        <v>591</v>
      </c>
      <c r="C3" s="231" t="s">
        <v>596</v>
      </c>
      <c r="D3" s="231" t="s">
        <v>592</v>
      </c>
      <c r="E3" s="231" t="s">
        <v>593</v>
      </c>
      <c r="F3" s="231" t="s">
        <v>594</v>
      </c>
      <c r="G3" s="231" t="s">
        <v>597</v>
      </c>
      <c r="H3" s="232" t="s">
        <v>408</v>
      </c>
    </row>
    <row r="4" spans="1:8" ht="48" customHeight="1" x14ac:dyDescent="0.3">
      <c r="A4" s="222" t="s">
        <v>10</v>
      </c>
      <c r="B4" s="223" t="s">
        <v>430</v>
      </c>
      <c r="C4" s="233"/>
      <c r="D4" s="233">
        <v>6</v>
      </c>
      <c r="E4" s="233">
        <v>1</v>
      </c>
      <c r="F4" s="233"/>
      <c r="G4" s="233">
        <v>3</v>
      </c>
      <c r="H4" s="235">
        <f>SUM(C4:G4)</f>
        <v>10</v>
      </c>
    </row>
    <row r="5" spans="1:8" ht="48" customHeight="1" x14ac:dyDescent="0.3">
      <c r="A5" s="224" t="s">
        <v>13</v>
      </c>
      <c r="B5" s="225" t="s">
        <v>403</v>
      </c>
      <c r="C5" s="234">
        <v>49.5</v>
      </c>
      <c r="D5" s="234"/>
      <c r="E5" s="234"/>
      <c r="F5" s="234">
        <v>8</v>
      </c>
      <c r="G5" s="234"/>
      <c r="H5" s="236">
        <f>SUM(C5:G5)</f>
        <v>57.5</v>
      </c>
    </row>
    <row r="6" spans="1:8" ht="48" customHeight="1" x14ac:dyDescent="0.3">
      <c r="A6" s="226" t="s">
        <v>16</v>
      </c>
      <c r="B6" s="227" t="s">
        <v>384</v>
      </c>
      <c r="C6" s="237"/>
      <c r="D6" s="238"/>
      <c r="E6" s="238"/>
      <c r="F6" s="238">
        <v>5</v>
      </c>
      <c r="G6" s="238">
        <v>282</v>
      </c>
      <c r="H6" s="235">
        <f>SUM(C6:G6)</f>
        <v>287</v>
      </c>
    </row>
    <row r="7" spans="1:8" ht="48" customHeight="1" x14ac:dyDescent="0.3">
      <c r="A7" s="228"/>
      <c r="B7" s="229" t="s">
        <v>408</v>
      </c>
      <c r="C7" s="239">
        <f>SUM(C4:C6)</f>
        <v>49.5</v>
      </c>
      <c r="D7" s="239">
        <f t="shared" ref="D7:G7" si="0">SUM(D4:D6)</f>
        <v>6</v>
      </c>
      <c r="E7" s="239">
        <f t="shared" si="0"/>
        <v>1</v>
      </c>
      <c r="F7" s="239">
        <f t="shared" si="0"/>
        <v>13</v>
      </c>
      <c r="G7" s="239">
        <f t="shared" si="0"/>
        <v>285</v>
      </c>
      <c r="H7" s="240">
        <f>SUM(H4:H6)</f>
        <v>354.5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16/2017. (IX.04.)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zoomScaleNormal="100" workbookViewId="0">
      <selection activeCell="I1" sqref="I1"/>
    </sheetView>
  </sheetViews>
  <sheetFormatPr defaultColWidth="9.296875" defaultRowHeight="14" x14ac:dyDescent="0.3"/>
  <cols>
    <col min="1" max="1" width="11.5" style="160" customWidth="1"/>
    <col min="2" max="2" width="59.5" style="159" customWidth="1"/>
    <col min="3" max="3" width="23.69921875" style="172" customWidth="1"/>
    <col min="4" max="6" width="17.796875" style="159" customWidth="1"/>
    <col min="7" max="8" width="19" style="159" customWidth="1"/>
    <col min="9" max="16384" width="9.296875" style="159"/>
  </cols>
  <sheetData>
    <row r="1" spans="1:5" ht="42" customHeight="1" x14ac:dyDescent="0.3">
      <c r="A1" s="782" t="s">
        <v>636</v>
      </c>
      <c r="B1" s="783"/>
      <c r="C1" s="783"/>
    </row>
    <row r="2" spans="1:5" ht="15" customHeight="1" x14ac:dyDescent="0.3">
      <c r="C2" s="161"/>
    </row>
    <row r="3" spans="1:5" s="162" customFormat="1" ht="25.5" customHeight="1" x14ac:dyDescent="0.3">
      <c r="A3" s="784" t="s">
        <v>560</v>
      </c>
      <c r="B3" s="784"/>
      <c r="C3" s="784"/>
    </row>
    <row r="4" spans="1:5" x14ac:dyDescent="0.3">
      <c r="A4" s="163"/>
      <c r="B4" s="164"/>
      <c r="C4" s="165" t="s">
        <v>1</v>
      </c>
    </row>
    <row r="5" spans="1:5" s="166" customFormat="1" ht="27.75" customHeight="1" x14ac:dyDescent="0.3">
      <c r="A5" s="611" t="s">
        <v>562</v>
      </c>
      <c r="B5" s="611" t="s">
        <v>563</v>
      </c>
      <c r="C5" s="612" t="s">
        <v>568</v>
      </c>
    </row>
    <row r="6" spans="1:5" ht="34.5" customHeight="1" x14ac:dyDescent="0.3">
      <c r="A6" s="613" t="s">
        <v>10</v>
      </c>
      <c r="B6" s="614" t="s">
        <v>564</v>
      </c>
      <c r="C6" s="615">
        <v>20000000</v>
      </c>
    </row>
    <row r="7" spans="1:5" ht="25.5" customHeight="1" x14ac:dyDescent="0.3">
      <c r="A7" s="613" t="s">
        <v>13</v>
      </c>
      <c r="B7" s="616" t="s">
        <v>565</v>
      </c>
      <c r="C7" s="615">
        <v>50000000</v>
      </c>
    </row>
    <row r="8" spans="1:5" s="167" customFormat="1" ht="25.5" customHeight="1" x14ac:dyDescent="0.3">
      <c r="A8" s="611" t="s">
        <v>16</v>
      </c>
      <c r="B8" s="617" t="s">
        <v>408</v>
      </c>
      <c r="C8" s="618">
        <f>SUM(C6:C7)</f>
        <v>70000000</v>
      </c>
    </row>
    <row r="10" spans="1:5" s="162" customFormat="1" ht="25.5" customHeight="1" x14ac:dyDescent="0.3">
      <c r="A10" s="784" t="s">
        <v>566</v>
      </c>
      <c r="B10" s="784"/>
      <c r="C10" s="784"/>
    </row>
    <row r="11" spans="1:5" x14ac:dyDescent="0.3">
      <c r="A11" s="163"/>
      <c r="B11" s="164"/>
      <c r="C11" s="168"/>
    </row>
    <row r="12" spans="1:5" s="166" customFormat="1" ht="27.75" customHeight="1" x14ac:dyDescent="0.3">
      <c r="A12" s="611" t="s">
        <v>562</v>
      </c>
      <c r="B12" s="611" t="s">
        <v>563</v>
      </c>
      <c r="C12" s="612" t="s">
        <v>568</v>
      </c>
    </row>
    <row r="13" spans="1:5" ht="50.25" customHeight="1" x14ac:dyDescent="0.3">
      <c r="A13" s="613" t="s">
        <v>10</v>
      </c>
      <c r="B13" s="619" t="s">
        <v>706</v>
      </c>
      <c r="C13" s="615">
        <v>17146343</v>
      </c>
      <c r="E13" s="169"/>
    </row>
    <row r="14" spans="1:5" ht="25.5" customHeight="1" x14ac:dyDescent="0.3">
      <c r="A14" s="611" t="s">
        <v>13</v>
      </c>
      <c r="B14" s="620" t="s">
        <v>408</v>
      </c>
      <c r="C14" s="621">
        <f>SUM(C13:C13)</f>
        <v>17146343</v>
      </c>
    </row>
    <row r="15" spans="1:5" ht="25.5" customHeight="1" x14ac:dyDescent="0.3">
      <c r="A15" s="611" t="s">
        <v>16</v>
      </c>
      <c r="B15" s="622" t="s">
        <v>567</v>
      </c>
      <c r="C15" s="621">
        <f>SUM(C8+C14)</f>
        <v>87146343</v>
      </c>
    </row>
    <row r="16" spans="1:5" ht="17.5" x14ac:dyDescent="0.35">
      <c r="A16" s="170"/>
      <c r="B16" s="171"/>
      <c r="C16" s="171"/>
      <c r="D16" s="171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16/2017.(IX.04.)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Layout" zoomScaleNormal="100" workbookViewId="0">
      <selection activeCell="E5" sqref="E5"/>
    </sheetView>
  </sheetViews>
  <sheetFormatPr defaultRowHeight="15.5" x14ac:dyDescent="0.35"/>
  <cols>
    <col min="1" max="1" width="7" style="11" customWidth="1"/>
    <col min="2" max="2" width="58.69921875" style="11" customWidth="1"/>
    <col min="3" max="3" width="15.19921875" style="12" customWidth="1"/>
    <col min="4" max="6" width="15.19921875" style="11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785" t="s">
        <v>623</v>
      </c>
      <c r="B1" s="786"/>
      <c r="C1" s="786"/>
      <c r="D1" s="786"/>
      <c r="E1" s="786"/>
      <c r="F1" s="786"/>
    </row>
    <row r="3" spans="1:6" ht="16" customHeight="1" x14ac:dyDescent="0.35">
      <c r="A3" s="713" t="s">
        <v>570</v>
      </c>
      <c r="B3" s="713"/>
      <c r="C3" s="713"/>
      <c r="D3" s="713"/>
      <c r="E3" s="713"/>
      <c r="F3" s="713"/>
    </row>
    <row r="4" spans="1:6" ht="16" customHeight="1" x14ac:dyDescent="0.35">
      <c r="A4" s="715"/>
      <c r="B4" s="715"/>
      <c r="D4" s="140"/>
      <c r="E4" s="140"/>
      <c r="F4" s="3" t="s">
        <v>423</v>
      </c>
    </row>
    <row r="5" spans="1:6" ht="31.5" customHeight="1" x14ac:dyDescent="0.35">
      <c r="A5" s="119" t="s">
        <v>2</v>
      </c>
      <c r="B5" s="119" t="s">
        <v>3</v>
      </c>
      <c r="C5" s="119" t="s">
        <v>571</v>
      </c>
      <c r="D5" s="119" t="s">
        <v>572</v>
      </c>
      <c r="E5" s="119" t="s">
        <v>573</v>
      </c>
      <c r="F5" s="119" t="s">
        <v>574</v>
      </c>
    </row>
    <row r="6" spans="1:6" s="7" customFormat="1" ht="12" customHeight="1" x14ac:dyDescent="0.25">
      <c r="A6" s="623" t="s">
        <v>6</v>
      </c>
      <c r="B6" s="623" t="s">
        <v>7</v>
      </c>
      <c r="C6" s="623" t="s">
        <v>8</v>
      </c>
      <c r="D6" s="623" t="s">
        <v>9</v>
      </c>
      <c r="E6" s="623" t="s">
        <v>269</v>
      </c>
      <c r="F6" s="623" t="s">
        <v>479</v>
      </c>
    </row>
    <row r="7" spans="1:6" s="269" customFormat="1" ht="23.25" customHeight="1" x14ac:dyDescent="0.3">
      <c r="A7" s="624" t="s">
        <v>10</v>
      </c>
      <c r="B7" s="625" t="s">
        <v>575</v>
      </c>
      <c r="C7" s="626">
        <f>'1.sz.mell.'!D22</f>
        <v>957891518</v>
      </c>
      <c r="D7" s="626">
        <v>1050000000</v>
      </c>
      <c r="E7" s="626">
        <f t="shared" ref="E7" si="0">D7*110%</f>
        <v>1155000000</v>
      </c>
      <c r="F7" s="626">
        <v>1160000000</v>
      </c>
    </row>
    <row r="8" spans="1:6" s="269" customFormat="1" ht="23.25" customHeight="1" x14ac:dyDescent="0.3">
      <c r="A8" s="624" t="s">
        <v>13</v>
      </c>
      <c r="B8" s="627" t="s">
        <v>576</v>
      </c>
      <c r="C8" s="626">
        <f>'1.sz.mell.'!D31</f>
        <v>50000000</v>
      </c>
      <c r="D8" s="626"/>
      <c r="E8" s="626"/>
      <c r="F8" s="626"/>
    </row>
    <row r="9" spans="1:6" s="269" customFormat="1" ht="23.25" customHeight="1" x14ac:dyDescent="0.3">
      <c r="A9" s="624" t="s">
        <v>16</v>
      </c>
      <c r="B9" s="627" t="s">
        <v>108</v>
      </c>
      <c r="C9" s="626">
        <f>'1.sz.mell.'!D45</f>
        <v>751000000</v>
      </c>
      <c r="D9" s="626">
        <v>780000000</v>
      </c>
      <c r="E9" s="626">
        <v>780000000</v>
      </c>
      <c r="F9" s="626">
        <v>800000000</v>
      </c>
    </row>
    <row r="10" spans="1:6" s="269" customFormat="1" ht="23.25" customHeight="1" x14ac:dyDescent="0.3">
      <c r="A10" s="624" t="s">
        <v>19</v>
      </c>
      <c r="B10" s="627" t="s">
        <v>577</v>
      </c>
      <c r="C10" s="626">
        <f>'1.sz.mell.'!D57</f>
        <v>184636916</v>
      </c>
      <c r="D10" s="626">
        <v>190000000</v>
      </c>
      <c r="E10" s="626">
        <v>193000000</v>
      </c>
      <c r="F10" s="626">
        <v>198000000</v>
      </c>
    </row>
    <row r="11" spans="1:6" s="269" customFormat="1" ht="23.25" customHeight="1" x14ac:dyDescent="0.3">
      <c r="A11" s="624" t="s">
        <v>22</v>
      </c>
      <c r="B11" s="627" t="s">
        <v>458</v>
      </c>
      <c r="C11" s="626">
        <f>'1.sz.mell.'!D63</f>
        <v>2160072</v>
      </c>
      <c r="D11" s="626">
        <v>900030</v>
      </c>
      <c r="E11" s="626"/>
      <c r="F11" s="626"/>
    </row>
    <row r="12" spans="1:6" s="269" customFormat="1" ht="23.25" customHeight="1" x14ac:dyDescent="0.3">
      <c r="A12" s="624" t="s">
        <v>25</v>
      </c>
      <c r="B12" s="627" t="s">
        <v>578</v>
      </c>
      <c r="C12" s="626"/>
      <c r="D12" s="626"/>
      <c r="E12" s="626"/>
      <c r="F12" s="626"/>
    </row>
    <row r="13" spans="1:6" s="269" customFormat="1" ht="23.25" customHeight="1" x14ac:dyDescent="0.3">
      <c r="A13" s="624" t="s">
        <v>28</v>
      </c>
      <c r="B13" s="625" t="s">
        <v>579</v>
      </c>
      <c r="C13" s="626"/>
      <c r="D13" s="626"/>
      <c r="E13" s="626"/>
      <c r="F13" s="626"/>
    </row>
    <row r="14" spans="1:6" s="269" customFormat="1" ht="23.25" customHeight="1" x14ac:dyDescent="0.3">
      <c r="A14" s="624" t="s">
        <v>31</v>
      </c>
      <c r="B14" s="627" t="s">
        <v>743</v>
      </c>
      <c r="C14" s="628">
        <f>SUM(C7:C13)</f>
        <v>1945688506</v>
      </c>
      <c r="D14" s="628">
        <f>SUM(D7:D13)</f>
        <v>2020900030</v>
      </c>
      <c r="E14" s="628">
        <f>SUM(E7:E13)</f>
        <v>2128000000</v>
      </c>
      <c r="F14" s="628">
        <f>SUM(F7:F13)</f>
        <v>2158000000</v>
      </c>
    </row>
    <row r="15" spans="1:6" s="269" customFormat="1" ht="23.25" customHeight="1" x14ac:dyDescent="0.3">
      <c r="A15" s="624" t="s">
        <v>34</v>
      </c>
      <c r="B15" s="627" t="s">
        <v>580</v>
      </c>
      <c r="C15" s="629">
        <f>'1.sz.mell.'!D76</f>
        <v>304494626</v>
      </c>
      <c r="D15" s="629">
        <v>80000000</v>
      </c>
      <c r="E15" s="629">
        <v>10000000</v>
      </c>
      <c r="F15" s="629">
        <v>10000000</v>
      </c>
    </row>
    <row r="16" spans="1:6" s="8" customFormat="1" ht="27" customHeight="1" x14ac:dyDescent="0.3">
      <c r="A16" s="119" t="s">
        <v>37</v>
      </c>
      <c r="B16" s="131" t="s">
        <v>581</v>
      </c>
      <c r="C16" s="132">
        <f>+C14+C15</f>
        <v>2250183132</v>
      </c>
      <c r="D16" s="132">
        <f>+D14+D15</f>
        <v>2100900030</v>
      </c>
      <c r="E16" s="132">
        <f>+E14+E15</f>
        <v>2138000000</v>
      </c>
      <c r="F16" s="132">
        <f>+F14+F15</f>
        <v>2168000000</v>
      </c>
    </row>
    <row r="17" spans="1:7" s="8" customFormat="1" ht="12" customHeight="1" x14ac:dyDescent="0.3">
      <c r="A17" s="174"/>
      <c r="B17" s="175"/>
      <c r="C17" s="176"/>
      <c r="D17" s="177"/>
      <c r="E17" s="177"/>
      <c r="F17" s="178"/>
    </row>
    <row r="18" spans="1:7" s="8" customFormat="1" ht="24" customHeight="1" x14ac:dyDescent="0.3">
      <c r="A18" s="713" t="s">
        <v>515</v>
      </c>
      <c r="B18" s="713"/>
      <c r="C18" s="713"/>
      <c r="D18" s="713"/>
      <c r="E18" s="713"/>
      <c r="F18" s="713"/>
    </row>
    <row r="19" spans="1:7" s="8" customFormat="1" ht="12" customHeight="1" x14ac:dyDescent="0.3">
      <c r="A19" s="787"/>
      <c r="B19" s="787"/>
      <c r="C19" s="12"/>
      <c r="D19" s="140"/>
      <c r="E19" s="140"/>
      <c r="F19" s="3" t="s">
        <v>423</v>
      </c>
    </row>
    <row r="20" spans="1:7" s="8" customFormat="1" ht="31.5" customHeight="1" x14ac:dyDescent="0.3">
      <c r="A20" s="119" t="s">
        <v>2</v>
      </c>
      <c r="B20" s="119" t="s">
        <v>3</v>
      </c>
      <c r="C20" s="119" t="s">
        <v>571</v>
      </c>
      <c r="D20" s="119" t="s">
        <v>572</v>
      </c>
      <c r="E20" s="119" t="s">
        <v>573</v>
      </c>
      <c r="F20" s="119" t="s">
        <v>574</v>
      </c>
      <c r="G20" s="179"/>
    </row>
    <row r="21" spans="1:7" s="8" customFormat="1" ht="12" customHeight="1" x14ac:dyDescent="0.3">
      <c r="A21" s="623" t="s">
        <v>6</v>
      </c>
      <c r="B21" s="623" t="s">
        <v>7</v>
      </c>
      <c r="C21" s="623" t="s">
        <v>8</v>
      </c>
      <c r="D21" s="623" t="s">
        <v>9</v>
      </c>
      <c r="E21" s="623" t="s">
        <v>269</v>
      </c>
      <c r="F21" s="623" t="s">
        <v>479</v>
      </c>
      <c r="G21" s="179"/>
    </row>
    <row r="22" spans="1:7" s="8" customFormat="1" ht="23.25" customHeight="1" x14ac:dyDescent="0.3">
      <c r="A22" s="401" t="s">
        <v>10</v>
      </c>
      <c r="B22" s="630" t="s">
        <v>582</v>
      </c>
      <c r="C22" s="361">
        <f>'1.sz.mell.'!D96</f>
        <v>2004505223</v>
      </c>
      <c r="D22" s="361">
        <v>2050521569</v>
      </c>
      <c r="E22" s="361">
        <v>2086215320</v>
      </c>
      <c r="F22" s="361">
        <v>2128000000</v>
      </c>
      <c r="G22" s="179"/>
    </row>
    <row r="23" spans="1:7" ht="23.25" customHeight="1" x14ac:dyDescent="0.35">
      <c r="A23" s="401" t="s">
        <v>13</v>
      </c>
      <c r="B23" s="561" t="s">
        <v>583</v>
      </c>
      <c r="C23" s="373">
        <f>+C24+C25+C26</f>
        <v>191315071</v>
      </c>
      <c r="D23" s="373">
        <f>+D24+D25+D26</f>
        <v>25000000</v>
      </c>
      <c r="E23" s="373">
        <f>+E24+E25+E26</f>
        <v>50000000</v>
      </c>
      <c r="F23" s="373">
        <f>+F24+F25+F26</f>
        <v>40000000</v>
      </c>
    </row>
    <row r="24" spans="1:7" ht="23.25" customHeight="1" x14ac:dyDescent="0.35">
      <c r="A24" s="383" t="s">
        <v>584</v>
      </c>
      <c r="B24" s="401" t="s">
        <v>231</v>
      </c>
      <c r="C24" s="361">
        <f>'1.sz.mell.'!D97</f>
        <v>62504500</v>
      </c>
      <c r="D24" s="361">
        <v>10000000</v>
      </c>
      <c r="E24" s="361">
        <v>20000000</v>
      </c>
      <c r="F24" s="361">
        <v>20000000</v>
      </c>
    </row>
    <row r="25" spans="1:7" ht="23.25" customHeight="1" x14ac:dyDescent="0.35">
      <c r="A25" s="383" t="s">
        <v>585</v>
      </c>
      <c r="B25" s="401" t="s">
        <v>233</v>
      </c>
      <c r="C25" s="361">
        <f>'1.sz.mell.'!D98</f>
        <v>123810571</v>
      </c>
      <c r="D25" s="361">
        <v>10000000</v>
      </c>
      <c r="E25" s="361">
        <v>25000000</v>
      </c>
      <c r="F25" s="361">
        <v>15000000</v>
      </c>
    </row>
    <row r="26" spans="1:7" ht="23.25" customHeight="1" x14ac:dyDescent="0.35">
      <c r="A26" s="383" t="s">
        <v>586</v>
      </c>
      <c r="B26" s="631" t="s">
        <v>235</v>
      </c>
      <c r="C26" s="361">
        <f>'1.sz.mell.'!D99</f>
        <v>5000000</v>
      </c>
      <c r="D26" s="361">
        <v>5000000</v>
      </c>
      <c r="E26" s="361">
        <v>5000000</v>
      </c>
      <c r="F26" s="361">
        <v>5000000</v>
      </c>
    </row>
    <row r="27" spans="1:7" ht="23.25" customHeight="1" x14ac:dyDescent="0.35">
      <c r="A27" s="401" t="s">
        <v>16</v>
      </c>
      <c r="B27" s="564" t="s">
        <v>587</v>
      </c>
      <c r="C27" s="385">
        <f>+C22+C23</f>
        <v>2195820294</v>
      </c>
      <c r="D27" s="385">
        <f>+D22+D23</f>
        <v>2075521569</v>
      </c>
      <c r="E27" s="385">
        <f>+E22+E23</f>
        <v>2136215320</v>
      </c>
      <c r="F27" s="385">
        <f>+F22+F23</f>
        <v>2168000000</v>
      </c>
    </row>
    <row r="28" spans="1:7" ht="23.25" customHeight="1" x14ac:dyDescent="0.35">
      <c r="A28" s="401" t="s">
        <v>19</v>
      </c>
      <c r="B28" s="564" t="s">
        <v>588</v>
      </c>
      <c r="C28" s="632">
        <f>'1.sz.mell.'!D112</f>
        <v>54362838</v>
      </c>
      <c r="D28" s="632">
        <v>25378461</v>
      </c>
      <c r="E28" s="632">
        <v>1784680</v>
      </c>
      <c r="F28" s="632"/>
      <c r="G28" s="10"/>
    </row>
    <row r="29" spans="1:7" s="8" customFormat="1" ht="23.25" customHeight="1" x14ac:dyDescent="0.3">
      <c r="A29" s="404" t="s">
        <v>22</v>
      </c>
      <c r="B29" s="404" t="s">
        <v>589</v>
      </c>
      <c r="C29" s="403">
        <f>+C27+C28</f>
        <v>2250183132</v>
      </c>
      <c r="D29" s="403">
        <f>+D27+D28</f>
        <v>2100900030</v>
      </c>
      <c r="E29" s="403">
        <f>+E27+E28</f>
        <v>2138000000</v>
      </c>
      <c r="F29" s="403">
        <f>+F27+F28</f>
        <v>2168000000</v>
      </c>
    </row>
    <row r="30" spans="1:7" x14ac:dyDescent="0.35">
      <c r="C30" s="11"/>
    </row>
    <row r="31" spans="1:7" x14ac:dyDescent="0.35">
      <c r="C31" s="11"/>
    </row>
    <row r="32" spans="1:7" x14ac:dyDescent="0.35">
      <c r="C32" s="11"/>
    </row>
    <row r="33" spans="3:8" ht="16.5" customHeight="1" x14ac:dyDescent="0.35">
      <c r="C33" s="11"/>
    </row>
    <row r="34" spans="3:8" x14ac:dyDescent="0.35">
      <c r="C34" s="11"/>
    </row>
    <row r="35" spans="3:8" x14ac:dyDescent="0.35">
      <c r="C35" s="11"/>
    </row>
    <row r="36" spans="3:8" s="11" customFormat="1" x14ac:dyDescent="0.35">
      <c r="G36" s="1"/>
      <c r="H36" s="1"/>
    </row>
    <row r="37" spans="3:8" s="11" customFormat="1" x14ac:dyDescent="0.35">
      <c r="G37" s="1"/>
      <c r="H37" s="1"/>
    </row>
    <row r="38" spans="3:8" s="11" customFormat="1" x14ac:dyDescent="0.35">
      <c r="G38" s="1"/>
      <c r="H38" s="1"/>
    </row>
    <row r="39" spans="3:8" s="11" customFormat="1" x14ac:dyDescent="0.35">
      <c r="G39" s="1"/>
      <c r="H39" s="1"/>
    </row>
    <row r="40" spans="3:8" s="11" customFormat="1" x14ac:dyDescent="0.35">
      <c r="G40" s="1"/>
      <c r="H40" s="1"/>
    </row>
    <row r="41" spans="3:8" s="11" customFormat="1" x14ac:dyDescent="0.35">
      <c r="G41" s="1"/>
      <c r="H41" s="1"/>
    </row>
    <row r="42" spans="3:8" s="11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16/2017.(IX.04.)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Layout" topLeftCell="D1" zoomScaleNormal="100" workbookViewId="0">
      <selection activeCell="E5" sqref="E5"/>
    </sheetView>
  </sheetViews>
  <sheetFormatPr defaultColWidth="9.296875" defaultRowHeight="14" x14ac:dyDescent="0.3"/>
  <cols>
    <col min="1" max="1" width="41.296875" style="150" customWidth="1"/>
    <col min="2" max="2" width="19.69921875" style="150" customWidth="1"/>
    <col min="3" max="3" width="16.69921875" style="150" customWidth="1"/>
    <col min="4" max="9" width="16" style="150" customWidth="1"/>
    <col min="10" max="10" width="17.796875" style="150" customWidth="1"/>
    <col min="11" max="16384" width="9.296875" style="150"/>
  </cols>
  <sheetData>
    <row r="1" spans="1:10" ht="56.25" customHeight="1" x14ac:dyDescent="0.3">
      <c r="A1" s="788" t="s">
        <v>652</v>
      </c>
      <c r="B1" s="788"/>
      <c r="C1" s="788"/>
      <c r="D1" s="788"/>
      <c r="E1" s="788"/>
      <c r="F1" s="788"/>
      <c r="G1" s="788"/>
      <c r="H1" s="788"/>
      <c r="I1" s="788"/>
    </row>
    <row r="2" spans="1:10" ht="18.75" customHeight="1" x14ac:dyDescent="0.3">
      <c r="A2" s="151"/>
      <c r="B2" s="151"/>
      <c r="C2" s="151"/>
      <c r="D2" s="151"/>
      <c r="E2" s="151"/>
      <c r="F2" s="151"/>
      <c r="G2" s="151"/>
      <c r="H2" s="151"/>
      <c r="I2" s="151"/>
    </row>
    <row r="3" spans="1:10" x14ac:dyDescent="0.3">
      <c r="A3" s="152"/>
      <c r="B3" s="152"/>
      <c r="C3" s="152"/>
      <c r="D3" s="152"/>
      <c r="E3" s="152"/>
      <c r="F3" s="152"/>
      <c r="G3" s="152"/>
      <c r="H3" s="789" t="s">
        <v>1</v>
      </c>
      <c r="I3" s="789"/>
    </row>
    <row r="4" spans="1:10" s="153" customFormat="1" ht="71.25" customHeight="1" x14ac:dyDescent="0.3">
      <c r="A4" s="790" t="s">
        <v>550</v>
      </c>
      <c r="B4" s="790" t="s">
        <v>551</v>
      </c>
      <c r="C4" s="790" t="s">
        <v>552</v>
      </c>
      <c r="D4" s="790" t="s">
        <v>553</v>
      </c>
      <c r="E4" s="790"/>
      <c r="F4" s="790" t="s">
        <v>554</v>
      </c>
      <c r="G4" s="790"/>
      <c r="H4" s="790" t="s">
        <v>555</v>
      </c>
      <c r="I4" s="790"/>
    </row>
    <row r="5" spans="1:10" s="154" customFormat="1" x14ac:dyDescent="0.3">
      <c r="A5" s="790"/>
      <c r="B5" s="790"/>
      <c r="C5" s="790"/>
      <c r="D5" s="633" t="s">
        <v>556</v>
      </c>
      <c r="E5" s="633" t="s">
        <v>557</v>
      </c>
      <c r="F5" s="633" t="s">
        <v>556</v>
      </c>
      <c r="G5" s="633" t="s">
        <v>557</v>
      </c>
      <c r="H5" s="633" t="s">
        <v>556</v>
      </c>
      <c r="I5" s="633" t="s">
        <v>557</v>
      </c>
    </row>
    <row r="6" spans="1:10" ht="56" x14ac:dyDescent="0.3">
      <c r="A6" s="634" t="s">
        <v>605</v>
      </c>
      <c r="B6" s="635">
        <v>72959000</v>
      </c>
      <c r="C6" s="636" t="s">
        <v>558</v>
      </c>
      <c r="D6" s="635">
        <v>18239752</v>
      </c>
      <c r="E6" s="635">
        <v>1094385</v>
      </c>
      <c r="F6" s="635">
        <v>18239744</v>
      </c>
      <c r="G6" s="635">
        <v>660668</v>
      </c>
      <c r="H6" s="635">
        <v>0</v>
      </c>
      <c r="I6" s="635">
        <v>0</v>
      </c>
    </row>
    <row r="7" spans="1:10" s="156" customFormat="1" ht="56" x14ac:dyDescent="0.3">
      <c r="A7" s="634" t="s">
        <v>606</v>
      </c>
      <c r="B7" s="635">
        <v>23200831</v>
      </c>
      <c r="C7" s="636" t="s">
        <v>559</v>
      </c>
      <c r="D7" s="635">
        <f>7138717-1380531</f>
        <v>5758186</v>
      </c>
      <c r="E7" s="635">
        <v>853103</v>
      </c>
      <c r="F7" s="635">
        <v>7138717</v>
      </c>
      <c r="G7" s="635">
        <v>329700</v>
      </c>
      <c r="H7" s="635">
        <v>1784680</v>
      </c>
      <c r="I7" s="635">
        <f>H7*0.05</f>
        <v>89234</v>
      </c>
      <c r="J7" s="155"/>
    </row>
    <row r="8" spans="1:10" s="158" customFormat="1" ht="26.25" customHeight="1" x14ac:dyDescent="0.3">
      <c r="A8" s="212" t="s">
        <v>408</v>
      </c>
      <c r="B8" s="637">
        <f>SUM(B6:B7)</f>
        <v>96159831</v>
      </c>
      <c r="C8" s="157"/>
      <c r="D8" s="637">
        <f t="shared" ref="D8:I8" si="0">SUM(D6:D7)</f>
        <v>23997938</v>
      </c>
      <c r="E8" s="637">
        <f t="shared" si="0"/>
        <v>1947488</v>
      </c>
      <c r="F8" s="637">
        <f t="shared" si="0"/>
        <v>25378461</v>
      </c>
      <c r="G8" s="637">
        <f t="shared" si="0"/>
        <v>990368</v>
      </c>
      <c r="H8" s="637">
        <f t="shared" si="0"/>
        <v>1784680</v>
      </c>
      <c r="I8" s="637">
        <f t="shared" si="0"/>
        <v>89234</v>
      </c>
    </row>
    <row r="9" spans="1:10" x14ac:dyDescent="0.3">
      <c r="A9" s="152"/>
      <c r="B9" s="152"/>
      <c r="C9" s="152"/>
      <c r="D9" s="152"/>
      <c r="E9" s="152"/>
      <c r="F9" s="152"/>
      <c r="G9" s="152"/>
      <c r="H9" s="152"/>
      <c r="I9" s="152"/>
    </row>
    <row r="10" spans="1:10" x14ac:dyDescent="0.3">
      <c r="A10" s="152"/>
      <c r="B10" s="152"/>
      <c r="C10" s="152"/>
      <c r="D10" s="152"/>
      <c r="E10" s="152"/>
      <c r="F10" s="152"/>
      <c r="G10" s="152"/>
      <c r="H10" s="152"/>
      <c r="I10" s="152"/>
    </row>
    <row r="11" spans="1:10" x14ac:dyDescent="0.3">
      <c r="A11" s="152"/>
      <c r="B11" s="152"/>
      <c r="C11" s="152"/>
      <c r="D11" s="152"/>
      <c r="E11" s="152"/>
      <c r="F11" s="152"/>
      <c r="G11" s="152"/>
      <c r="H11" s="152"/>
      <c r="I11" s="152"/>
    </row>
    <row r="12" spans="1:10" x14ac:dyDescent="0.3">
      <c r="A12" s="152"/>
      <c r="B12" s="152"/>
      <c r="C12" s="152"/>
      <c r="D12" s="152"/>
      <c r="E12" s="152"/>
      <c r="F12" s="152"/>
      <c r="G12" s="152"/>
      <c r="H12" s="152"/>
      <c r="I12" s="152"/>
    </row>
    <row r="13" spans="1:10" x14ac:dyDescent="0.3">
      <c r="A13" s="152"/>
      <c r="B13" s="152"/>
      <c r="C13" s="152"/>
      <c r="D13" s="152"/>
      <c r="E13" s="152"/>
      <c r="F13" s="152"/>
      <c r="G13" s="152"/>
      <c r="H13" s="152"/>
      <c r="I13" s="152"/>
    </row>
    <row r="14" spans="1:10" x14ac:dyDescent="0.3">
      <c r="A14" s="152"/>
      <c r="B14" s="152"/>
      <c r="C14" s="152"/>
      <c r="D14" s="152"/>
      <c r="E14" s="152"/>
      <c r="F14" s="152"/>
      <c r="G14" s="152"/>
      <c r="H14" s="152"/>
      <c r="I14" s="152"/>
    </row>
    <row r="15" spans="1:10" x14ac:dyDescent="0.3">
      <c r="A15" s="152"/>
      <c r="B15" s="152"/>
      <c r="C15" s="152"/>
      <c r="D15" s="152"/>
      <c r="E15" s="152"/>
      <c r="F15" s="152"/>
      <c r="G15" s="152"/>
      <c r="H15" s="152"/>
      <c r="I15" s="152"/>
    </row>
    <row r="16" spans="1:10" x14ac:dyDescent="0.3">
      <c r="A16" s="152"/>
      <c r="B16" s="152"/>
      <c r="C16" s="152"/>
      <c r="D16" s="152"/>
      <c r="E16" s="152"/>
      <c r="F16" s="152"/>
      <c r="G16" s="152"/>
      <c r="H16" s="152"/>
      <c r="I16" s="152"/>
    </row>
    <row r="17" spans="1:9" x14ac:dyDescent="0.3">
      <c r="A17" s="152"/>
      <c r="B17" s="152"/>
      <c r="C17" s="152"/>
      <c r="D17" s="152"/>
      <c r="E17" s="152"/>
      <c r="F17" s="152"/>
      <c r="G17" s="152"/>
      <c r="H17" s="152"/>
      <c r="I17" s="152"/>
    </row>
    <row r="18" spans="1:9" x14ac:dyDescent="0.3">
      <c r="A18" s="152"/>
      <c r="B18" s="152"/>
      <c r="C18" s="152"/>
      <c r="D18" s="152"/>
      <c r="E18" s="152"/>
      <c r="F18" s="152"/>
      <c r="G18" s="152"/>
      <c r="H18" s="152"/>
      <c r="I18" s="152"/>
    </row>
    <row r="19" spans="1:9" x14ac:dyDescent="0.3">
      <c r="A19" s="152"/>
      <c r="B19" s="152"/>
      <c r="C19" s="152"/>
      <c r="D19" s="152"/>
      <c r="E19" s="152"/>
      <c r="F19" s="152"/>
      <c r="G19" s="152"/>
      <c r="H19" s="152"/>
      <c r="I19" s="152"/>
    </row>
    <row r="20" spans="1:9" x14ac:dyDescent="0.3">
      <c r="A20" s="152"/>
      <c r="B20" s="152"/>
      <c r="C20" s="152"/>
      <c r="D20" s="152"/>
      <c r="E20" s="152"/>
      <c r="F20" s="152"/>
      <c r="G20" s="152"/>
      <c r="H20" s="152"/>
      <c r="I20" s="152"/>
    </row>
    <row r="21" spans="1:9" x14ac:dyDescent="0.3">
      <c r="A21" s="152"/>
      <c r="B21" s="152"/>
      <c r="C21" s="152"/>
      <c r="D21" s="152"/>
      <c r="E21" s="152"/>
      <c r="F21" s="152"/>
      <c r="G21" s="152"/>
      <c r="H21" s="152"/>
      <c r="I21" s="152"/>
    </row>
    <row r="22" spans="1:9" x14ac:dyDescent="0.3">
      <c r="A22" s="152"/>
      <c r="B22" s="152"/>
      <c r="C22" s="152"/>
      <c r="D22" s="152"/>
      <c r="E22" s="152"/>
      <c r="F22" s="152"/>
      <c r="G22" s="152"/>
      <c r="H22" s="152"/>
      <c r="I22" s="152"/>
    </row>
    <row r="23" spans="1:9" x14ac:dyDescent="0.3">
      <c r="A23" s="152"/>
      <c r="B23" s="152"/>
      <c r="C23" s="152"/>
      <c r="D23" s="152"/>
      <c r="E23" s="152"/>
      <c r="F23" s="152"/>
      <c r="G23" s="152"/>
      <c r="H23" s="152"/>
      <c r="I23" s="152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16/2017.(IX.04.)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E5" sqref="E5"/>
    </sheetView>
  </sheetViews>
  <sheetFormatPr defaultColWidth="9.296875" defaultRowHeight="14" x14ac:dyDescent="0.3"/>
  <cols>
    <col min="1" max="1" width="8" style="192" customWidth="1"/>
    <col min="2" max="2" width="86.19921875" style="192" customWidth="1"/>
    <col min="3" max="3" width="21.5" style="192" customWidth="1"/>
    <col min="4" max="16384" width="9.296875" style="192"/>
  </cols>
  <sheetData>
    <row r="1" spans="1:3" s="191" customFormat="1" ht="60" customHeight="1" x14ac:dyDescent="0.3">
      <c r="A1" s="791" t="s">
        <v>653</v>
      </c>
      <c r="B1" s="791"/>
      <c r="C1" s="791"/>
    </row>
    <row r="2" spans="1:3" x14ac:dyDescent="0.3">
      <c r="C2" s="213" t="s">
        <v>1</v>
      </c>
    </row>
    <row r="3" spans="1:3" ht="33.75" customHeight="1" x14ac:dyDescent="0.3">
      <c r="A3" s="638" t="s">
        <v>614</v>
      </c>
      <c r="B3" s="221" t="s">
        <v>267</v>
      </c>
      <c r="C3" s="221" t="s">
        <v>437</v>
      </c>
    </row>
    <row r="4" spans="1:3" ht="22.5" customHeight="1" x14ac:dyDescent="0.3">
      <c r="A4" s="639" t="s">
        <v>10</v>
      </c>
      <c r="B4" s="640" t="s">
        <v>707</v>
      </c>
      <c r="C4" s="641">
        <f>'9.sz.mell.'!D45-2000000</f>
        <v>749000000</v>
      </c>
    </row>
    <row r="5" spans="1:3" ht="22.5" customHeight="1" x14ac:dyDescent="0.3">
      <c r="A5" s="639" t="s">
        <v>13</v>
      </c>
      <c r="B5" s="640" t="s">
        <v>708</v>
      </c>
      <c r="C5" s="641">
        <v>29559542</v>
      </c>
    </row>
    <row r="6" spans="1:3" ht="22.5" customHeight="1" x14ac:dyDescent="0.3">
      <c r="A6" s="639" t="s">
        <v>16</v>
      </c>
      <c r="B6" s="640" t="s">
        <v>709</v>
      </c>
      <c r="C6" s="641"/>
    </row>
    <row r="7" spans="1:3" ht="31.5" customHeight="1" x14ac:dyDescent="0.3">
      <c r="A7" s="639" t="s">
        <v>19</v>
      </c>
      <c r="B7" s="640" t="s">
        <v>710</v>
      </c>
      <c r="C7" s="641">
        <v>2160072</v>
      </c>
    </row>
    <row r="8" spans="1:3" ht="22.5" customHeight="1" x14ac:dyDescent="0.3">
      <c r="A8" s="639" t="s">
        <v>22</v>
      </c>
      <c r="B8" s="640" t="s">
        <v>711</v>
      </c>
      <c r="C8" s="641">
        <v>2000000</v>
      </c>
    </row>
    <row r="9" spans="1:3" ht="28.5" customHeight="1" x14ac:dyDescent="0.3">
      <c r="A9" s="639" t="s">
        <v>25</v>
      </c>
      <c r="B9" s="640" t="s">
        <v>712</v>
      </c>
      <c r="C9" s="641"/>
    </row>
    <row r="10" spans="1:3" s="191" customFormat="1" ht="22.5" customHeight="1" x14ac:dyDescent="0.3">
      <c r="A10" s="221" t="s">
        <v>28</v>
      </c>
      <c r="B10" s="642" t="s">
        <v>713</v>
      </c>
      <c r="C10" s="643">
        <f>SUM(C4:C9)</f>
        <v>782719614</v>
      </c>
    </row>
    <row r="11" spans="1:3" s="191" customFormat="1" ht="22.5" customHeight="1" x14ac:dyDescent="0.3">
      <c r="A11" s="639" t="s">
        <v>31</v>
      </c>
      <c r="B11" s="642" t="s">
        <v>714</v>
      </c>
      <c r="C11" s="643">
        <f t="shared" ref="C11" si="0">C10/2</f>
        <v>391359807</v>
      </c>
    </row>
    <row r="12" spans="1:3" s="191" customFormat="1" ht="27" customHeight="1" x14ac:dyDescent="0.3">
      <c r="A12" s="639" t="s">
        <v>34</v>
      </c>
      <c r="B12" s="640" t="s">
        <v>715</v>
      </c>
      <c r="C12" s="641">
        <v>23997938</v>
      </c>
    </row>
    <row r="13" spans="1:3" ht="34.5" customHeight="1" x14ac:dyDescent="0.3">
      <c r="A13" s="639" t="s">
        <v>37</v>
      </c>
      <c r="B13" s="640" t="s">
        <v>716</v>
      </c>
      <c r="C13" s="641"/>
    </row>
    <row r="14" spans="1:3" ht="34.5" customHeight="1" x14ac:dyDescent="0.3">
      <c r="A14" s="639" t="s">
        <v>39</v>
      </c>
      <c r="B14" s="640" t="s">
        <v>717</v>
      </c>
      <c r="C14" s="641"/>
    </row>
    <row r="15" spans="1:3" ht="34.5" customHeight="1" x14ac:dyDescent="0.3">
      <c r="A15" s="639" t="s">
        <v>41</v>
      </c>
      <c r="B15" s="640" t="s">
        <v>718</v>
      </c>
      <c r="C15" s="641"/>
    </row>
    <row r="16" spans="1:3" ht="34.5" customHeight="1" x14ac:dyDescent="0.3">
      <c r="A16" s="639" t="s">
        <v>43</v>
      </c>
      <c r="B16" s="640" t="s">
        <v>719</v>
      </c>
      <c r="C16" s="641"/>
    </row>
    <row r="17" spans="1:3" ht="34.5" customHeight="1" x14ac:dyDescent="0.3">
      <c r="A17" s="639" t="s">
        <v>45</v>
      </c>
      <c r="B17" s="640" t="s">
        <v>720</v>
      </c>
      <c r="C17" s="641"/>
    </row>
    <row r="18" spans="1:3" ht="34.5" customHeight="1" x14ac:dyDescent="0.3">
      <c r="A18" s="639" t="s">
        <v>47</v>
      </c>
      <c r="B18" s="640" t="s">
        <v>721</v>
      </c>
      <c r="C18" s="641"/>
    </row>
    <row r="19" spans="1:3" ht="34.5" customHeight="1" x14ac:dyDescent="0.3">
      <c r="A19" s="639" t="s">
        <v>49</v>
      </c>
      <c r="B19" s="642" t="s">
        <v>722</v>
      </c>
      <c r="C19" s="641">
        <f>SUM(C12:C18)</f>
        <v>23997938</v>
      </c>
    </row>
    <row r="20" spans="1:3" s="191" customFormat="1" ht="24" customHeight="1" x14ac:dyDescent="0.3">
      <c r="A20" s="639" t="s">
        <v>51</v>
      </c>
      <c r="B20" s="642" t="s">
        <v>723</v>
      </c>
      <c r="C20" s="644">
        <f>C11-C19</f>
        <v>367361869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16/2017.(IX.04.)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view="pageLayout" zoomScaleNormal="100" workbookViewId="0">
      <selection activeCell="E5" sqref="E5"/>
    </sheetView>
  </sheetViews>
  <sheetFormatPr defaultRowHeight="14.5" x14ac:dyDescent="0.35"/>
  <cols>
    <col min="1" max="1" width="7.296875" style="193" customWidth="1"/>
    <col min="2" max="2" width="45.19921875" style="193" customWidth="1"/>
    <col min="3" max="5" width="22.796875" style="200" customWidth="1"/>
    <col min="6" max="6" width="9.296875" style="193"/>
    <col min="7" max="7" width="12.796875" style="193" bestFit="1" customWidth="1"/>
    <col min="8" max="256" width="9.296875" style="193"/>
    <col min="257" max="257" width="5" style="193" customWidth="1"/>
    <col min="258" max="258" width="76.296875" style="193" customWidth="1"/>
    <col min="259" max="259" width="17.19921875" style="193" customWidth="1"/>
    <col min="260" max="260" width="19.19921875" style="193" customWidth="1"/>
    <col min="261" max="261" width="17.19921875" style="193" customWidth="1"/>
    <col min="262" max="262" width="9.296875" style="193"/>
    <col min="263" max="263" width="12.796875" style="193" bestFit="1" customWidth="1"/>
    <col min="264" max="512" width="9.296875" style="193"/>
    <col min="513" max="513" width="5" style="193" customWidth="1"/>
    <col min="514" max="514" width="76.296875" style="193" customWidth="1"/>
    <col min="515" max="515" width="17.19921875" style="193" customWidth="1"/>
    <col min="516" max="516" width="19.19921875" style="193" customWidth="1"/>
    <col min="517" max="517" width="17.19921875" style="193" customWidth="1"/>
    <col min="518" max="518" width="9.296875" style="193"/>
    <col min="519" max="519" width="12.796875" style="193" bestFit="1" customWidth="1"/>
    <col min="520" max="768" width="9.296875" style="193"/>
    <col min="769" max="769" width="5" style="193" customWidth="1"/>
    <col min="770" max="770" width="76.296875" style="193" customWidth="1"/>
    <col min="771" max="771" width="17.19921875" style="193" customWidth="1"/>
    <col min="772" max="772" width="19.19921875" style="193" customWidth="1"/>
    <col min="773" max="773" width="17.19921875" style="193" customWidth="1"/>
    <col min="774" max="774" width="9.296875" style="193"/>
    <col min="775" max="775" width="12.796875" style="193" bestFit="1" customWidth="1"/>
    <col min="776" max="1024" width="9.296875" style="193"/>
    <col min="1025" max="1025" width="5" style="193" customWidth="1"/>
    <col min="1026" max="1026" width="76.296875" style="193" customWidth="1"/>
    <col min="1027" max="1027" width="17.19921875" style="193" customWidth="1"/>
    <col min="1028" max="1028" width="19.19921875" style="193" customWidth="1"/>
    <col min="1029" max="1029" width="17.19921875" style="193" customWidth="1"/>
    <col min="1030" max="1030" width="9.296875" style="193"/>
    <col min="1031" max="1031" width="12.796875" style="193" bestFit="1" customWidth="1"/>
    <col min="1032" max="1280" width="9.296875" style="193"/>
    <col min="1281" max="1281" width="5" style="193" customWidth="1"/>
    <col min="1282" max="1282" width="76.296875" style="193" customWidth="1"/>
    <col min="1283" max="1283" width="17.19921875" style="193" customWidth="1"/>
    <col min="1284" max="1284" width="19.19921875" style="193" customWidth="1"/>
    <col min="1285" max="1285" width="17.19921875" style="193" customWidth="1"/>
    <col min="1286" max="1286" width="9.296875" style="193"/>
    <col min="1287" max="1287" width="12.796875" style="193" bestFit="1" customWidth="1"/>
    <col min="1288" max="1536" width="9.296875" style="193"/>
    <col min="1537" max="1537" width="5" style="193" customWidth="1"/>
    <col min="1538" max="1538" width="76.296875" style="193" customWidth="1"/>
    <col min="1539" max="1539" width="17.19921875" style="193" customWidth="1"/>
    <col min="1540" max="1540" width="19.19921875" style="193" customWidth="1"/>
    <col min="1541" max="1541" width="17.19921875" style="193" customWidth="1"/>
    <col min="1542" max="1542" width="9.296875" style="193"/>
    <col min="1543" max="1543" width="12.796875" style="193" bestFit="1" customWidth="1"/>
    <col min="1544" max="1792" width="9.296875" style="193"/>
    <col min="1793" max="1793" width="5" style="193" customWidth="1"/>
    <col min="1794" max="1794" width="76.296875" style="193" customWidth="1"/>
    <col min="1795" max="1795" width="17.19921875" style="193" customWidth="1"/>
    <col min="1796" max="1796" width="19.19921875" style="193" customWidth="1"/>
    <col min="1797" max="1797" width="17.19921875" style="193" customWidth="1"/>
    <col min="1798" max="1798" width="9.296875" style="193"/>
    <col min="1799" max="1799" width="12.796875" style="193" bestFit="1" customWidth="1"/>
    <col min="1800" max="2048" width="9.296875" style="193"/>
    <col min="2049" max="2049" width="5" style="193" customWidth="1"/>
    <col min="2050" max="2050" width="76.296875" style="193" customWidth="1"/>
    <col min="2051" max="2051" width="17.19921875" style="193" customWidth="1"/>
    <col min="2052" max="2052" width="19.19921875" style="193" customWidth="1"/>
    <col min="2053" max="2053" width="17.19921875" style="193" customWidth="1"/>
    <col min="2054" max="2054" width="9.296875" style="193"/>
    <col min="2055" max="2055" width="12.796875" style="193" bestFit="1" customWidth="1"/>
    <col min="2056" max="2304" width="9.296875" style="193"/>
    <col min="2305" max="2305" width="5" style="193" customWidth="1"/>
    <col min="2306" max="2306" width="76.296875" style="193" customWidth="1"/>
    <col min="2307" max="2307" width="17.19921875" style="193" customWidth="1"/>
    <col min="2308" max="2308" width="19.19921875" style="193" customWidth="1"/>
    <col min="2309" max="2309" width="17.19921875" style="193" customWidth="1"/>
    <col min="2310" max="2310" width="9.296875" style="193"/>
    <col min="2311" max="2311" width="12.796875" style="193" bestFit="1" customWidth="1"/>
    <col min="2312" max="2560" width="9.296875" style="193"/>
    <col min="2561" max="2561" width="5" style="193" customWidth="1"/>
    <col min="2562" max="2562" width="76.296875" style="193" customWidth="1"/>
    <col min="2563" max="2563" width="17.19921875" style="193" customWidth="1"/>
    <col min="2564" max="2564" width="19.19921875" style="193" customWidth="1"/>
    <col min="2565" max="2565" width="17.19921875" style="193" customWidth="1"/>
    <col min="2566" max="2566" width="9.296875" style="193"/>
    <col min="2567" max="2567" width="12.796875" style="193" bestFit="1" customWidth="1"/>
    <col min="2568" max="2816" width="9.296875" style="193"/>
    <col min="2817" max="2817" width="5" style="193" customWidth="1"/>
    <col min="2818" max="2818" width="76.296875" style="193" customWidth="1"/>
    <col min="2819" max="2819" width="17.19921875" style="193" customWidth="1"/>
    <col min="2820" max="2820" width="19.19921875" style="193" customWidth="1"/>
    <col min="2821" max="2821" width="17.19921875" style="193" customWidth="1"/>
    <col min="2822" max="2822" width="9.296875" style="193"/>
    <col min="2823" max="2823" width="12.796875" style="193" bestFit="1" customWidth="1"/>
    <col min="2824" max="3072" width="9.296875" style="193"/>
    <col min="3073" max="3073" width="5" style="193" customWidth="1"/>
    <col min="3074" max="3074" width="76.296875" style="193" customWidth="1"/>
    <col min="3075" max="3075" width="17.19921875" style="193" customWidth="1"/>
    <col min="3076" max="3076" width="19.19921875" style="193" customWidth="1"/>
    <col min="3077" max="3077" width="17.19921875" style="193" customWidth="1"/>
    <col min="3078" max="3078" width="9.296875" style="193"/>
    <col min="3079" max="3079" width="12.796875" style="193" bestFit="1" customWidth="1"/>
    <col min="3080" max="3328" width="9.296875" style="193"/>
    <col min="3329" max="3329" width="5" style="193" customWidth="1"/>
    <col min="3330" max="3330" width="76.296875" style="193" customWidth="1"/>
    <col min="3331" max="3331" width="17.19921875" style="193" customWidth="1"/>
    <col min="3332" max="3332" width="19.19921875" style="193" customWidth="1"/>
    <col min="3333" max="3333" width="17.19921875" style="193" customWidth="1"/>
    <col min="3334" max="3334" width="9.296875" style="193"/>
    <col min="3335" max="3335" width="12.796875" style="193" bestFit="1" customWidth="1"/>
    <col min="3336" max="3584" width="9.296875" style="193"/>
    <col min="3585" max="3585" width="5" style="193" customWidth="1"/>
    <col min="3586" max="3586" width="76.296875" style="193" customWidth="1"/>
    <col min="3587" max="3587" width="17.19921875" style="193" customWidth="1"/>
    <col min="3588" max="3588" width="19.19921875" style="193" customWidth="1"/>
    <col min="3589" max="3589" width="17.19921875" style="193" customWidth="1"/>
    <col min="3590" max="3590" width="9.296875" style="193"/>
    <col min="3591" max="3591" width="12.796875" style="193" bestFit="1" customWidth="1"/>
    <col min="3592" max="3840" width="9.296875" style="193"/>
    <col min="3841" max="3841" width="5" style="193" customWidth="1"/>
    <col min="3842" max="3842" width="76.296875" style="193" customWidth="1"/>
    <col min="3843" max="3843" width="17.19921875" style="193" customWidth="1"/>
    <col min="3844" max="3844" width="19.19921875" style="193" customWidth="1"/>
    <col min="3845" max="3845" width="17.19921875" style="193" customWidth="1"/>
    <col min="3846" max="3846" width="9.296875" style="193"/>
    <col min="3847" max="3847" width="12.796875" style="193" bestFit="1" customWidth="1"/>
    <col min="3848" max="4096" width="9.296875" style="193"/>
    <col min="4097" max="4097" width="5" style="193" customWidth="1"/>
    <col min="4098" max="4098" width="76.296875" style="193" customWidth="1"/>
    <col min="4099" max="4099" width="17.19921875" style="193" customWidth="1"/>
    <col min="4100" max="4100" width="19.19921875" style="193" customWidth="1"/>
    <col min="4101" max="4101" width="17.19921875" style="193" customWidth="1"/>
    <col min="4102" max="4102" width="9.296875" style="193"/>
    <col min="4103" max="4103" width="12.796875" style="193" bestFit="1" customWidth="1"/>
    <col min="4104" max="4352" width="9.296875" style="193"/>
    <col min="4353" max="4353" width="5" style="193" customWidth="1"/>
    <col min="4354" max="4354" width="76.296875" style="193" customWidth="1"/>
    <col min="4355" max="4355" width="17.19921875" style="193" customWidth="1"/>
    <col min="4356" max="4356" width="19.19921875" style="193" customWidth="1"/>
    <col min="4357" max="4357" width="17.19921875" style="193" customWidth="1"/>
    <col min="4358" max="4358" width="9.296875" style="193"/>
    <col min="4359" max="4359" width="12.796875" style="193" bestFit="1" customWidth="1"/>
    <col min="4360" max="4608" width="9.296875" style="193"/>
    <col min="4609" max="4609" width="5" style="193" customWidth="1"/>
    <col min="4610" max="4610" width="76.296875" style="193" customWidth="1"/>
    <col min="4611" max="4611" width="17.19921875" style="193" customWidth="1"/>
    <col min="4612" max="4612" width="19.19921875" style="193" customWidth="1"/>
    <col min="4613" max="4613" width="17.19921875" style="193" customWidth="1"/>
    <col min="4614" max="4614" width="9.296875" style="193"/>
    <col min="4615" max="4615" width="12.796875" style="193" bestFit="1" customWidth="1"/>
    <col min="4616" max="4864" width="9.296875" style="193"/>
    <col min="4865" max="4865" width="5" style="193" customWidth="1"/>
    <col min="4866" max="4866" width="76.296875" style="193" customWidth="1"/>
    <col min="4867" max="4867" width="17.19921875" style="193" customWidth="1"/>
    <col min="4868" max="4868" width="19.19921875" style="193" customWidth="1"/>
    <col min="4869" max="4869" width="17.19921875" style="193" customWidth="1"/>
    <col min="4870" max="4870" width="9.296875" style="193"/>
    <col min="4871" max="4871" width="12.796875" style="193" bestFit="1" customWidth="1"/>
    <col min="4872" max="5120" width="9.296875" style="193"/>
    <col min="5121" max="5121" width="5" style="193" customWidth="1"/>
    <col min="5122" max="5122" width="76.296875" style="193" customWidth="1"/>
    <col min="5123" max="5123" width="17.19921875" style="193" customWidth="1"/>
    <col min="5124" max="5124" width="19.19921875" style="193" customWidth="1"/>
    <col min="5125" max="5125" width="17.19921875" style="193" customWidth="1"/>
    <col min="5126" max="5126" width="9.296875" style="193"/>
    <col min="5127" max="5127" width="12.796875" style="193" bestFit="1" customWidth="1"/>
    <col min="5128" max="5376" width="9.296875" style="193"/>
    <col min="5377" max="5377" width="5" style="193" customWidth="1"/>
    <col min="5378" max="5378" width="76.296875" style="193" customWidth="1"/>
    <col min="5379" max="5379" width="17.19921875" style="193" customWidth="1"/>
    <col min="5380" max="5380" width="19.19921875" style="193" customWidth="1"/>
    <col min="5381" max="5381" width="17.19921875" style="193" customWidth="1"/>
    <col min="5382" max="5382" width="9.296875" style="193"/>
    <col min="5383" max="5383" width="12.796875" style="193" bestFit="1" customWidth="1"/>
    <col min="5384" max="5632" width="9.296875" style="193"/>
    <col min="5633" max="5633" width="5" style="193" customWidth="1"/>
    <col min="5634" max="5634" width="76.296875" style="193" customWidth="1"/>
    <col min="5635" max="5635" width="17.19921875" style="193" customWidth="1"/>
    <col min="5636" max="5636" width="19.19921875" style="193" customWidth="1"/>
    <col min="5637" max="5637" width="17.19921875" style="193" customWidth="1"/>
    <col min="5638" max="5638" width="9.296875" style="193"/>
    <col min="5639" max="5639" width="12.796875" style="193" bestFit="1" customWidth="1"/>
    <col min="5640" max="5888" width="9.296875" style="193"/>
    <col min="5889" max="5889" width="5" style="193" customWidth="1"/>
    <col min="5890" max="5890" width="76.296875" style="193" customWidth="1"/>
    <col min="5891" max="5891" width="17.19921875" style="193" customWidth="1"/>
    <col min="5892" max="5892" width="19.19921875" style="193" customWidth="1"/>
    <col min="5893" max="5893" width="17.19921875" style="193" customWidth="1"/>
    <col min="5894" max="5894" width="9.296875" style="193"/>
    <col min="5895" max="5895" width="12.796875" style="193" bestFit="1" customWidth="1"/>
    <col min="5896" max="6144" width="9.296875" style="193"/>
    <col min="6145" max="6145" width="5" style="193" customWidth="1"/>
    <col min="6146" max="6146" width="76.296875" style="193" customWidth="1"/>
    <col min="6147" max="6147" width="17.19921875" style="193" customWidth="1"/>
    <col min="6148" max="6148" width="19.19921875" style="193" customWidth="1"/>
    <col min="6149" max="6149" width="17.19921875" style="193" customWidth="1"/>
    <col min="6150" max="6150" width="9.296875" style="193"/>
    <col min="6151" max="6151" width="12.796875" style="193" bestFit="1" customWidth="1"/>
    <col min="6152" max="6400" width="9.296875" style="193"/>
    <col min="6401" max="6401" width="5" style="193" customWidth="1"/>
    <col min="6402" max="6402" width="76.296875" style="193" customWidth="1"/>
    <col min="6403" max="6403" width="17.19921875" style="193" customWidth="1"/>
    <col min="6404" max="6404" width="19.19921875" style="193" customWidth="1"/>
    <col min="6405" max="6405" width="17.19921875" style="193" customWidth="1"/>
    <col min="6406" max="6406" width="9.296875" style="193"/>
    <col min="6407" max="6407" width="12.796875" style="193" bestFit="1" customWidth="1"/>
    <col min="6408" max="6656" width="9.296875" style="193"/>
    <col min="6657" max="6657" width="5" style="193" customWidth="1"/>
    <col min="6658" max="6658" width="76.296875" style="193" customWidth="1"/>
    <col min="6659" max="6659" width="17.19921875" style="193" customWidth="1"/>
    <col min="6660" max="6660" width="19.19921875" style="193" customWidth="1"/>
    <col min="6661" max="6661" width="17.19921875" style="193" customWidth="1"/>
    <col min="6662" max="6662" width="9.296875" style="193"/>
    <col min="6663" max="6663" width="12.796875" style="193" bestFit="1" customWidth="1"/>
    <col min="6664" max="6912" width="9.296875" style="193"/>
    <col min="6913" max="6913" width="5" style="193" customWidth="1"/>
    <col min="6914" max="6914" width="76.296875" style="193" customWidth="1"/>
    <col min="6915" max="6915" width="17.19921875" style="193" customWidth="1"/>
    <col min="6916" max="6916" width="19.19921875" style="193" customWidth="1"/>
    <col min="6917" max="6917" width="17.19921875" style="193" customWidth="1"/>
    <col min="6918" max="6918" width="9.296875" style="193"/>
    <col min="6919" max="6919" width="12.796875" style="193" bestFit="1" customWidth="1"/>
    <col min="6920" max="7168" width="9.296875" style="193"/>
    <col min="7169" max="7169" width="5" style="193" customWidth="1"/>
    <col min="7170" max="7170" width="76.296875" style="193" customWidth="1"/>
    <col min="7171" max="7171" width="17.19921875" style="193" customWidth="1"/>
    <col min="7172" max="7172" width="19.19921875" style="193" customWidth="1"/>
    <col min="7173" max="7173" width="17.19921875" style="193" customWidth="1"/>
    <col min="7174" max="7174" width="9.296875" style="193"/>
    <col min="7175" max="7175" width="12.796875" style="193" bestFit="1" customWidth="1"/>
    <col min="7176" max="7424" width="9.296875" style="193"/>
    <col min="7425" max="7425" width="5" style="193" customWidth="1"/>
    <col min="7426" max="7426" width="76.296875" style="193" customWidth="1"/>
    <col min="7427" max="7427" width="17.19921875" style="193" customWidth="1"/>
    <col min="7428" max="7428" width="19.19921875" style="193" customWidth="1"/>
    <col min="7429" max="7429" width="17.19921875" style="193" customWidth="1"/>
    <col min="7430" max="7430" width="9.296875" style="193"/>
    <col min="7431" max="7431" width="12.796875" style="193" bestFit="1" customWidth="1"/>
    <col min="7432" max="7680" width="9.296875" style="193"/>
    <col min="7681" max="7681" width="5" style="193" customWidth="1"/>
    <col min="7682" max="7682" width="76.296875" style="193" customWidth="1"/>
    <col min="7683" max="7683" width="17.19921875" style="193" customWidth="1"/>
    <col min="7684" max="7684" width="19.19921875" style="193" customWidth="1"/>
    <col min="7685" max="7685" width="17.19921875" style="193" customWidth="1"/>
    <col min="7686" max="7686" width="9.296875" style="193"/>
    <col min="7687" max="7687" width="12.796875" style="193" bestFit="1" customWidth="1"/>
    <col min="7688" max="7936" width="9.296875" style="193"/>
    <col min="7937" max="7937" width="5" style="193" customWidth="1"/>
    <col min="7938" max="7938" width="76.296875" style="193" customWidth="1"/>
    <col min="7939" max="7939" width="17.19921875" style="193" customWidth="1"/>
    <col min="7940" max="7940" width="19.19921875" style="193" customWidth="1"/>
    <col min="7941" max="7941" width="17.19921875" style="193" customWidth="1"/>
    <col min="7942" max="7942" width="9.296875" style="193"/>
    <col min="7943" max="7943" width="12.796875" style="193" bestFit="1" customWidth="1"/>
    <col min="7944" max="8192" width="9.296875" style="193"/>
    <col min="8193" max="8193" width="5" style="193" customWidth="1"/>
    <col min="8194" max="8194" width="76.296875" style="193" customWidth="1"/>
    <col min="8195" max="8195" width="17.19921875" style="193" customWidth="1"/>
    <col min="8196" max="8196" width="19.19921875" style="193" customWidth="1"/>
    <col min="8197" max="8197" width="17.19921875" style="193" customWidth="1"/>
    <col min="8198" max="8198" width="9.296875" style="193"/>
    <col min="8199" max="8199" width="12.796875" style="193" bestFit="1" customWidth="1"/>
    <col min="8200" max="8448" width="9.296875" style="193"/>
    <col min="8449" max="8449" width="5" style="193" customWidth="1"/>
    <col min="8450" max="8450" width="76.296875" style="193" customWidth="1"/>
    <col min="8451" max="8451" width="17.19921875" style="193" customWidth="1"/>
    <col min="8452" max="8452" width="19.19921875" style="193" customWidth="1"/>
    <col min="8453" max="8453" width="17.19921875" style="193" customWidth="1"/>
    <col min="8454" max="8454" width="9.296875" style="193"/>
    <col min="8455" max="8455" width="12.796875" style="193" bestFit="1" customWidth="1"/>
    <col min="8456" max="8704" width="9.296875" style="193"/>
    <col min="8705" max="8705" width="5" style="193" customWidth="1"/>
    <col min="8706" max="8706" width="76.296875" style="193" customWidth="1"/>
    <col min="8707" max="8707" width="17.19921875" style="193" customWidth="1"/>
    <col min="8708" max="8708" width="19.19921875" style="193" customWidth="1"/>
    <col min="8709" max="8709" width="17.19921875" style="193" customWidth="1"/>
    <col min="8710" max="8710" width="9.296875" style="193"/>
    <col min="8711" max="8711" width="12.796875" style="193" bestFit="1" customWidth="1"/>
    <col min="8712" max="8960" width="9.296875" style="193"/>
    <col min="8961" max="8961" width="5" style="193" customWidth="1"/>
    <col min="8962" max="8962" width="76.296875" style="193" customWidth="1"/>
    <col min="8963" max="8963" width="17.19921875" style="193" customWidth="1"/>
    <col min="8964" max="8964" width="19.19921875" style="193" customWidth="1"/>
    <col min="8965" max="8965" width="17.19921875" style="193" customWidth="1"/>
    <col min="8966" max="8966" width="9.296875" style="193"/>
    <col min="8967" max="8967" width="12.796875" style="193" bestFit="1" customWidth="1"/>
    <col min="8968" max="9216" width="9.296875" style="193"/>
    <col min="9217" max="9217" width="5" style="193" customWidth="1"/>
    <col min="9218" max="9218" width="76.296875" style="193" customWidth="1"/>
    <col min="9219" max="9219" width="17.19921875" style="193" customWidth="1"/>
    <col min="9220" max="9220" width="19.19921875" style="193" customWidth="1"/>
    <col min="9221" max="9221" width="17.19921875" style="193" customWidth="1"/>
    <col min="9222" max="9222" width="9.296875" style="193"/>
    <col min="9223" max="9223" width="12.796875" style="193" bestFit="1" customWidth="1"/>
    <col min="9224" max="9472" width="9.296875" style="193"/>
    <col min="9473" max="9473" width="5" style="193" customWidth="1"/>
    <col min="9474" max="9474" width="76.296875" style="193" customWidth="1"/>
    <col min="9475" max="9475" width="17.19921875" style="193" customWidth="1"/>
    <col min="9476" max="9476" width="19.19921875" style="193" customWidth="1"/>
    <col min="9477" max="9477" width="17.19921875" style="193" customWidth="1"/>
    <col min="9478" max="9478" width="9.296875" style="193"/>
    <col min="9479" max="9479" width="12.796875" style="193" bestFit="1" customWidth="1"/>
    <col min="9480" max="9728" width="9.296875" style="193"/>
    <col min="9729" max="9729" width="5" style="193" customWidth="1"/>
    <col min="9730" max="9730" width="76.296875" style="193" customWidth="1"/>
    <col min="9731" max="9731" width="17.19921875" style="193" customWidth="1"/>
    <col min="9732" max="9732" width="19.19921875" style="193" customWidth="1"/>
    <col min="9733" max="9733" width="17.19921875" style="193" customWidth="1"/>
    <col min="9734" max="9734" width="9.296875" style="193"/>
    <col min="9735" max="9735" width="12.796875" style="193" bestFit="1" customWidth="1"/>
    <col min="9736" max="9984" width="9.296875" style="193"/>
    <col min="9985" max="9985" width="5" style="193" customWidth="1"/>
    <col min="9986" max="9986" width="76.296875" style="193" customWidth="1"/>
    <col min="9987" max="9987" width="17.19921875" style="193" customWidth="1"/>
    <col min="9988" max="9988" width="19.19921875" style="193" customWidth="1"/>
    <col min="9989" max="9989" width="17.19921875" style="193" customWidth="1"/>
    <col min="9990" max="9990" width="9.296875" style="193"/>
    <col min="9991" max="9991" width="12.796875" style="193" bestFit="1" customWidth="1"/>
    <col min="9992" max="10240" width="9.296875" style="193"/>
    <col min="10241" max="10241" width="5" style="193" customWidth="1"/>
    <col min="10242" max="10242" width="76.296875" style="193" customWidth="1"/>
    <col min="10243" max="10243" width="17.19921875" style="193" customWidth="1"/>
    <col min="10244" max="10244" width="19.19921875" style="193" customWidth="1"/>
    <col min="10245" max="10245" width="17.19921875" style="193" customWidth="1"/>
    <col min="10246" max="10246" width="9.296875" style="193"/>
    <col min="10247" max="10247" width="12.796875" style="193" bestFit="1" customWidth="1"/>
    <col min="10248" max="10496" width="9.296875" style="193"/>
    <col min="10497" max="10497" width="5" style="193" customWidth="1"/>
    <col min="10498" max="10498" width="76.296875" style="193" customWidth="1"/>
    <col min="10499" max="10499" width="17.19921875" style="193" customWidth="1"/>
    <col min="10500" max="10500" width="19.19921875" style="193" customWidth="1"/>
    <col min="10501" max="10501" width="17.19921875" style="193" customWidth="1"/>
    <col min="10502" max="10502" width="9.296875" style="193"/>
    <col min="10503" max="10503" width="12.796875" style="193" bestFit="1" customWidth="1"/>
    <col min="10504" max="10752" width="9.296875" style="193"/>
    <col min="10753" max="10753" width="5" style="193" customWidth="1"/>
    <col min="10754" max="10754" width="76.296875" style="193" customWidth="1"/>
    <col min="10755" max="10755" width="17.19921875" style="193" customWidth="1"/>
    <col min="10756" max="10756" width="19.19921875" style="193" customWidth="1"/>
    <col min="10757" max="10757" width="17.19921875" style="193" customWidth="1"/>
    <col min="10758" max="10758" width="9.296875" style="193"/>
    <col min="10759" max="10759" width="12.796875" style="193" bestFit="1" customWidth="1"/>
    <col min="10760" max="11008" width="9.296875" style="193"/>
    <col min="11009" max="11009" width="5" style="193" customWidth="1"/>
    <col min="11010" max="11010" width="76.296875" style="193" customWidth="1"/>
    <col min="11011" max="11011" width="17.19921875" style="193" customWidth="1"/>
    <col min="11012" max="11012" width="19.19921875" style="193" customWidth="1"/>
    <col min="11013" max="11013" width="17.19921875" style="193" customWidth="1"/>
    <col min="11014" max="11014" width="9.296875" style="193"/>
    <col min="11015" max="11015" width="12.796875" style="193" bestFit="1" customWidth="1"/>
    <col min="11016" max="11264" width="9.296875" style="193"/>
    <col min="11265" max="11265" width="5" style="193" customWidth="1"/>
    <col min="11266" max="11266" width="76.296875" style="193" customWidth="1"/>
    <col min="11267" max="11267" width="17.19921875" style="193" customWidth="1"/>
    <col min="11268" max="11268" width="19.19921875" style="193" customWidth="1"/>
    <col min="11269" max="11269" width="17.19921875" style="193" customWidth="1"/>
    <col min="11270" max="11270" width="9.296875" style="193"/>
    <col min="11271" max="11271" width="12.796875" style="193" bestFit="1" customWidth="1"/>
    <col min="11272" max="11520" width="9.296875" style="193"/>
    <col min="11521" max="11521" width="5" style="193" customWidth="1"/>
    <col min="11522" max="11522" width="76.296875" style="193" customWidth="1"/>
    <col min="11523" max="11523" width="17.19921875" style="193" customWidth="1"/>
    <col min="11524" max="11524" width="19.19921875" style="193" customWidth="1"/>
    <col min="11525" max="11525" width="17.19921875" style="193" customWidth="1"/>
    <col min="11526" max="11526" width="9.296875" style="193"/>
    <col min="11527" max="11527" width="12.796875" style="193" bestFit="1" customWidth="1"/>
    <col min="11528" max="11776" width="9.296875" style="193"/>
    <col min="11777" max="11777" width="5" style="193" customWidth="1"/>
    <col min="11778" max="11778" width="76.296875" style="193" customWidth="1"/>
    <col min="11779" max="11779" width="17.19921875" style="193" customWidth="1"/>
    <col min="11780" max="11780" width="19.19921875" style="193" customWidth="1"/>
    <col min="11781" max="11781" width="17.19921875" style="193" customWidth="1"/>
    <col min="11782" max="11782" width="9.296875" style="193"/>
    <col min="11783" max="11783" width="12.796875" style="193" bestFit="1" customWidth="1"/>
    <col min="11784" max="12032" width="9.296875" style="193"/>
    <col min="12033" max="12033" width="5" style="193" customWidth="1"/>
    <col min="12034" max="12034" width="76.296875" style="193" customWidth="1"/>
    <col min="12035" max="12035" width="17.19921875" style="193" customWidth="1"/>
    <col min="12036" max="12036" width="19.19921875" style="193" customWidth="1"/>
    <col min="12037" max="12037" width="17.19921875" style="193" customWidth="1"/>
    <col min="12038" max="12038" width="9.296875" style="193"/>
    <col min="12039" max="12039" width="12.796875" style="193" bestFit="1" customWidth="1"/>
    <col min="12040" max="12288" width="9.296875" style="193"/>
    <col min="12289" max="12289" width="5" style="193" customWidth="1"/>
    <col min="12290" max="12290" width="76.296875" style="193" customWidth="1"/>
    <col min="12291" max="12291" width="17.19921875" style="193" customWidth="1"/>
    <col min="12292" max="12292" width="19.19921875" style="193" customWidth="1"/>
    <col min="12293" max="12293" width="17.19921875" style="193" customWidth="1"/>
    <col min="12294" max="12294" width="9.296875" style="193"/>
    <col min="12295" max="12295" width="12.796875" style="193" bestFit="1" customWidth="1"/>
    <col min="12296" max="12544" width="9.296875" style="193"/>
    <col min="12545" max="12545" width="5" style="193" customWidth="1"/>
    <col min="12546" max="12546" width="76.296875" style="193" customWidth="1"/>
    <col min="12547" max="12547" width="17.19921875" style="193" customWidth="1"/>
    <col min="12548" max="12548" width="19.19921875" style="193" customWidth="1"/>
    <col min="12549" max="12549" width="17.19921875" style="193" customWidth="1"/>
    <col min="12550" max="12550" width="9.296875" style="193"/>
    <col min="12551" max="12551" width="12.796875" style="193" bestFit="1" customWidth="1"/>
    <col min="12552" max="12800" width="9.296875" style="193"/>
    <col min="12801" max="12801" width="5" style="193" customWidth="1"/>
    <col min="12802" max="12802" width="76.296875" style="193" customWidth="1"/>
    <col min="12803" max="12803" width="17.19921875" style="193" customWidth="1"/>
    <col min="12804" max="12804" width="19.19921875" style="193" customWidth="1"/>
    <col min="12805" max="12805" width="17.19921875" style="193" customWidth="1"/>
    <col min="12806" max="12806" width="9.296875" style="193"/>
    <col min="12807" max="12807" width="12.796875" style="193" bestFit="1" customWidth="1"/>
    <col min="12808" max="13056" width="9.296875" style="193"/>
    <col min="13057" max="13057" width="5" style="193" customWidth="1"/>
    <col min="13058" max="13058" width="76.296875" style="193" customWidth="1"/>
    <col min="13059" max="13059" width="17.19921875" style="193" customWidth="1"/>
    <col min="13060" max="13060" width="19.19921875" style="193" customWidth="1"/>
    <col min="13061" max="13061" width="17.19921875" style="193" customWidth="1"/>
    <col min="13062" max="13062" width="9.296875" style="193"/>
    <col min="13063" max="13063" width="12.796875" style="193" bestFit="1" customWidth="1"/>
    <col min="13064" max="13312" width="9.296875" style="193"/>
    <col min="13313" max="13313" width="5" style="193" customWidth="1"/>
    <col min="13314" max="13314" width="76.296875" style="193" customWidth="1"/>
    <col min="13315" max="13315" width="17.19921875" style="193" customWidth="1"/>
    <col min="13316" max="13316" width="19.19921875" style="193" customWidth="1"/>
    <col min="13317" max="13317" width="17.19921875" style="193" customWidth="1"/>
    <col min="13318" max="13318" width="9.296875" style="193"/>
    <col min="13319" max="13319" width="12.796875" style="193" bestFit="1" customWidth="1"/>
    <col min="13320" max="13568" width="9.296875" style="193"/>
    <col min="13569" max="13569" width="5" style="193" customWidth="1"/>
    <col min="13570" max="13570" width="76.296875" style="193" customWidth="1"/>
    <col min="13571" max="13571" width="17.19921875" style="193" customWidth="1"/>
    <col min="13572" max="13572" width="19.19921875" style="193" customWidth="1"/>
    <col min="13573" max="13573" width="17.19921875" style="193" customWidth="1"/>
    <col min="13574" max="13574" width="9.296875" style="193"/>
    <col min="13575" max="13575" width="12.796875" style="193" bestFit="1" customWidth="1"/>
    <col min="13576" max="13824" width="9.296875" style="193"/>
    <col min="13825" max="13825" width="5" style="193" customWidth="1"/>
    <col min="13826" max="13826" width="76.296875" style="193" customWidth="1"/>
    <col min="13827" max="13827" width="17.19921875" style="193" customWidth="1"/>
    <col min="13828" max="13828" width="19.19921875" style="193" customWidth="1"/>
    <col min="13829" max="13829" width="17.19921875" style="193" customWidth="1"/>
    <col min="13830" max="13830" width="9.296875" style="193"/>
    <col min="13831" max="13831" width="12.796875" style="193" bestFit="1" customWidth="1"/>
    <col min="13832" max="14080" width="9.296875" style="193"/>
    <col min="14081" max="14081" width="5" style="193" customWidth="1"/>
    <col min="14082" max="14082" width="76.296875" style="193" customWidth="1"/>
    <col min="14083" max="14083" width="17.19921875" style="193" customWidth="1"/>
    <col min="14084" max="14084" width="19.19921875" style="193" customWidth="1"/>
    <col min="14085" max="14085" width="17.19921875" style="193" customWidth="1"/>
    <col min="14086" max="14086" width="9.296875" style="193"/>
    <col min="14087" max="14087" width="12.796875" style="193" bestFit="1" customWidth="1"/>
    <col min="14088" max="14336" width="9.296875" style="193"/>
    <col min="14337" max="14337" width="5" style="193" customWidth="1"/>
    <col min="14338" max="14338" width="76.296875" style="193" customWidth="1"/>
    <col min="14339" max="14339" width="17.19921875" style="193" customWidth="1"/>
    <col min="14340" max="14340" width="19.19921875" style="193" customWidth="1"/>
    <col min="14341" max="14341" width="17.19921875" style="193" customWidth="1"/>
    <col min="14342" max="14342" width="9.296875" style="193"/>
    <col min="14343" max="14343" width="12.796875" style="193" bestFit="1" customWidth="1"/>
    <col min="14344" max="14592" width="9.296875" style="193"/>
    <col min="14593" max="14593" width="5" style="193" customWidth="1"/>
    <col min="14594" max="14594" width="76.296875" style="193" customWidth="1"/>
    <col min="14595" max="14595" width="17.19921875" style="193" customWidth="1"/>
    <col min="14596" max="14596" width="19.19921875" style="193" customWidth="1"/>
    <col min="14597" max="14597" width="17.19921875" style="193" customWidth="1"/>
    <col min="14598" max="14598" width="9.296875" style="193"/>
    <col min="14599" max="14599" width="12.796875" style="193" bestFit="1" customWidth="1"/>
    <col min="14600" max="14848" width="9.296875" style="193"/>
    <col min="14849" max="14849" width="5" style="193" customWidth="1"/>
    <col min="14850" max="14850" width="76.296875" style="193" customWidth="1"/>
    <col min="14851" max="14851" width="17.19921875" style="193" customWidth="1"/>
    <col min="14852" max="14852" width="19.19921875" style="193" customWidth="1"/>
    <col min="14853" max="14853" width="17.19921875" style="193" customWidth="1"/>
    <col min="14854" max="14854" width="9.296875" style="193"/>
    <col min="14855" max="14855" width="12.796875" style="193" bestFit="1" customWidth="1"/>
    <col min="14856" max="15104" width="9.296875" style="193"/>
    <col min="15105" max="15105" width="5" style="193" customWidth="1"/>
    <col min="15106" max="15106" width="76.296875" style="193" customWidth="1"/>
    <col min="15107" max="15107" width="17.19921875" style="193" customWidth="1"/>
    <col min="15108" max="15108" width="19.19921875" style="193" customWidth="1"/>
    <col min="15109" max="15109" width="17.19921875" style="193" customWidth="1"/>
    <col min="15110" max="15110" width="9.296875" style="193"/>
    <col min="15111" max="15111" width="12.796875" style="193" bestFit="1" customWidth="1"/>
    <col min="15112" max="15360" width="9.296875" style="193"/>
    <col min="15361" max="15361" width="5" style="193" customWidth="1"/>
    <col min="15362" max="15362" width="76.296875" style="193" customWidth="1"/>
    <col min="15363" max="15363" width="17.19921875" style="193" customWidth="1"/>
    <col min="15364" max="15364" width="19.19921875" style="193" customWidth="1"/>
    <col min="15365" max="15365" width="17.19921875" style="193" customWidth="1"/>
    <col min="15366" max="15366" width="9.296875" style="193"/>
    <col min="15367" max="15367" width="12.796875" style="193" bestFit="1" customWidth="1"/>
    <col min="15368" max="15616" width="9.296875" style="193"/>
    <col min="15617" max="15617" width="5" style="193" customWidth="1"/>
    <col min="15618" max="15618" width="76.296875" style="193" customWidth="1"/>
    <col min="15619" max="15619" width="17.19921875" style="193" customWidth="1"/>
    <col min="15620" max="15620" width="19.19921875" style="193" customWidth="1"/>
    <col min="15621" max="15621" width="17.19921875" style="193" customWidth="1"/>
    <col min="15622" max="15622" width="9.296875" style="193"/>
    <col min="15623" max="15623" width="12.796875" style="193" bestFit="1" customWidth="1"/>
    <col min="15624" max="15872" width="9.296875" style="193"/>
    <col min="15873" max="15873" width="5" style="193" customWidth="1"/>
    <col min="15874" max="15874" width="76.296875" style="193" customWidth="1"/>
    <col min="15875" max="15875" width="17.19921875" style="193" customWidth="1"/>
    <col min="15876" max="15876" width="19.19921875" style="193" customWidth="1"/>
    <col min="15877" max="15877" width="17.19921875" style="193" customWidth="1"/>
    <col min="15878" max="15878" width="9.296875" style="193"/>
    <col min="15879" max="15879" width="12.796875" style="193" bestFit="1" customWidth="1"/>
    <col min="15880" max="16128" width="9.296875" style="193"/>
    <col min="16129" max="16129" width="5" style="193" customWidth="1"/>
    <col min="16130" max="16130" width="76.296875" style="193" customWidth="1"/>
    <col min="16131" max="16131" width="17.19921875" style="193" customWidth="1"/>
    <col min="16132" max="16132" width="19.19921875" style="193" customWidth="1"/>
    <col min="16133" max="16133" width="17.19921875" style="193" customWidth="1"/>
    <col min="16134" max="16134" width="9.296875" style="193"/>
    <col min="16135" max="16135" width="12.796875" style="193" bestFit="1" customWidth="1"/>
    <col min="16136" max="16384" width="9.296875" style="193"/>
  </cols>
  <sheetData>
    <row r="1" spans="1:7" ht="36.75" customHeight="1" x14ac:dyDescent="0.35">
      <c r="A1" s="792" t="s">
        <v>637</v>
      </c>
      <c r="B1" s="792"/>
      <c r="C1" s="792"/>
      <c r="D1" s="792"/>
      <c r="E1" s="792"/>
    </row>
    <row r="2" spans="1:7" ht="15" customHeight="1" x14ac:dyDescent="0.35">
      <c r="A2" s="190"/>
      <c r="B2" s="190"/>
      <c r="C2" s="190" t="s">
        <v>624</v>
      </c>
      <c r="D2" s="190"/>
      <c r="E2" s="190"/>
    </row>
    <row r="3" spans="1:7" x14ac:dyDescent="0.35">
      <c r="A3" s="39"/>
      <c r="B3" s="39"/>
      <c r="C3" s="194"/>
      <c r="D3" s="194"/>
      <c r="E3" s="201" t="s">
        <v>561</v>
      </c>
    </row>
    <row r="4" spans="1:7" s="195" customFormat="1" ht="56" x14ac:dyDescent="0.3">
      <c r="A4" s="645" t="s">
        <v>407</v>
      </c>
      <c r="B4" s="645" t="s">
        <v>615</v>
      </c>
      <c r="C4" s="646" t="s">
        <v>621</v>
      </c>
      <c r="D4" s="646" t="s">
        <v>622</v>
      </c>
      <c r="E4" s="646" t="s">
        <v>616</v>
      </c>
      <c r="G4" s="196"/>
    </row>
    <row r="5" spans="1:7" s="195" customFormat="1" ht="12" customHeight="1" x14ac:dyDescent="0.3">
      <c r="A5" s="647">
        <v>1</v>
      </c>
      <c r="B5" s="647">
        <v>2</v>
      </c>
      <c r="C5" s="648">
        <v>3</v>
      </c>
      <c r="D5" s="648">
        <v>4</v>
      </c>
      <c r="E5" s="648">
        <v>5</v>
      </c>
    </row>
    <row r="6" spans="1:7" s="195" customFormat="1" ht="18" customHeight="1" x14ac:dyDescent="0.3">
      <c r="A6" s="649" t="s">
        <v>10</v>
      </c>
      <c r="B6" s="650"/>
      <c r="C6" s="651">
        <v>0</v>
      </c>
      <c r="D6" s="651">
        <v>0</v>
      </c>
      <c r="E6" s="652"/>
    </row>
    <row r="7" spans="1:7" s="195" customFormat="1" ht="18" customHeight="1" x14ac:dyDescent="0.3">
      <c r="A7" s="649" t="s">
        <v>13</v>
      </c>
      <c r="B7" s="650"/>
      <c r="C7" s="651">
        <v>0</v>
      </c>
      <c r="D7" s="651">
        <v>0</v>
      </c>
      <c r="E7" s="652"/>
    </row>
    <row r="8" spans="1:7" s="195" customFormat="1" ht="18" customHeight="1" x14ac:dyDescent="0.3">
      <c r="A8" s="649" t="s">
        <v>16</v>
      </c>
      <c r="B8" s="653"/>
      <c r="C8" s="651"/>
      <c r="D8" s="651"/>
      <c r="E8" s="652"/>
    </row>
    <row r="9" spans="1:7" s="195" customFormat="1" ht="18" customHeight="1" x14ac:dyDescent="0.3">
      <c r="A9" s="649" t="s">
        <v>19</v>
      </c>
      <c r="B9" s="650"/>
      <c r="C9" s="654"/>
      <c r="D9" s="654"/>
      <c r="E9" s="652"/>
    </row>
    <row r="10" spans="1:7" s="195" customFormat="1" ht="18" customHeight="1" x14ac:dyDescent="0.3">
      <c r="A10" s="649" t="s">
        <v>22</v>
      </c>
      <c r="B10" s="655"/>
      <c r="C10" s="656"/>
      <c r="D10" s="656"/>
      <c r="E10" s="652"/>
    </row>
    <row r="11" spans="1:7" s="195" customFormat="1" ht="18" customHeight="1" x14ac:dyDescent="0.3">
      <c r="A11" s="649" t="s">
        <v>25</v>
      </c>
      <c r="B11" s="657"/>
      <c r="C11" s="654"/>
      <c r="D11" s="654"/>
      <c r="E11" s="652"/>
    </row>
    <row r="12" spans="1:7" s="195" customFormat="1" ht="18" customHeight="1" x14ac:dyDescent="0.3">
      <c r="A12" s="649" t="s">
        <v>28</v>
      </c>
      <c r="B12" s="657"/>
      <c r="C12" s="654"/>
      <c r="D12" s="654"/>
      <c r="E12" s="652"/>
    </row>
    <row r="13" spans="1:7" s="195" customFormat="1" ht="18" customHeight="1" x14ac:dyDescent="0.3">
      <c r="A13" s="649" t="s">
        <v>31</v>
      </c>
      <c r="B13" s="657"/>
      <c r="C13" s="654"/>
      <c r="D13" s="654"/>
      <c r="E13" s="652"/>
    </row>
    <row r="14" spans="1:7" s="195" customFormat="1" ht="18" customHeight="1" x14ac:dyDescent="0.3">
      <c r="A14" s="649" t="s">
        <v>34</v>
      </c>
      <c r="B14" s="657"/>
      <c r="C14" s="654"/>
      <c r="D14" s="654"/>
      <c r="E14" s="652"/>
    </row>
    <row r="15" spans="1:7" s="195" customFormat="1" ht="18" customHeight="1" x14ac:dyDescent="0.3">
      <c r="A15" s="649" t="s">
        <v>37</v>
      </c>
      <c r="B15" s="657"/>
      <c r="C15" s="654"/>
      <c r="D15" s="654"/>
      <c r="E15" s="652"/>
    </row>
    <row r="16" spans="1:7" s="195" customFormat="1" x14ac:dyDescent="0.3">
      <c r="A16" s="658" t="s">
        <v>39</v>
      </c>
      <c r="B16" s="659" t="s">
        <v>617</v>
      </c>
      <c r="C16" s="660">
        <f>SUM(C6:C15)</f>
        <v>0</v>
      </c>
      <c r="D16" s="660">
        <f>SUM(D6:D15)</f>
        <v>0</v>
      </c>
      <c r="E16" s="660">
        <f>SUM(E6:E15)</f>
        <v>0</v>
      </c>
    </row>
    <row r="17" spans="1:6" s="195" customFormat="1" x14ac:dyDescent="0.3">
      <c r="A17" s="649" t="s">
        <v>41</v>
      </c>
      <c r="B17" s="661"/>
      <c r="C17" s="662"/>
      <c r="D17" s="662"/>
      <c r="E17" s="652"/>
    </row>
    <row r="18" spans="1:6" s="195" customFormat="1" x14ac:dyDescent="0.3">
      <c r="A18" s="658" t="s">
        <v>43</v>
      </c>
      <c r="B18" s="659" t="s">
        <v>618</v>
      </c>
      <c r="C18" s="660">
        <f>SUM(C17:C17)</f>
        <v>0</v>
      </c>
      <c r="D18" s="660">
        <f>SUM(D17:D17)</f>
        <v>0</v>
      </c>
      <c r="E18" s="660">
        <f>SUM(E17:E17)</f>
        <v>0</v>
      </c>
    </row>
    <row r="19" spans="1:6" s="195" customFormat="1" x14ac:dyDescent="0.3">
      <c r="A19" s="649" t="s">
        <v>45</v>
      </c>
      <c r="B19" s="663"/>
      <c r="C19" s="662"/>
      <c r="D19" s="662"/>
      <c r="E19" s="652"/>
    </row>
    <row r="20" spans="1:6" s="195" customFormat="1" x14ac:dyDescent="0.3">
      <c r="A20" s="649" t="s">
        <v>47</v>
      </c>
      <c r="B20" s="663"/>
      <c r="C20" s="664"/>
      <c r="D20" s="664"/>
      <c r="E20" s="652"/>
    </row>
    <row r="21" spans="1:6" s="195" customFormat="1" x14ac:dyDescent="0.3">
      <c r="A21" s="649" t="s">
        <v>49</v>
      </c>
      <c r="B21" s="661"/>
      <c r="C21" s="662"/>
      <c r="D21" s="662"/>
      <c r="E21" s="652"/>
    </row>
    <row r="22" spans="1:6" s="195" customFormat="1" x14ac:dyDescent="0.3">
      <c r="A22" s="649" t="s">
        <v>51</v>
      </c>
      <c r="B22" s="661"/>
      <c r="C22" s="662"/>
      <c r="D22" s="662"/>
      <c r="E22" s="652"/>
    </row>
    <row r="23" spans="1:6" s="195" customFormat="1" x14ac:dyDescent="0.3">
      <c r="A23" s="649" t="s">
        <v>54</v>
      </c>
      <c r="B23" s="661"/>
      <c r="C23" s="665"/>
      <c r="D23" s="665"/>
      <c r="E23" s="652"/>
    </row>
    <row r="24" spans="1:6" s="195" customFormat="1" x14ac:dyDescent="0.3">
      <c r="A24" s="658" t="s">
        <v>57</v>
      </c>
      <c r="B24" s="659" t="s">
        <v>619</v>
      </c>
      <c r="C24" s="660">
        <f>SUM(C19:C23)</f>
        <v>0</v>
      </c>
      <c r="D24" s="660">
        <f>SUM(D19:D23)</f>
        <v>0</v>
      </c>
      <c r="E24" s="660">
        <f>SUM(E19:E23)</f>
        <v>0</v>
      </c>
    </row>
    <row r="25" spans="1:6" s="195" customFormat="1" ht="27" customHeight="1" x14ac:dyDescent="0.3">
      <c r="A25" s="658" t="s">
        <v>60</v>
      </c>
      <c r="B25" s="270" t="s">
        <v>620</v>
      </c>
      <c r="C25" s="666">
        <f>SUM(C24,C18,C16)</f>
        <v>0</v>
      </c>
      <c r="D25" s="666">
        <f>SUM(D24,D18,D16)</f>
        <v>0</v>
      </c>
      <c r="E25" s="666">
        <f>SUM(E24,E18,E16)</f>
        <v>0</v>
      </c>
    </row>
    <row r="28" spans="1:6" x14ac:dyDescent="0.35">
      <c r="A28" s="197"/>
      <c r="B28" s="198"/>
      <c r="C28" s="197"/>
      <c r="D28" s="197"/>
      <c r="E28" s="197"/>
    </row>
    <row r="29" spans="1:6" x14ac:dyDescent="0.35">
      <c r="A29" s="197"/>
      <c r="B29" s="198"/>
      <c r="C29" s="197"/>
      <c r="D29" s="197"/>
      <c r="E29" s="197"/>
    </row>
    <row r="30" spans="1:6" x14ac:dyDescent="0.35">
      <c r="A30" s="197"/>
      <c r="B30" s="198"/>
      <c r="C30" s="197"/>
      <c r="D30" s="197"/>
      <c r="E30" s="197"/>
      <c r="F30" s="199"/>
    </row>
    <row r="31" spans="1:6" x14ac:dyDescent="0.35">
      <c r="A31" s="197"/>
      <c r="B31" s="198"/>
      <c r="C31" s="197"/>
      <c r="D31" s="197"/>
      <c r="E31" s="197"/>
    </row>
    <row r="32" spans="1:6" x14ac:dyDescent="0.35">
      <c r="A32" s="197"/>
      <c r="B32" s="198"/>
      <c r="C32" s="197"/>
      <c r="D32" s="197"/>
      <c r="E32" s="197"/>
    </row>
    <row r="33" spans="1:5" x14ac:dyDescent="0.35">
      <c r="A33" s="197"/>
      <c r="B33" s="198"/>
      <c r="C33" s="197"/>
      <c r="D33" s="197"/>
      <c r="E33" s="197"/>
    </row>
    <row r="34" spans="1:5" x14ac:dyDescent="0.35">
      <c r="A34" s="197"/>
      <c r="B34" s="198"/>
      <c r="C34" s="197"/>
      <c r="D34" s="197"/>
      <c r="E34" s="197"/>
    </row>
    <row r="35" spans="1:5" x14ac:dyDescent="0.35">
      <c r="A35" s="197"/>
      <c r="B35" s="198"/>
      <c r="C35" s="197"/>
      <c r="D35" s="197"/>
      <c r="E35" s="197"/>
    </row>
    <row r="36" spans="1:5" x14ac:dyDescent="0.35">
      <c r="A36" s="197"/>
      <c r="B36" s="198"/>
      <c r="C36" s="197"/>
      <c r="D36" s="197"/>
      <c r="E36" s="197"/>
    </row>
    <row r="37" spans="1:5" x14ac:dyDescent="0.35">
      <c r="A37" s="197"/>
      <c r="B37" s="197"/>
      <c r="C37" s="197"/>
      <c r="D37" s="197"/>
      <c r="E37" s="197"/>
    </row>
    <row r="38" spans="1:5" x14ac:dyDescent="0.35">
      <c r="A38" s="197"/>
      <c r="B38" s="197"/>
      <c r="C38" s="197"/>
      <c r="D38" s="197"/>
      <c r="E38" s="197"/>
    </row>
    <row r="39" spans="1:5" x14ac:dyDescent="0.35">
      <c r="A39" s="197"/>
      <c r="B39" s="197"/>
      <c r="C39" s="197"/>
      <c r="D39" s="197"/>
      <c r="E39" s="197"/>
    </row>
    <row r="40" spans="1:5" x14ac:dyDescent="0.35">
      <c r="A40" s="197"/>
      <c r="B40" s="197"/>
      <c r="C40" s="197"/>
      <c r="D40" s="197"/>
      <c r="E40" s="197"/>
    </row>
    <row r="41" spans="1:5" x14ac:dyDescent="0.35">
      <c r="A41" s="197"/>
      <c r="B41" s="197"/>
      <c r="C41" s="197"/>
      <c r="D41" s="197"/>
      <c r="E41" s="197"/>
    </row>
    <row r="42" spans="1:5" x14ac:dyDescent="0.35">
      <c r="A42" s="197"/>
      <c r="B42" s="197"/>
      <c r="C42" s="197"/>
      <c r="D42" s="197"/>
      <c r="E42" s="197"/>
    </row>
    <row r="43" spans="1:5" x14ac:dyDescent="0.35">
      <c r="A43" s="197"/>
      <c r="B43" s="197"/>
      <c r="C43" s="197"/>
      <c r="D43" s="197"/>
      <c r="E43" s="197"/>
    </row>
    <row r="44" spans="1:5" x14ac:dyDescent="0.35">
      <c r="A44" s="197"/>
      <c r="B44" s="197"/>
      <c r="C44" s="197"/>
      <c r="D44" s="197"/>
      <c r="E44" s="197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fitToHeight="0" orientation="portrait" useFirstPageNumber="1" r:id="rId1"/>
  <headerFooter>
    <oddHeader>&amp;R&amp;"Times New Roman CE,Félkövér dőlt"&amp;11 19. melléklet a 16/2017.(IX.04.)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5" sqref="E5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Layout" topLeftCell="F1" zoomScaleNormal="100" zoomScaleSheetLayoutView="100" workbookViewId="0">
      <selection activeCell="E5" sqref="E5"/>
    </sheetView>
  </sheetViews>
  <sheetFormatPr defaultColWidth="9.296875" defaultRowHeight="13" x14ac:dyDescent="0.3"/>
  <cols>
    <col min="1" max="1" width="7" style="15" customWidth="1"/>
    <col min="2" max="2" width="58" style="16" customWidth="1"/>
    <col min="3" max="5" width="18.296875" style="15" customWidth="1"/>
    <col min="6" max="6" width="56" style="15" customWidth="1"/>
    <col min="7" max="7" width="19.19921875" style="15" customWidth="1"/>
    <col min="8" max="8" width="15.19921875" style="15" bestFit="1" customWidth="1"/>
    <col min="9" max="9" width="14.5" style="15" bestFit="1" customWidth="1"/>
    <col min="10" max="16384" width="9.296875" style="15"/>
  </cols>
  <sheetData>
    <row r="1" spans="1:9" ht="44.25" customHeight="1" x14ac:dyDescent="0.3">
      <c r="A1" s="719" t="s">
        <v>647</v>
      </c>
      <c r="B1" s="719"/>
      <c r="C1" s="719"/>
      <c r="D1" s="719"/>
      <c r="E1" s="719"/>
      <c r="F1" s="719"/>
      <c r="G1" s="719"/>
      <c r="H1" s="719"/>
      <c r="I1" s="719"/>
    </row>
    <row r="2" spans="1:9" x14ac:dyDescent="0.25">
      <c r="H2" s="14"/>
      <c r="I2" s="17" t="s">
        <v>1</v>
      </c>
    </row>
    <row r="3" spans="1:9" ht="18" customHeight="1" x14ac:dyDescent="0.3">
      <c r="A3" s="717" t="s">
        <v>2</v>
      </c>
      <c r="B3" s="718" t="s">
        <v>265</v>
      </c>
      <c r="C3" s="718"/>
      <c r="D3" s="718"/>
      <c r="E3" s="718"/>
      <c r="F3" s="718" t="s">
        <v>266</v>
      </c>
      <c r="G3" s="718"/>
      <c r="H3" s="718"/>
      <c r="I3" s="718"/>
    </row>
    <row r="4" spans="1:9" s="18" customFormat="1" ht="35.25" customHeight="1" x14ac:dyDescent="0.3">
      <c r="A4" s="717"/>
      <c r="B4" s="19" t="s">
        <v>267</v>
      </c>
      <c r="C4" s="19" t="s">
        <v>268</v>
      </c>
      <c r="D4" s="19" t="s">
        <v>860</v>
      </c>
      <c r="E4" s="19" t="s">
        <v>859</v>
      </c>
      <c r="F4" s="19" t="s">
        <v>267</v>
      </c>
      <c r="G4" s="19" t="str">
        <f>+C4</f>
        <v>2017. évi előirányzat</v>
      </c>
      <c r="H4" s="19" t="s">
        <v>860</v>
      </c>
      <c r="I4" s="19" t="s">
        <v>859</v>
      </c>
    </row>
    <row r="5" spans="1:9" s="20" customFormat="1" ht="12" customHeight="1" x14ac:dyDescent="0.3">
      <c r="A5" s="19" t="s">
        <v>6</v>
      </c>
      <c r="B5" s="19" t="s">
        <v>7</v>
      </c>
      <c r="C5" s="19" t="s">
        <v>8</v>
      </c>
      <c r="D5" s="19"/>
      <c r="E5" s="19"/>
      <c r="F5" s="19" t="s">
        <v>9</v>
      </c>
      <c r="G5" s="19" t="s">
        <v>269</v>
      </c>
      <c r="H5" s="305"/>
      <c r="I5" s="23"/>
    </row>
    <row r="6" spans="1:9" ht="15.75" customHeight="1" x14ac:dyDescent="0.3">
      <c r="A6" s="314" t="s">
        <v>10</v>
      </c>
      <c r="B6" s="306" t="s">
        <v>472</v>
      </c>
      <c r="C6" s="307">
        <f>'1.sz.mell.'!D12</f>
        <v>847167451</v>
      </c>
      <c r="D6" s="307">
        <f>E6-C6</f>
        <v>31012643</v>
      </c>
      <c r="E6" s="307">
        <v>878180094</v>
      </c>
      <c r="F6" s="306" t="str">
        <f>'1.sz.mell.'!B82</f>
        <v>Személyi  juttatások</v>
      </c>
      <c r="G6" s="307">
        <f>'1.sz.mell.'!D82</f>
        <v>323812114</v>
      </c>
      <c r="H6" s="319">
        <f>I6-G6</f>
        <v>179565122</v>
      </c>
      <c r="I6" s="308">
        <v>503377236</v>
      </c>
    </row>
    <row r="7" spans="1:9" ht="15.75" customHeight="1" x14ac:dyDescent="0.3">
      <c r="A7" s="314" t="s">
        <v>13</v>
      </c>
      <c r="B7" s="306" t="s">
        <v>575</v>
      </c>
      <c r="C7" s="307">
        <f>'1.sz.mell.'!D13+'1.sz.mell.'!D14</f>
        <v>110724067</v>
      </c>
      <c r="D7" s="307">
        <f t="shared" ref="D7:D11" si="0">E7-C7</f>
        <v>279338329</v>
      </c>
      <c r="E7" s="307">
        <v>390062396</v>
      </c>
      <c r="F7" s="306" t="str">
        <f>'1.sz.mell.'!B83</f>
        <v>Munkaadókat terhelő járulékok és szociális hozzájárulási adó</v>
      </c>
      <c r="G7" s="307">
        <f>'1.sz.mell.'!D83</f>
        <v>73417889</v>
      </c>
      <c r="H7" s="319">
        <f t="shared" ref="H7:H12" si="1">I7-G7</f>
        <v>20323809</v>
      </c>
      <c r="I7" s="308">
        <v>93741698</v>
      </c>
    </row>
    <row r="8" spans="1:9" ht="15.75" customHeight="1" x14ac:dyDescent="0.3">
      <c r="A8" s="314" t="s">
        <v>16</v>
      </c>
      <c r="B8" s="306" t="s">
        <v>108</v>
      </c>
      <c r="C8" s="307">
        <f>'1.sz.mell.'!D45</f>
        <v>751000000</v>
      </c>
      <c r="D8" s="307">
        <f t="shared" si="0"/>
        <v>1263353</v>
      </c>
      <c r="E8" s="307">
        <v>752263353</v>
      </c>
      <c r="F8" s="306" t="str">
        <f>'1.sz.mell.'!B84</f>
        <v>Dologi  kiadások</v>
      </c>
      <c r="G8" s="307">
        <f>'1.sz.mell.'!D84</f>
        <v>574940083</v>
      </c>
      <c r="H8" s="319">
        <f t="shared" si="1"/>
        <v>1231814034</v>
      </c>
      <c r="I8" s="308">
        <v>1806754117</v>
      </c>
    </row>
    <row r="9" spans="1:9" ht="15.75" customHeight="1" x14ac:dyDescent="0.3">
      <c r="A9" s="314" t="s">
        <v>19</v>
      </c>
      <c r="B9" s="306" t="s">
        <v>457</v>
      </c>
      <c r="C9" s="307">
        <f>'1.sz.mell.'!D57</f>
        <v>184636916</v>
      </c>
      <c r="D9" s="307">
        <f t="shared" si="0"/>
        <v>5048495</v>
      </c>
      <c r="E9" s="307">
        <v>189685411</v>
      </c>
      <c r="F9" s="306" t="str">
        <f>'1.sz.mell.'!B85</f>
        <v>Ellátottak pénzbeli juttatásai</v>
      </c>
      <c r="G9" s="307">
        <f>'1.sz.mell.'!D85</f>
        <v>66820160</v>
      </c>
      <c r="H9" s="319">
        <f t="shared" si="1"/>
        <v>-6650969</v>
      </c>
      <c r="I9" s="308">
        <v>60169191</v>
      </c>
    </row>
    <row r="10" spans="1:9" ht="15.75" customHeight="1" x14ac:dyDescent="0.3">
      <c r="A10" s="314" t="s">
        <v>22</v>
      </c>
      <c r="B10" s="306" t="s">
        <v>427</v>
      </c>
      <c r="C10" s="307">
        <f>'1.sz.mell.'!D66</f>
        <v>0</v>
      </c>
      <c r="D10" s="307">
        <f t="shared" si="0"/>
        <v>2358497</v>
      </c>
      <c r="E10" s="307">
        <v>2358497</v>
      </c>
      <c r="F10" s="306" t="str">
        <f>'1.sz.mell.'!B86</f>
        <v>Egyéb működési célú kiadások</v>
      </c>
      <c r="G10" s="307">
        <v>965514977</v>
      </c>
      <c r="H10" s="319">
        <f t="shared" si="1"/>
        <v>106055249</v>
      </c>
      <c r="I10" s="308">
        <v>1071570226</v>
      </c>
    </row>
    <row r="11" spans="1:9" ht="15.75" customHeight="1" x14ac:dyDescent="0.3">
      <c r="A11" s="314" t="s">
        <v>25</v>
      </c>
      <c r="B11" s="306"/>
      <c r="C11" s="307"/>
      <c r="D11" s="307">
        <f t="shared" si="0"/>
        <v>0</v>
      </c>
      <c r="E11" s="307"/>
      <c r="F11" s="309" t="s">
        <v>270</v>
      </c>
      <c r="G11" s="310">
        <v>70000000</v>
      </c>
      <c r="H11" s="319">
        <f t="shared" si="1"/>
        <v>51623759</v>
      </c>
      <c r="I11" s="308">
        <v>121623759</v>
      </c>
    </row>
    <row r="12" spans="1:9" ht="15.75" customHeight="1" x14ac:dyDescent="0.3">
      <c r="A12" s="314" t="s">
        <v>28</v>
      </c>
      <c r="B12" s="314"/>
      <c r="C12" s="307"/>
      <c r="D12" s="307"/>
      <c r="E12" s="307"/>
      <c r="F12" s="311" t="s">
        <v>271</v>
      </c>
      <c r="G12" s="310">
        <v>17146343</v>
      </c>
      <c r="H12" s="319">
        <f t="shared" si="1"/>
        <v>0</v>
      </c>
      <c r="I12" s="308">
        <v>17146343</v>
      </c>
    </row>
    <row r="13" spans="1:9" ht="15.75" customHeight="1" x14ac:dyDescent="0.3">
      <c r="A13" s="24" t="s">
        <v>31</v>
      </c>
      <c r="B13" s="241" t="s">
        <v>731</v>
      </c>
      <c r="C13" s="21">
        <f>SUM(C6:C12)</f>
        <v>1893528434</v>
      </c>
      <c r="D13" s="21">
        <f t="shared" ref="D13:E13" si="2">SUM(D6:D12)</f>
        <v>319021317</v>
      </c>
      <c r="E13" s="21">
        <f t="shared" si="2"/>
        <v>2212549751</v>
      </c>
      <c r="F13" s="241" t="s">
        <v>272</v>
      </c>
      <c r="G13" s="21">
        <f>SUM(G6:G10)</f>
        <v>2004505223</v>
      </c>
      <c r="H13" s="21">
        <f t="shared" ref="H13:I13" si="3">SUM(H6:H10)</f>
        <v>1531107245</v>
      </c>
      <c r="I13" s="21">
        <f t="shared" si="3"/>
        <v>3535612468</v>
      </c>
    </row>
    <row r="14" spans="1:9" ht="15.75" customHeight="1" x14ac:dyDescent="0.3">
      <c r="A14" s="314" t="s">
        <v>34</v>
      </c>
      <c r="B14" s="313" t="str">
        <f>'1.sz.mell.'!B71</f>
        <v xml:space="preserve">Hitel-, kölcsönfelvétel államháztartáson kívülről </v>
      </c>
      <c r="C14" s="315">
        <f>'[16]1.1.sz.mell.'!D71</f>
        <v>0</v>
      </c>
      <c r="D14" s="315"/>
      <c r="E14" s="315"/>
      <c r="F14" s="312" t="s">
        <v>251</v>
      </c>
      <c r="G14" s="307"/>
      <c r="H14" s="305"/>
      <c r="I14" s="308"/>
    </row>
    <row r="15" spans="1:9" ht="15.75" customHeight="1" x14ac:dyDescent="0.3">
      <c r="A15" s="314" t="s">
        <v>37</v>
      </c>
      <c r="B15" s="316" t="s">
        <v>189</v>
      </c>
      <c r="C15" s="702">
        <f>SUM(C16:C17)</f>
        <v>229723597</v>
      </c>
      <c r="D15" s="702">
        <f>E15-C15</f>
        <v>107029296</v>
      </c>
      <c r="E15" s="702">
        <v>336752893</v>
      </c>
      <c r="F15" s="313" t="s">
        <v>253</v>
      </c>
      <c r="G15" s="307"/>
      <c r="H15" s="305"/>
      <c r="I15" s="308"/>
    </row>
    <row r="16" spans="1:9" ht="15.75" customHeight="1" x14ac:dyDescent="0.3">
      <c r="A16" s="317" t="s">
        <v>273</v>
      </c>
      <c r="B16" s="318" t="str">
        <f>'1.sz.mell.'!B73</f>
        <v>Előző év költségvetési maradványának igénybevétele</v>
      </c>
      <c r="C16" s="703">
        <f>30364900+52858697+2000000+140000000</f>
        <v>225223597</v>
      </c>
      <c r="D16" s="702">
        <f t="shared" ref="D16:D17" si="4">E16-C16</f>
        <v>107029296</v>
      </c>
      <c r="E16" s="703">
        <v>332252893</v>
      </c>
      <c r="F16" s="313" t="s">
        <v>255</v>
      </c>
      <c r="G16" s="307">
        <f>'1.sz.mell.'!D110</f>
        <v>30364900</v>
      </c>
      <c r="H16" s="305">
        <f>I16-G16</f>
        <v>0</v>
      </c>
      <c r="I16" s="308">
        <v>30364900</v>
      </c>
    </row>
    <row r="17" spans="1:9" ht="15.75" customHeight="1" x14ac:dyDescent="0.3">
      <c r="A17" s="317" t="s">
        <v>274</v>
      </c>
      <c r="B17" s="318" t="str">
        <f>'1.sz.mell.'!B74</f>
        <v>Előző év vállalkozási maradványának igénybevétele</v>
      </c>
      <c r="C17" s="703">
        <v>4500000</v>
      </c>
      <c r="D17" s="702">
        <f t="shared" si="4"/>
        <v>0</v>
      </c>
      <c r="E17" s="703">
        <v>4500000</v>
      </c>
      <c r="F17" s="313" t="s">
        <v>257</v>
      </c>
      <c r="G17" s="307"/>
      <c r="H17" s="305"/>
      <c r="I17" s="308"/>
    </row>
    <row r="18" spans="1:9" ht="15.75" customHeight="1" x14ac:dyDescent="0.3">
      <c r="A18" s="314" t="s">
        <v>39</v>
      </c>
      <c r="B18" s="313"/>
      <c r="C18" s="307">
        <f>'[16]1.1.sz.mell.'!D75</f>
        <v>0</v>
      </c>
      <c r="D18" s="307"/>
      <c r="E18" s="307"/>
      <c r="F18" s="314"/>
      <c r="G18" s="307"/>
      <c r="H18" s="305"/>
      <c r="I18" s="308"/>
    </row>
    <row r="19" spans="1:9" ht="27" customHeight="1" x14ac:dyDescent="0.3">
      <c r="A19" s="314" t="s">
        <v>41</v>
      </c>
      <c r="B19" s="241" t="s">
        <v>275</v>
      </c>
      <c r="C19" s="21">
        <f>SUM(C14+C15+C18)</f>
        <v>229723597</v>
      </c>
      <c r="D19" s="21">
        <f t="shared" ref="D19:E19" si="5">SUM(D14+D15+D18)</f>
        <v>107029296</v>
      </c>
      <c r="E19" s="21">
        <f t="shared" si="5"/>
        <v>336752893</v>
      </c>
      <c r="F19" s="241" t="s">
        <v>276</v>
      </c>
      <c r="G19" s="21">
        <f>SUM(G14:G18)</f>
        <v>30364900</v>
      </c>
      <c r="H19" s="21">
        <f t="shared" ref="H19:I19" si="6">SUM(H14:H18)</f>
        <v>0</v>
      </c>
      <c r="I19" s="21">
        <f t="shared" si="6"/>
        <v>30364900</v>
      </c>
    </row>
    <row r="20" spans="1:9" ht="24" customHeight="1" x14ac:dyDescent="0.3">
      <c r="A20" s="314" t="s">
        <v>43</v>
      </c>
      <c r="B20" s="241" t="s">
        <v>277</v>
      </c>
      <c r="C20" s="21">
        <f>SUM(C13+C19)</f>
        <v>2123252031</v>
      </c>
      <c r="D20" s="21">
        <f t="shared" ref="D20:E20" si="7">SUM(D13+D19)</f>
        <v>426050613</v>
      </c>
      <c r="E20" s="21">
        <f t="shared" si="7"/>
        <v>2549302644</v>
      </c>
      <c r="F20" s="241" t="s">
        <v>278</v>
      </c>
      <c r="G20" s="21">
        <f>SUM(G13+G19)</f>
        <v>2034870123</v>
      </c>
      <c r="H20" s="21">
        <f t="shared" ref="H20:I20" si="8">SUM(H13+H19)</f>
        <v>1531107245</v>
      </c>
      <c r="I20" s="21">
        <f t="shared" si="8"/>
        <v>3565977368</v>
      </c>
    </row>
    <row r="21" spans="1:9" ht="18" customHeight="1" x14ac:dyDescent="0.3">
      <c r="A21" s="19" t="s">
        <v>45</v>
      </c>
      <c r="B21" s="241" t="s">
        <v>724</v>
      </c>
      <c r="C21" s="21">
        <f>IF(C13-G13&lt;0,G13-C13,"-")</f>
        <v>110976789</v>
      </c>
      <c r="D21" s="21">
        <f t="shared" ref="D21:E21" si="9">IF(D13-H13&lt;0,H13-D13,"-")</f>
        <v>1212085928</v>
      </c>
      <c r="E21" s="21">
        <f t="shared" si="9"/>
        <v>1323062717</v>
      </c>
      <c r="F21" s="241" t="s">
        <v>725</v>
      </c>
      <c r="G21" s="21" t="str">
        <f>IF(C13-G13&gt;0,C13-G13,"-")</f>
        <v>-</v>
      </c>
      <c r="H21" s="21" t="str">
        <f t="shared" ref="H21:I21" si="10">IF(D13-H13&gt;0,D13-H13,"-")</f>
        <v>-</v>
      </c>
      <c r="I21" s="21" t="str">
        <f t="shared" si="10"/>
        <v>-</v>
      </c>
    </row>
    <row r="22" spans="1:9" ht="18" customHeight="1" x14ac:dyDescent="0.3">
      <c r="A22" s="19" t="s">
        <v>47</v>
      </c>
      <c r="B22" s="241" t="s">
        <v>726</v>
      </c>
      <c r="C22" s="21" t="str">
        <f>IF(C13+C19-G20&lt;0,G20-(C13+C19),"-")</f>
        <v>-</v>
      </c>
      <c r="D22" s="21">
        <f t="shared" ref="D22:E22" si="11">IF(D13+D19-H20&lt;0,H20-(D13+D19),"-")</f>
        <v>1105056632</v>
      </c>
      <c r="E22" s="21">
        <f t="shared" si="11"/>
        <v>1016674724</v>
      </c>
      <c r="F22" s="241" t="s">
        <v>727</v>
      </c>
      <c r="G22" s="21">
        <f>IF(C13+C19-G20&gt;0,C13+C19-G20,"-")</f>
        <v>88381908</v>
      </c>
      <c r="H22" s="21" t="str">
        <f t="shared" ref="H22:I22" si="12">IF(D13+D19-H20&gt;0,D13+D19-H20,"-")</f>
        <v>-</v>
      </c>
      <c r="I22" s="21" t="str">
        <f t="shared" si="12"/>
        <v>-</v>
      </c>
    </row>
    <row r="23" spans="1:9" ht="15" x14ac:dyDescent="0.3">
      <c r="B23" s="22"/>
    </row>
  </sheetData>
  <mergeCells count="4">
    <mergeCell ref="A3:A4"/>
    <mergeCell ref="B3:E3"/>
    <mergeCell ref="F3:I3"/>
    <mergeCell ref="A1:I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67" orientation="landscape" verticalDpi="300" r:id="rId1"/>
  <headerFooter alignWithMargins="0">
    <oddHeader xml:space="preserve">&amp;R&amp;"Times New Roman CE,Félkövér dőlt"&amp;11 2.1. melléklet a 16/2017.(IX.04.) önkormányzati rendelethez  </oddHeader>
  </headerFooter>
  <colBreaks count="1" manualBreakCount="1">
    <brk id="9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topLeftCell="C1" zoomScaleNormal="100" zoomScaleSheetLayoutView="59" workbookViewId="0">
      <selection activeCell="E5" sqref="E5"/>
    </sheetView>
  </sheetViews>
  <sheetFormatPr defaultColWidth="9.296875" defaultRowHeight="13" x14ac:dyDescent="0.3"/>
  <cols>
    <col min="1" max="1" width="6.796875" style="15" customWidth="1"/>
    <col min="2" max="2" width="56.69921875" style="16" customWidth="1"/>
    <col min="3" max="5" width="16.69921875" style="15" customWidth="1"/>
    <col min="6" max="6" width="55.19921875" style="15" customWidth="1"/>
    <col min="7" max="7" width="16.69921875" style="15" customWidth="1"/>
    <col min="8" max="8" width="12.69921875" style="322" customWidth="1"/>
    <col min="9" max="9" width="12.69921875" style="320" bestFit="1" customWidth="1"/>
    <col min="10" max="16384" width="9.296875" style="15"/>
  </cols>
  <sheetData>
    <row r="1" spans="1:9" ht="44.25" customHeight="1" x14ac:dyDescent="0.3">
      <c r="A1" s="719" t="s">
        <v>648</v>
      </c>
      <c r="B1" s="719"/>
      <c r="C1" s="719"/>
      <c r="D1" s="719"/>
      <c r="E1" s="719"/>
      <c r="F1" s="719"/>
      <c r="G1" s="719"/>
      <c r="H1" s="719"/>
      <c r="I1" s="719"/>
    </row>
    <row r="2" spans="1:9" x14ac:dyDescent="0.3">
      <c r="H2" s="321"/>
      <c r="I2" s="17" t="s">
        <v>1</v>
      </c>
    </row>
    <row r="3" spans="1:9" ht="15.75" customHeight="1" x14ac:dyDescent="0.3">
      <c r="A3" s="717" t="s">
        <v>2</v>
      </c>
      <c r="B3" s="718" t="s">
        <v>265</v>
      </c>
      <c r="C3" s="718"/>
      <c r="D3" s="718"/>
      <c r="E3" s="718"/>
      <c r="F3" s="718" t="s">
        <v>266</v>
      </c>
      <c r="G3" s="718"/>
      <c r="H3" s="718"/>
      <c r="I3" s="718"/>
    </row>
    <row r="4" spans="1:9" s="18" customFormat="1" ht="26" x14ac:dyDescent="0.3">
      <c r="A4" s="717"/>
      <c r="B4" s="352" t="s">
        <v>267</v>
      </c>
      <c r="C4" s="352" t="s">
        <v>268</v>
      </c>
      <c r="D4" s="352" t="s">
        <v>860</v>
      </c>
      <c r="E4" s="352" t="s">
        <v>861</v>
      </c>
      <c r="F4" s="352" t="s">
        <v>267</v>
      </c>
      <c r="G4" s="352" t="str">
        <f>+C4</f>
        <v>2017. évi előirányzat</v>
      </c>
      <c r="H4" s="324" t="s">
        <v>860</v>
      </c>
      <c r="I4" s="324" t="s">
        <v>861</v>
      </c>
    </row>
    <row r="5" spans="1:9" s="18" customFormat="1" x14ac:dyDescent="0.3">
      <c r="A5" s="23" t="s">
        <v>6</v>
      </c>
      <c r="B5" s="23" t="s">
        <v>7</v>
      </c>
      <c r="C5" s="23" t="s">
        <v>8</v>
      </c>
      <c r="D5" s="23" t="s">
        <v>9</v>
      </c>
      <c r="E5" s="23" t="s">
        <v>269</v>
      </c>
      <c r="F5" s="23" t="s">
        <v>479</v>
      </c>
      <c r="G5" s="23" t="s">
        <v>857</v>
      </c>
      <c r="H5" s="325" t="s">
        <v>862</v>
      </c>
      <c r="I5" s="327" t="s">
        <v>863</v>
      </c>
    </row>
    <row r="6" spans="1:9" ht="16.5" customHeight="1" x14ac:dyDescent="0.3">
      <c r="A6" s="407" t="s">
        <v>10</v>
      </c>
      <c r="B6" s="306" t="s">
        <v>576</v>
      </c>
      <c r="C6" s="307">
        <f>'1.sz.mell.'!D31</f>
        <v>50000000</v>
      </c>
      <c r="D6" s="307">
        <f>E6-C6</f>
        <v>1157803187</v>
      </c>
      <c r="E6" s="307">
        <v>1207803187</v>
      </c>
      <c r="F6" s="306" t="str">
        <f>'1.sz.mell.'!B97</f>
        <v>Beruházások</v>
      </c>
      <c r="G6" s="307">
        <f>'1.sz.mell.'!D97</f>
        <v>62504500</v>
      </c>
      <c r="H6" s="323">
        <f>I6-G6</f>
        <v>27593139</v>
      </c>
      <c r="I6" s="326">
        <v>90097639</v>
      </c>
    </row>
    <row r="7" spans="1:9" ht="16.5" customHeight="1" x14ac:dyDescent="0.3">
      <c r="A7" s="407" t="s">
        <v>13</v>
      </c>
      <c r="B7" s="306" t="s">
        <v>728</v>
      </c>
      <c r="C7" s="307">
        <f>'1.sz.mell.'!D63</f>
        <v>2160072</v>
      </c>
      <c r="D7" s="307">
        <f t="shared" ref="D7:D11" si="0">E7-C7</f>
        <v>101065</v>
      </c>
      <c r="E7" s="307">
        <v>2261137</v>
      </c>
      <c r="F7" s="306" t="str">
        <f>'1.sz.mell.'!B98</f>
        <v>Felújítások</v>
      </c>
      <c r="G7" s="307">
        <f>'1.sz.mell.'!D98</f>
        <v>123810571</v>
      </c>
      <c r="H7" s="323">
        <f t="shared" ref="H7:H10" si="1">I7-G7</f>
        <v>29261542</v>
      </c>
      <c r="I7" s="326">
        <v>153072113</v>
      </c>
    </row>
    <row r="8" spans="1:9" ht="16.5" customHeight="1" x14ac:dyDescent="0.3">
      <c r="A8" s="407" t="s">
        <v>16</v>
      </c>
      <c r="B8" s="306" t="s">
        <v>729</v>
      </c>
      <c r="C8" s="307">
        <f>'1.sz.mell.'!D69</f>
        <v>0</v>
      </c>
      <c r="D8" s="307">
        <f t="shared" si="0"/>
        <v>926787</v>
      </c>
      <c r="E8" s="307">
        <v>926787</v>
      </c>
      <c r="F8" s="306" t="str">
        <f>'1.sz.mell.'!B99</f>
        <v>Egyéb felhalmozási kiadások</v>
      </c>
      <c r="G8" s="307">
        <f>'1.sz.mell.'!D99+G9</f>
        <v>5000000</v>
      </c>
      <c r="H8" s="323">
        <f t="shared" si="1"/>
        <v>1075000</v>
      </c>
      <c r="I8" s="326">
        <v>6075000</v>
      </c>
    </row>
    <row r="9" spans="1:9" ht="19.5" customHeight="1" x14ac:dyDescent="0.3">
      <c r="A9" s="407" t="s">
        <v>19</v>
      </c>
      <c r="B9" s="408" t="s">
        <v>871</v>
      </c>
      <c r="C9" s="310"/>
      <c r="D9" s="307">
        <f t="shared" si="0"/>
        <v>3962074</v>
      </c>
      <c r="E9" s="310">
        <v>3962074</v>
      </c>
      <c r="F9" s="309"/>
      <c r="G9" s="310"/>
      <c r="H9" s="323">
        <f t="shared" si="1"/>
        <v>0</v>
      </c>
      <c r="I9" s="326"/>
    </row>
    <row r="10" spans="1:9" ht="16.5" customHeight="1" x14ac:dyDescent="0.3">
      <c r="A10" s="407" t="s">
        <v>22</v>
      </c>
      <c r="B10" s="306"/>
      <c r="C10" s="307"/>
      <c r="D10" s="307">
        <f t="shared" si="0"/>
        <v>0</v>
      </c>
      <c r="E10" s="307"/>
      <c r="F10" s="311"/>
      <c r="G10" s="310"/>
      <c r="H10" s="323">
        <f t="shared" si="1"/>
        <v>0</v>
      </c>
      <c r="I10" s="326"/>
    </row>
    <row r="11" spans="1:9" ht="16.5" customHeight="1" x14ac:dyDescent="0.3">
      <c r="A11" s="407" t="s">
        <v>25</v>
      </c>
      <c r="B11" s="409"/>
      <c r="C11" s="307"/>
      <c r="D11" s="307">
        <f t="shared" si="0"/>
        <v>0</v>
      </c>
      <c r="E11" s="307"/>
      <c r="F11" s="311"/>
      <c r="G11" s="307"/>
      <c r="H11" s="323"/>
      <c r="I11" s="326"/>
    </row>
    <row r="12" spans="1:9" s="25" customFormat="1" ht="16.5" customHeight="1" x14ac:dyDescent="0.3">
      <c r="A12" s="352" t="s">
        <v>28</v>
      </c>
      <c r="B12" s="241" t="s">
        <v>730</v>
      </c>
      <c r="C12" s="21">
        <f>SUM(C6:C11)</f>
        <v>52160072</v>
      </c>
      <c r="D12" s="21">
        <f t="shared" ref="D12:E12" si="2">SUM(D6:D11)</f>
        <v>1162793113</v>
      </c>
      <c r="E12" s="21">
        <f t="shared" si="2"/>
        <v>1214953185</v>
      </c>
      <c r="F12" s="241" t="s">
        <v>279</v>
      </c>
      <c r="G12" s="21">
        <f>SUM(G6:G8)</f>
        <v>191315071</v>
      </c>
      <c r="H12" s="21">
        <f t="shared" ref="H12:I12" si="3">SUM(H6:H8)</f>
        <v>57929681</v>
      </c>
      <c r="I12" s="21">
        <f t="shared" si="3"/>
        <v>249244752</v>
      </c>
    </row>
    <row r="13" spans="1:9" ht="16.5" customHeight="1" x14ac:dyDescent="0.3">
      <c r="A13" s="314" t="s">
        <v>31</v>
      </c>
      <c r="B13" s="312" t="s">
        <v>280</v>
      </c>
      <c r="C13" s="410"/>
      <c r="D13" s="410"/>
      <c r="E13" s="410"/>
      <c r="F13" s="312" t="s">
        <v>251</v>
      </c>
      <c r="G13" s="265">
        <f>'1.sz.mell.'!D108</f>
        <v>23997938</v>
      </c>
      <c r="H13" s="323"/>
      <c r="I13" s="326">
        <v>23997938</v>
      </c>
    </row>
    <row r="14" spans="1:9" ht="16.5" customHeight="1" x14ac:dyDescent="0.3">
      <c r="A14" s="314" t="s">
        <v>34</v>
      </c>
      <c r="B14" s="316" t="s">
        <v>189</v>
      </c>
      <c r="C14" s="265">
        <f>SUM(C15:C16)</f>
        <v>74771029</v>
      </c>
      <c r="D14" s="265"/>
      <c r="E14" s="265">
        <v>74771029</v>
      </c>
      <c r="F14" s="313" t="s">
        <v>257</v>
      </c>
      <c r="G14" s="265"/>
      <c r="H14" s="323"/>
      <c r="I14" s="326"/>
    </row>
    <row r="15" spans="1:9" ht="16.5" customHeight="1" x14ac:dyDescent="0.3">
      <c r="A15" s="317" t="s">
        <v>281</v>
      </c>
      <c r="B15" s="704" t="s">
        <v>282</v>
      </c>
      <c r="C15" s="705">
        <f>32320000+16951029</f>
        <v>49271029</v>
      </c>
      <c r="D15" s="705"/>
      <c r="E15" s="705">
        <v>49271029</v>
      </c>
      <c r="F15" s="306"/>
      <c r="G15" s="265"/>
      <c r="H15" s="323"/>
      <c r="I15" s="326"/>
    </row>
    <row r="16" spans="1:9" ht="16.5" customHeight="1" x14ac:dyDescent="0.3">
      <c r="A16" s="317" t="s">
        <v>283</v>
      </c>
      <c r="B16" s="704" t="s">
        <v>284</v>
      </c>
      <c r="C16" s="705">
        <v>25500000</v>
      </c>
      <c r="D16" s="705"/>
      <c r="E16" s="705">
        <v>25500000</v>
      </c>
      <c r="F16" s="306"/>
      <c r="G16" s="265"/>
      <c r="H16" s="323"/>
      <c r="I16" s="326"/>
    </row>
    <row r="17" spans="1:9" ht="16.5" customHeight="1" x14ac:dyDescent="0.3">
      <c r="A17" s="24" t="s">
        <v>37</v>
      </c>
      <c r="B17" s="241" t="s">
        <v>285</v>
      </c>
      <c r="C17" s="411">
        <f>SUM(C13:C14)</f>
        <v>74771029</v>
      </c>
      <c r="D17" s="411">
        <f t="shared" ref="D17:E17" si="4">SUM(D13:D14)</f>
        <v>0</v>
      </c>
      <c r="E17" s="411">
        <f t="shared" si="4"/>
        <v>74771029</v>
      </c>
      <c r="F17" s="241" t="s">
        <v>286</v>
      </c>
      <c r="G17" s="411">
        <f>SUM(G13:G16)</f>
        <v>23997938</v>
      </c>
      <c r="H17" s="411">
        <f t="shared" ref="H17:I17" si="5">SUM(H13:H16)</f>
        <v>0</v>
      </c>
      <c r="I17" s="411">
        <f t="shared" si="5"/>
        <v>23997938</v>
      </c>
    </row>
    <row r="18" spans="1:9" ht="22.5" customHeight="1" x14ac:dyDescent="0.3">
      <c r="A18" s="24" t="s">
        <v>39</v>
      </c>
      <c r="B18" s="241" t="s">
        <v>287</v>
      </c>
      <c r="C18" s="21">
        <f>+C12+C17</f>
        <v>126931101</v>
      </c>
      <c r="D18" s="21">
        <f t="shared" ref="D18:E18" si="6">+D12+D17</f>
        <v>1162793113</v>
      </c>
      <c r="E18" s="21">
        <f t="shared" si="6"/>
        <v>1289724214</v>
      </c>
      <c r="F18" s="241" t="s">
        <v>288</v>
      </c>
      <c r="G18" s="21">
        <f>SUM(G12+G17)</f>
        <v>215313009</v>
      </c>
      <c r="H18" s="21">
        <f t="shared" ref="H18:I18" si="7">SUM(H12+H17)</f>
        <v>57929681</v>
      </c>
      <c r="I18" s="21">
        <f t="shared" si="7"/>
        <v>273242690</v>
      </c>
    </row>
    <row r="19" spans="1:9" ht="18" customHeight="1" x14ac:dyDescent="0.3">
      <c r="A19" s="352" t="s">
        <v>41</v>
      </c>
      <c r="B19" s="241" t="s">
        <v>724</v>
      </c>
      <c r="C19" s="21">
        <f>IF(C12-G12&lt;0,G12-C12,"-")</f>
        <v>139154999</v>
      </c>
      <c r="D19" s="21" t="str">
        <f t="shared" ref="D19:E19" si="8">IF(D12-H12&lt;0,H12-D12,"-")</f>
        <v>-</v>
      </c>
      <c r="E19" s="21" t="str">
        <f t="shared" si="8"/>
        <v>-</v>
      </c>
      <c r="F19" s="241" t="s">
        <v>725</v>
      </c>
      <c r="G19" s="242" t="str">
        <f>IF(C12-G12&gt;0,C12-G12,"-")</f>
        <v>-</v>
      </c>
      <c r="H19" s="323"/>
      <c r="I19" s="326"/>
    </row>
    <row r="20" spans="1:9" ht="18" customHeight="1" x14ac:dyDescent="0.3">
      <c r="A20" s="352" t="s">
        <v>43</v>
      </c>
      <c r="B20" s="241" t="s">
        <v>726</v>
      </c>
      <c r="C20" s="21">
        <f>IF(C12+C17-G18&lt;0,G18-(C12+C17),"-")</f>
        <v>88381908</v>
      </c>
      <c r="D20" s="21" t="str">
        <f t="shared" ref="D20:E20" si="9">IF(D12+D17-H18&lt;0,H18-(D12+D17),"-")</f>
        <v>-</v>
      </c>
      <c r="E20" s="21" t="str">
        <f t="shared" si="9"/>
        <v>-</v>
      </c>
      <c r="F20" s="241" t="s">
        <v>727</v>
      </c>
      <c r="G20" s="242" t="str">
        <f>IF(C12+C17-G18&gt;0,C12+C17-G18,"-")</f>
        <v>-</v>
      </c>
      <c r="H20" s="323"/>
      <c r="I20" s="326"/>
    </row>
  </sheetData>
  <mergeCells count="4">
    <mergeCell ref="A3:A4"/>
    <mergeCell ref="B3:E3"/>
    <mergeCell ref="F3:I3"/>
    <mergeCell ref="A1:I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68" orientation="landscape" verticalDpi="300" r:id="rId1"/>
  <headerFooter alignWithMargins="0">
    <oddHeader>&amp;R&amp;"Times New Roman CE,Félkövér dőlt"&amp;12 2.2. melléklet a 16/2017. (IX.04.)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view="pageLayout" topLeftCell="B1" zoomScaleNormal="100" workbookViewId="0">
      <selection activeCell="E5" sqref="E5"/>
    </sheetView>
  </sheetViews>
  <sheetFormatPr defaultColWidth="18.296875" defaultRowHeight="13" x14ac:dyDescent="0.3"/>
  <cols>
    <col min="1" max="1" width="9.296875" style="26" customWidth="1"/>
    <col min="2" max="2" width="61" style="27" customWidth="1"/>
    <col min="3" max="3" width="16" style="26" customWidth="1"/>
    <col min="4" max="5" width="13.796875" style="28" customWidth="1"/>
    <col min="6" max="6" width="13.796875" style="27" customWidth="1"/>
    <col min="7" max="8" width="18.296875" style="696"/>
    <col min="9" max="16384" width="18.296875" style="27"/>
  </cols>
  <sheetData>
    <row r="1" spans="1:8" ht="43.5" customHeight="1" x14ac:dyDescent="0.3">
      <c r="A1" s="721" t="s">
        <v>406</v>
      </c>
      <c r="B1" s="721"/>
      <c r="C1" s="721"/>
      <c r="D1" s="721"/>
      <c r="E1" s="721"/>
      <c r="F1" s="721"/>
      <c r="G1" s="721"/>
      <c r="H1" s="721"/>
    </row>
    <row r="2" spans="1:8" ht="15.75" customHeight="1" x14ac:dyDescent="0.3">
      <c r="A2" s="722" t="s">
        <v>1</v>
      </c>
      <c r="B2" s="722"/>
      <c r="C2" s="722"/>
      <c r="D2" s="722"/>
      <c r="E2" s="722"/>
      <c r="F2" s="722"/>
      <c r="G2" s="722"/>
      <c r="H2" s="722"/>
    </row>
    <row r="3" spans="1:8" s="31" customFormat="1" ht="22.5" customHeight="1" x14ac:dyDescent="0.3">
      <c r="A3" s="720" t="s">
        <v>289</v>
      </c>
      <c r="B3" s="720" t="s">
        <v>290</v>
      </c>
      <c r="C3" s="412"/>
      <c r="D3" s="723" t="s">
        <v>405</v>
      </c>
      <c r="E3" s="724"/>
      <c r="F3" s="724"/>
      <c r="G3" s="724"/>
      <c r="H3" s="724"/>
    </row>
    <row r="4" spans="1:8" s="32" customFormat="1" ht="25.5" customHeight="1" x14ac:dyDescent="0.3">
      <c r="A4" s="720"/>
      <c r="B4" s="720"/>
      <c r="C4" s="413" t="s">
        <v>291</v>
      </c>
      <c r="D4" s="412" t="s">
        <v>292</v>
      </c>
      <c r="E4" s="413" t="s">
        <v>293</v>
      </c>
      <c r="F4" s="412" t="s">
        <v>410</v>
      </c>
      <c r="G4" s="690" t="s">
        <v>860</v>
      </c>
      <c r="H4" s="690" t="s">
        <v>890</v>
      </c>
    </row>
    <row r="5" spans="1:8" ht="28.5" customHeight="1" x14ac:dyDescent="0.3">
      <c r="A5" s="414" t="s">
        <v>294</v>
      </c>
      <c r="B5" s="415" t="s">
        <v>295</v>
      </c>
      <c r="C5" s="416" t="s">
        <v>296</v>
      </c>
      <c r="D5" s="417">
        <v>44.75</v>
      </c>
      <c r="E5" s="418">
        <v>4580000</v>
      </c>
      <c r="F5" s="419">
        <f>D5*E5</f>
        <v>204955000</v>
      </c>
      <c r="G5" s="693">
        <f>H5-F5</f>
        <v>0</v>
      </c>
      <c r="H5" s="693">
        <v>204955000</v>
      </c>
    </row>
    <row r="6" spans="1:8" ht="29.25" customHeight="1" x14ac:dyDescent="0.3">
      <c r="A6" s="416" t="s">
        <v>297</v>
      </c>
      <c r="B6" s="415" t="s">
        <v>298</v>
      </c>
      <c r="C6" s="414"/>
      <c r="D6" s="420"/>
      <c r="E6" s="420"/>
      <c r="F6" s="419">
        <f>SUM(F7:F10)</f>
        <v>43969616</v>
      </c>
      <c r="G6" s="693">
        <f t="shared" ref="G6:G58" si="0">H6-F6</f>
        <v>0</v>
      </c>
      <c r="H6" s="693">
        <v>43969616</v>
      </c>
    </row>
    <row r="7" spans="1:8" ht="28.5" customHeight="1" x14ac:dyDescent="0.3">
      <c r="A7" s="421" t="s">
        <v>299</v>
      </c>
      <c r="B7" s="422" t="s">
        <v>300</v>
      </c>
      <c r="C7" s="421" t="s">
        <v>301</v>
      </c>
      <c r="D7" s="423"/>
      <c r="E7" s="424">
        <v>22300</v>
      </c>
      <c r="F7" s="424">
        <v>0</v>
      </c>
      <c r="G7" s="693">
        <f t="shared" si="0"/>
        <v>0</v>
      </c>
      <c r="H7" s="693"/>
    </row>
    <row r="8" spans="1:8" ht="29.25" customHeight="1" x14ac:dyDescent="0.3">
      <c r="A8" s="421" t="s">
        <v>302</v>
      </c>
      <c r="B8" s="422" t="s">
        <v>303</v>
      </c>
      <c r="C8" s="421" t="s">
        <v>304</v>
      </c>
      <c r="D8" s="423"/>
      <c r="E8" s="423"/>
      <c r="F8" s="424">
        <v>15582166</v>
      </c>
      <c r="G8" s="693">
        <f t="shared" si="0"/>
        <v>0</v>
      </c>
      <c r="H8" s="693">
        <v>15582166</v>
      </c>
    </row>
    <row r="9" spans="1:8" ht="23.25" customHeight="1" x14ac:dyDescent="0.3">
      <c r="A9" s="421" t="s">
        <v>305</v>
      </c>
      <c r="B9" s="422" t="s">
        <v>306</v>
      </c>
      <c r="C9" s="421" t="s">
        <v>307</v>
      </c>
      <c r="D9" s="423"/>
      <c r="E9" s="423"/>
      <c r="F9" s="424">
        <v>524700</v>
      </c>
      <c r="G9" s="693">
        <f t="shared" si="0"/>
        <v>0</v>
      </c>
      <c r="H9" s="693">
        <v>524700</v>
      </c>
    </row>
    <row r="10" spans="1:8" ht="18.75" customHeight="1" x14ac:dyDescent="0.3">
      <c r="A10" s="421" t="s">
        <v>308</v>
      </c>
      <c r="B10" s="422" t="s">
        <v>309</v>
      </c>
      <c r="C10" s="421" t="s">
        <v>304</v>
      </c>
      <c r="D10" s="423"/>
      <c r="E10" s="423"/>
      <c r="F10" s="424">
        <v>27862750</v>
      </c>
      <c r="G10" s="693">
        <f t="shared" si="0"/>
        <v>0</v>
      </c>
      <c r="H10" s="693">
        <v>27862750</v>
      </c>
    </row>
    <row r="11" spans="1:8" ht="24" customHeight="1" x14ac:dyDescent="0.3">
      <c r="A11" s="414" t="s">
        <v>310</v>
      </c>
      <c r="B11" s="415" t="s">
        <v>311</v>
      </c>
      <c r="C11" s="414" t="s">
        <v>312</v>
      </c>
      <c r="D11" s="420"/>
      <c r="E11" s="418">
        <v>2700</v>
      </c>
      <c r="F11" s="418">
        <v>0</v>
      </c>
      <c r="G11" s="693">
        <f t="shared" si="0"/>
        <v>0</v>
      </c>
      <c r="H11" s="693"/>
    </row>
    <row r="12" spans="1:8" ht="35.25" customHeight="1" x14ac:dyDescent="0.3">
      <c r="A12" s="414" t="s">
        <v>313</v>
      </c>
      <c r="B12" s="415" t="s">
        <v>314</v>
      </c>
      <c r="C12" s="416" t="s">
        <v>315</v>
      </c>
      <c r="D12" s="420"/>
      <c r="E12" s="418">
        <v>2550</v>
      </c>
      <c r="F12" s="418">
        <v>0</v>
      </c>
      <c r="G12" s="693">
        <f t="shared" si="0"/>
        <v>0</v>
      </c>
      <c r="H12" s="693"/>
    </row>
    <row r="13" spans="1:8" ht="24.75" customHeight="1" x14ac:dyDescent="0.3">
      <c r="A13" s="414" t="s">
        <v>316</v>
      </c>
      <c r="B13" s="415" t="s">
        <v>317</v>
      </c>
      <c r="C13" s="416" t="s">
        <v>318</v>
      </c>
      <c r="D13" s="420"/>
      <c r="E13" s="417">
        <v>1</v>
      </c>
      <c r="F13" s="419">
        <v>1078000</v>
      </c>
      <c r="G13" s="693">
        <f t="shared" si="0"/>
        <v>0</v>
      </c>
      <c r="H13" s="693">
        <v>1078000</v>
      </c>
    </row>
    <row r="14" spans="1:8" ht="24.75" customHeight="1" x14ac:dyDescent="0.3">
      <c r="A14" s="414"/>
      <c r="B14" s="415" t="s">
        <v>409</v>
      </c>
      <c r="C14" s="416"/>
      <c r="D14" s="420"/>
      <c r="E14" s="417"/>
      <c r="F14" s="418">
        <v>119555894</v>
      </c>
      <c r="G14" s="693">
        <f t="shared" si="0"/>
        <v>0</v>
      </c>
      <c r="H14" s="693">
        <v>119555894</v>
      </c>
    </row>
    <row r="15" spans="1:8" s="31" customFormat="1" ht="31.5" customHeight="1" x14ac:dyDescent="0.3">
      <c r="A15" s="425" t="s">
        <v>319</v>
      </c>
      <c r="B15" s="426" t="s">
        <v>320</v>
      </c>
      <c r="C15" s="425" t="s">
        <v>321</v>
      </c>
      <c r="D15" s="427"/>
      <c r="E15" s="427"/>
      <c r="F15" s="428">
        <f>SUM(F5+F6+F13)</f>
        <v>250002616</v>
      </c>
      <c r="G15" s="693">
        <f t="shared" si="0"/>
        <v>0</v>
      </c>
      <c r="H15" s="694">
        <f t="shared" ref="H15" si="1">SUM(H5+H6+H13)</f>
        <v>250002616</v>
      </c>
    </row>
    <row r="16" spans="1:8" s="31" customFormat="1" ht="18.75" customHeight="1" x14ac:dyDescent="0.3">
      <c r="A16" s="425" t="s">
        <v>322</v>
      </c>
      <c r="B16" s="427" t="s">
        <v>404</v>
      </c>
      <c r="C16" s="425" t="s">
        <v>321</v>
      </c>
      <c r="D16" s="427" t="s">
        <v>323</v>
      </c>
      <c r="E16" s="427" t="s">
        <v>323</v>
      </c>
      <c r="F16" s="429">
        <v>948944</v>
      </c>
      <c r="G16" s="693">
        <f t="shared" si="0"/>
        <v>0</v>
      </c>
      <c r="H16" s="689">
        <v>948944</v>
      </c>
    </row>
    <row r="17" spans="1:8" s="691" customFormat="1" ht="30" customHeight="1" x14ac:dyDescent="0.3">
      <c r="A17" s="425" t="s">
        <v>324</v>
      </c>
      <c r="B17" s="426" t="s">
        <v>325</v>
      </c>
      <c r="C17" s="425" t="s">
        <v>321</v>
      </c>
      <c r="D17" s="427"/>
      <c r="E17" s="427"/>
      <c r="F17" s="429">
        <f>SUM(F15:F16)</f>
        <v>250951560</v>
      </c>
      <c r="G17" s="693">
        <f t="shared" si="0"/>
        <v>0</v>
      </c>
      <c r="H17" s="695">
        <v>250951560</v>
      </c>
    </row>
    <row r="18" spans="1:8" ht="34.5" customHeight="1" x14ac:dyDescent="0.3">
      <c r="A18" s="414" t="s">
        <v>326</v>
      </c>
      <c r="B18" s="415" t="s">
        <v>327</v>
      </c>
      <c r="C18" s="414"/>
      <c r="D18" s="420"/>
      <c r="E18" s="420"/>
      <c r="F18" s="418">
        <f>SUM(F19:F24)</f>
        <v>207374883.33333337</v>
      </c>
      <c r="G18" s="693">
        <f t="shared" si="0"/>
        <v>-0.33333337306976318</v>
      </c>
      <c r="H18" s="693">
        <v>207374883</v>
      </c>
    </row>
    <row r="19" spans="1:8" ht="18.75" customHeight="1" x14ac:dyDescent="0.3">
      <c r="A19" s="421" t="s">
        <v>328</v>
      </c>
      <c r="B19" s="423" t="s">
        <v>329</v>
      </c>
      <c r="C19" s="421" t="s">
        <v>312</v>
      </c>
      <c r="D19" s="430">
        <v>36.5</v>
      </c>
      <c r="E19" s="424">
        <v>4469900</v>
      </c>
      <c r="F19" s="424">
        <f>D19*E19/12*8</f>
        <v>108767566.66666667</v>
      </c>
      <c r="G19" s="693">
        <f t="shared" si="0"/>
        <v>0.3333333283662796</v>
      </c>
      <c r="H19" s="693">
        <v>108767567</v>
      </c>
    </row>
    <row r="20" spans="1:8" ht="49.5" customHeight="1" x14ac:dyDescent="0.3">
      <c r="A20" s="421" t="s">
        <v>330</v>
      </c>
      <c r="B20" s="422" t="s">
        <v>331</v>
      </c>
      <c r="C20" s="421" t="s">
        <v>312</v>
      </c>
      <c r="D20" s="430">
        <v>24</v>
      </c>
      <c r="E20" s="424">
        <v>1800000</v>
      </c>
      <c r="F20" s="424">
        <f>D20*E20/12*8</f>
        <v>28800000</v>
      </c>
      <c r="G20" s="693">
        <f t="shared" si="0"/>
        <v>0</v>
      </c>
      <c r="H20" s="693">
        <v>28800000</v>
      </c>
    </row>
    <row r="21" spans="1:8" ht="45.75" customHeight="1" x14ac:dyDescent="0.3">
      <c r="A21" s="421" t="s">
        <v>332</v>
      </c>
      <c r="B21" s="422" t="s">
        <v>333</v>
      </c>
      <c r="C21" s="421" t="s">
        <v>312</v>
      </c>
      <c r="D21" s="430">
        <v>1</v>
      </c>
      <c r="E21" s="424">
        <v>4469900</v>
      </c>
      <c r="F21" s="424">
        <f>D21*E21/12*8</f>
        <v>2979933.3333333335</v>
      </c>
      <c r="G21" s="693">
        <f t="shared" si="0"/>
        <v>-0.33333333348855376</v>
      </c>
      <c r="H21" s="693">
        <v>2979933</v>
      </c>
    </row>
    <row r="22" spans="1:8" ht="18.75" customHeight="1" x14ac:dyDescent="0.3">
      <c r="A22" s="421" t="s">
        <v>334</v>
      </c>
      <c r="B22" s="423" t="s">
        <v>329</v>
      </c>
      <c r="C22" s="421" t="s">
        <v>312</v>
      </c>
      <c r="D22" s="430">
        <v>34.700000000000003</v>
      </c>
      <c r="E22" s="424">
        <v>4469900</v>
      </c>
      <c r="F22" s="424">
        <f>D22*E22/12*4</f>
        <v>51701843.333333336</v>
      </c>
      <c r="G22" s="693">
        <f t="shared" si="0"/>
        <v>-0.3333333358168602</v>
      </c>
      <c r="H22" s="693">
        <v>51701843</v>
      </c>
    </row>
    <row r="23" spans="1:8" ht="45" customHeight="1" x14ac:dyDescent="0.3">
      <c r="A23" s="421" t="s">
        <v>335</v>
      </c>
      <c r="B23" s="422" t="s">
        <v>331</v>
      </c>
      <c r="C23" s="421" t="s">
        <v>312</v>
      </c>
      <c r="D23" s="430">
        <v>23</v>
      </c>
      <c r="E23" s="424">
        <v>1800000</v>
      </c>
      <c r="F23" s="424">
        <f>D23*E23/12*4</f>
        <v>13800000</v>
      </c>
      <c r="G23" s="693">
        <f t="shared" si="0"/>
        <v>0</v>
      </c>
      <c r="H23" s="693">
        <v>13800000</v>
      </c>
    </row>
    <row r="24" spans="1:8" ht="24.75" customHeight="1" x14ac:dyDescent="0.3">
      <c r="A24" s="421" t="s">
        <v>336</v>
      </c>
      <c r="B24" s="422" t="s">
        <v>337</v>
      </c>
      <c r="C24" s="421" t="s">
        <v>312</v>
      </c>
      <c r="D24" s="430">
        <v>34.700000000000003</v>
      </c>
      <c r="E24" s="424">
        <v>38200</v>
      </c>
      <c r="F24" s="424">
        <f>D24*E24</f>
        <v>1325540</v>
      </c>
      <c r="G24" s="693">
        <f t="shared" si="0"/>
        <v>0</v>
      </c>
      <c r="H24" s="693">
        <v>1325540</v>
      </c>
    </row>
    <row r="25" spans="1:8" ht="18.75" customHeight="1" x14ac:dyDescent="0.3">
      <c r="A25" s="414" t="s">
        <v>338</v>
      </c>
      <c r="B25" s="415" t="s">
        <v>339</v>
      </c>
      <c r="C25" s="414" t="s">
        <v>312</v>
      </c>
      <c r="D25" s="418"/>
      <c r="E25" s="418">
        <v>80000</v>
      </c>
      <c r="F25" s="418"/>
      <c r="G25" s="693">
        <f t="shared" si="0"/>
        <v>0</v>
      </c>
      <c r="H25" s="693"/>
    </row>
    <row r="26" spans="1:8" ht="18.75" customHeight="1" x14ac:dyDescent="0.3">
      <c r="A26" s="414" t="s">
        <v>340</v>
      </c>
      <c r="B26" s="415" t="s">
        <v>341</v>
      </c>
      <c r="C26" s="414" t="s">
        <v>312</v>
      </c>
      <c r="D26" s="418">
        <v>403</v>
      </c>
      <c r="E26" s="418">
        <v>81700</v>
      </c>
      <c r="F26" s="418">
        <f>D26*E26/12*8</f>
        <v>21950066.666666668</v>
      </c>
      <c r="G26" s="693">
        <f t="shared" si="0"/>
        <v>0.3333333320915699</v>
      </c>
      <c r="H26" s="693">
        <v>21950067</v>
      </c>
    </row>
    <row r="27" spans="1:8" ht="18.75" customHeight="1" x14ac:dyDescent="0.3">
      <c r="A27" s="414" t="s">
        <v>342</v>
      </c>
      <c r="B27" s="415" t="s">
        <v>339</v>
      </c>
      <c r="C27" s="414" t="s">
        <v>312</v>
      </c>
      <c r="D27" s="418"/>
      <c r="E27" s="418">
        <v>80000</v>
      </c>
      <c r="F27" s="418"/>
      <c r="G27" s="693">
        <f t="shared" si="0"/>
        <v>0</v>
      </c>
      <c r="H27" s="693"/>
    </row>
    <row r="28" spans="1:8" ht="18.75" customHeight="1" x14ac:dyDescent="0.3">
      <c r="A28" s="414" t="s">
        <v>343</v>
      </c>
      <c r="B28" s="415" t="s">
        <v>341</v>
      </c>
      <c r="C28" s="414" t="s">
        <v>312</v>
      </c>
      <c r="D28" s="418">
        <v>383</v>
      </c>
      <c r="E28" s="418">
        <v>81700</v>
      </c>
      <c r="F28" s="418">
        <f>D28*E28/12*4</f>
        <v>10430366.666666666</v>
      </c>
      <c r="G28" s="693">
        <f t="shared" si="0"/>
        <v>0.33333333395421505</v>
      </c>
      <c r="H28" s="693">
        <v>10430367</v>
      </c>
    </row>
    <row r="29" spans="1:8" ht="18.75" customHeight="1" x14ac:dyDescent="0.3">
      <c r="A29" s="425" t="s">
        <v>344</v>
      </c>
      <c r="B29" s="426" t="s">
        <v>345</v>
      </c>
      <c r="C29" s="425" t="s">
        <v>321</v>
      </c>
      <c r="D29" s="418"/>
      <c r="E29" s="418"/>
      <c r="F29" s="418"/>
      <c r="G29" s="693">
        <f t="shared" si="0"/>
        <v>0</v>
      </c>
      <c r="H29" s="693"/>
    </row>
    <row r="30" spans="1:8" ht="33.75" customHeight="1" x14ac:dyDescent="0.3">
      <c r="A30" s="416" t="s">
        <v>344</v>
      </c>
      <c r="B30" s="415" t="s">
        <v>346</v>
      </c>
      <c r="C30" s="425"/>
      <c r="D30" s="427"/>
      <c r="E30" s="427"/>
      <c r="F30" s="429">
        <f>SUM(F31:F32)</f>
        <v>2932300</v>
      </c>
      <c r="G30" s="695">
        <f t="shared" ref="G30:H30" si="2">SUM(G31:G32)</f>
        <v>1535968</v>
      </c>
      <c r="H30" s="695">
        <f t="shared" si="2"/>
        <v>4468268</v>
      </c>
    </row>
    <row r="31" spans="1:8" ht="37.5" customHeight="1" x14ac:dyDescent="0.3">
      <c r="A31" s="414" t="s">
        <v>347</v>
      </c>
      <c r="B31" s="415" t="s">
        <v>348</v>
      </c>
      <c r="C31" s="414" t="s">
        <v>312</v>
      </c>
      <c r="D31" s="418">
        <v>7</v>
      </c>
      <c r="E31" s="418">
        <v>418900</v>
      </c>
      <c r="F31" s="418">
        <f>D31*E31</f>
        <v>2932300</v>
      </c>
      <c r="G31" s="693">
        <f t="shared" si="0"/>
        <v>0</v>
      </c>
      <c r="H31" s="693">
        <v>2932300</v>
      </c>
    </row>
    <row r="32" spans="1:8" ht="44.25" customHeight="1" x14ac:dyDescent="0.3">
      <c r="A32" s="414" t="s">
        <v>349</v>
      </c>
      <c r="B32" s="415" t="s">
        <v>350</v>
      </c>
      <c r="C32" s="414" t="s">
        <v>312</v>
      </c>
      <c r="D32" s="418"/>
      <c r="E32" s="418">
        <v>383992</v>
      </c>
      <c r="F32" s="418"/>
      <c r="G32" s="693">
        <f t="shared" si="0"/>
        <v>1535968</v>
      </c>
      <c r="H32" s="693">
        <v>1535968</v>
      </c>
    </row>
    <row r="33" spans="1:8" s="31" customFormat="1" ht="30.75" customHeight="1" x14ac:dyDescent="0.3">
      <c r="A33" s="425" t="s">
        <v>351</v>
      </c>
      <c r="B33" s="426" t="s">
        <v>352</v>
      </c>
      <c r="C33" s="425" t="s">
        <v>321</v>
      </c>
      <c r="D33" s="427"/>
      <c r="E33" s="427"/>
      <c r="F33" s="429">
        <f>SUM(F18+F25+F26+F27+F28+F30)</f>
        <v>242687616.66666669</v>
      </c>
      <c r="G33" s="695">
        <f t="shared" ref="G33:H33" si="3">SUM(G18+G25+G26+G27+G28+G30)</f>
        <v>1535968.333333293</v>
      </c>
      <c r="H33" s="695">
        <f t="shared" si="3"/>
        <v>244223585</v>
      </c>
    </row>
    <row r="34" spans="1:8" s="31" customFormat="1" ht="29.25" customHeight="1" x14ac:dyDescent="0.3">
      <c r="A34" s="425" t="s">
        <v>353</v>
      </c>
      <c r="B34" s="426" t="s">
        <v>354</v>
      </c>
      <c r="C34" s="425" t="s">
        <v>321</v>
      </c>
      <c r="D34" s="427"/>
      <c r="E34" s="427"/>
      <c r="F34" s="429">
        <v>71143000</v>
      </c>
      <c r="G34" s="693">
        <f t="shared" si="0"/>
        <v>0</v>
      </c>
      <c r="H34" s="689">
        <v>71143000</v>
      </c>
    </row>
    <row r="35" spans="1:8" ht="22.5" customHeight="1" x14ac:dyDescent="0.3">
      <c r="A35" s="414" t="s">
        <v>355</v>
      </c>
      <c r="B35" s="415" t="s">
        <v>356</v>
      </c>
      <c r="C35" s="416" t="s">
        <v>357</v>
      </c>
      <c r="D35" s="420"/>
      <c r="E35" s="418">
        <v>3000000</v>
      </c>
      <c r="F35" s="418">
        <f>E35*4.2</f>
        <v>12600000</v>
      </c>
      <c r="G35" s="693">
        <f t="shared" si="0"/>
        <v>0</v>
      </c>
      <c r="H35" s="693">
        <v>12600000</v>
      </c>
    </row>
    <row r="36" spans="1:8" ht="22.5" customHeight="1" x14ac:dyDescent="0.3">
      <c r="A36" s="414" t="s">
        <v>358</v>
      </c>
      <c r="B36" s="415" t="s">
        <v>359</v>
      </c>
      <c r="C36" s="416" t="s">
        <v>357</v>
      </c>
      <c r="D36" s="420"/>
      <c r="E36" s="418">
        <v>3000000</v>
      </c>
      <c r="F36" s="418">
        <f>E36*4.4</f>
        <v>13200000.000000002</v>
      </c>
      <c r="G36" s="693">
        <f t="shared" si="0"/>
        <v>0</v>
      </c>
      <c r="H36" s="693">
        <v>13200000</v>
      </c>
    </row>
    <row r="37" spans="1:8" ht="18.75" customHeight="1" x14ac:dyDescent="0.3">
      <c r="A37" s="414" t="s">
        <v>360</v>
      </c>
      <c r="B37" s="415" t="s">
        <v>361</v>
      </c>
      <c r="C37" s="414" t="s">
        <v>312</v>
      </c>
      <c r="D37" s="418"/>
      <c r="E37" s="418">
        <v>55360</v>
      </c>
      <c r="F37" s="418"/>
      <c r="G37" s="693">
        <f t="shared" si="0"/>
        <v>0</v>
      </c>
      <c r="H37" s="693"/>
    </row>
    <row r="38" spans="1:8" ht="18.75" customHeight="1" x14ac:dyDescent="0.3">
      <c r="A38" s="414" t="s">
        <v>362</v>
      </c>
      <c r="B38" s="415" t="s">
        <v>363</v>
      </c>
      <c r="C38" s="414" t="s">
        <v>312</v>
      </c>
      <c r="D38" s="418">
        <v>208</v>
      </c>
      <c r="E38" s="418">
        <v>60896</v>
      </c>
      <c r="F38" s="418">
        <f>D38*E38</f>
        <v>12666368</v>
      </c>
      <c r="G38" s="693">
        <f t="shared" si="0"/>
        <v>60896</v>
      </c>
      <c r="H38" s="693">
        <v>12727264</v>
      </c>
    </row>
    <row r="39" spans="1:8" ht="18.75" customHeight="1" x14ac:dyDescent="0.3">
      <c r="A39" s="414" t="s">
        <v>364</v>
      </c>
      <c r="B39" s="415" t="s">
        <v>365</v>
      </c>
      <c r="C39" s="414" t="s">
        <v>312</v>
      </c>
      <c r="D39" s="418"/>
      <c r="E39" s="418"/>
      <c r="F39" s="418"/>
      <c r="G39" s="693">
        <f t="shared" si="0"/>
        <v>0</v>
      </c>
      <c r="H39" s="693"/>
    </row>
    <row r="40" spans="1:8" ht="18.75" customHeight="1" x14ac:dyDescent="0.3">
      <c r="A40" s="414" t="s">
        <v>366</v>
      </c>
      <c r="B40" s="415" t="s">
        <v>367</v>
      </c>
      <c r="C40" s="414" t="s">
        <v>312</v>
      </c>
      <c r="D40" s="418"/>
      <c r="E40" s="418"/>
      <c r="F40" s="418"/>
      <c r="G40" s="693">
        <f t="shared" si="0"/>
        <v>0</v>
      </c>
      <c r="H40" s="693"/>
    </row>
    <row r="41" spans="1:8" ht="18.75" customHeight="1" x14ac:dyDescent="0.3">
      <c r="A41" s="414" t="s">
        <v>368</v>
      </c>
      <c r="B41" s="415" t="s">
        <v>369</v>
      </c>
      <c r="C41" s="414" t="s">
        <v>312</v>
      </c>
      <c r="D41" s="418">
        <v>4</v>
      </c>
      <c r="E41" s="418">
        <v>25000</v>
      </c>
      <c r="F41" s="418">
        <f>D41*E41</f>
        <v>100000</v>
      </c>
      <c r="G41" s="693">
        <f t="shared" si="0"/>
        <v>25000</v>
      </c>
      <c r="H41" s="693">
        <v>125000</v>
      </c>
    </row>
    <row r="42" spans="1:8" ht="18.75" customHeight="1" x14ac:dyDescent="0.3">
      <c r="A42" s="414" t="s">
        <v>370</v>
      </c>
      <c r="B42" s="415" t="s">
        <v>371</v>
      </c>
      <c r="C42" s="414" t="s">
        <v>312</v>
      </c>
      <c r="D42" s="418"/>
      <c r="E42" s="418">
        <v>210000</v>
      </c>
      <c r="F42" s="418"/>
      <c r="G42" s="693">
        <f t="shared" si="0"/>
        <v>0</v>
      </c>
      <c r="H42" s="693"/>
    </row>
    <row r="43" spans="1:8" ht="25.5" customHeight="1" x14ac:dyDescent="0.3">
      <c r="A43" s="414" t="s">
        <v>372</v>
      </c>
      <c r="B43" s="415" t="s">
        <v>373</v>
      </c>
      <c r="C43" s="414" t="s">
        <v>312</v>
      </c>
      <c r="D43" s="418">
        <v>67</v>
      </c>
      <c r="E43" s="418">
        <v>273000</v>
      </c>
      <c r="F43" s="418">
        <f>D43*E43</f>
        <v>18291000</v>
      </c>
      <c r="G43" s="693">
        <f t="shared" si="0"/>
        <v>-1365000</v>
      </c>
      <c r="H43" s="693">
        <v>16926000</v>
      </c>
    </row>
    <row r="44" spans="1:8" ht="30" customHeight="1" x14ac:dyDescent="0.3">
      <c r="A44" s="414" t="s">
        <v>374</v>
      </c>
      <c r="B44" s="415" t="s">
        <v>375</v>
      </c>
      <c r="C44" s="414" t="s">
        <v>312</v>
      </c>
      <c r="D44" s="418">
        <v>100</v>
      </c>
      <c r="E44" s="418">
        <v>163500</v>
      </c>
      <c r="F44" s="418">
        <f>D44*E44</f>
        <v>16350000</v>
      </c>
      <c r="G44" s="693">
        <f t="shared" si="0"/>
        <v>0</v>
      </c>
      <c r="H44" s="693">
        <v>16350000</v>
      </c>
    </row>
    <row r="45" spans="1:8" ht="22.5" customHeight="1" x14ac:dyDescent="0.3">
      <c r="A45" s="414" t="s">
        <v>376</v>
      </c>
      <c r="B45" s="415" t="s">
        <v>377</v>
      </c>
      <c r="C45" s="414" t="s">
        <v>312</v>
      </c>
      <c r="D45" s="418"/>
      <c r="E45" s="418">
        <v>500000</v>
      </c>
      <c r="F45" s="418"/>
      <c r="G45" s="693">
        <f t="shared" si="0"/>
        <v>0</v>
      </c>
      <c r="H45" s="693"/>
    </row>
    <row r="46" spans="1:8" ht="33.75" customHeight="1" x14ac:dyDescent="0.3">
      <c r="A46" s="414" t="s">
        <v>378</v>
      </c>
      <c r="B46" s="415" t="s">
        <v>379</v>
      </c>
      <c r="C46" s="414" t="s">
        <v>312</v>
      </c>
      <c r="D46" s="418">
        <v>10</v>
      </c>
      <c r="E46" s="418">
        <v>550000</v>
      </c>
      <c r="F46" s="418">
        <f>D46*E46</f>
        <v>5500000</v>
      </c>
      <c r="G46" s="693">
        <f t="shared" si="0"/>
        <v>0</v>
      </c>
      <c r="H46" s="693">
        <v>5500000</v>
      </c>
    </row>
    <row r="47" spans="1:8" ht="33.75" customHeight="1" x14ac:dyDescent="0.3">
      <c r="A47" s="414" t="s">
        <v>380</v>
      </c>
      <c r="B47" s="415" t="s">
        <v>381</v>
      </c>
      <c r="C47" s="414" t="s">
        <v>312</v>
      </c>
      <c r="D47" s="417">
        <v>15</v>
      </c>
      <c r="E47" s="418">
        <v>2606400</v>
      </c>
      <c r="F47" s="418">
        <v>39090600</v>
      </c>
      <c r="G47" s="693">
        <f t="shared" si="0"/>
        <v>0</v>
      </c>
      <c r="H47" s="693">
        <v>39090600</v>
      </c>
    </row>
    <row r="48" spans="1:8" ht="18.75" customHeight="1" x14ac:dyDescent="0.3">
      <c r="A48" s="414" t="s">
        <v>382</v>
      </c>
      <c r="B48" s="415" t="s">
        <v>383</v>
      </c>
      <c r="C48" s="414" t="s">
        <v>321</v>
      </c>
      <c r="D48" s="420" t="s">
        <v>323</v>
      </c>
      <c r="E48" s="418"/>
      <c r="F48" s="418">
        <v>17270000</v>
      </c>
      <c r="G48" s="693">
        <f t="shared" si="0"/>
        <v>0</v>
      </c>
      <c r="H48" s="693">
        <v>17270000</v>
      </c>
    </row>
    <row r="49" spans="1:8" ht="27" customHeight="1" x14ac:dyDescent="0.3">
      <c r="A49" s="414" t="s">
        <v>385</v>
      </c>
      <c r="B49" s="415" t="s">
        <v>386</v>
      </c>
      <c r="C49" s="414" t="s">
        <v>312</v>
      </c>
      <c r="D49" s="417">
        <v>27.17</v>
      </c>
      <c r="E49" s="418">
        <v>1632000</v>
      </c>
      <c r="F49" s="418">
        <f>D49*E49</f>
        <v>44341440</v>
      </c>
      <c r="G49" s="693">
        <f t="shared" si="0"/>
        <v>2660160</v>
      </c>
      <c r="H49" s="693">
        <v>47001600</v>
      </c>
    </row>
    <row r="50" spans="1:8" ht="18.75" customHeight="1" x14ac:dyDescent="0.3">
      <c r="A50" s="414" t="s">
        <v>387</v>
      </c>
      <c r="B50" s="415" t="s">
        <v>388</v>
      </c>
      <c r="C50" s="414" t="s">
        <v>321</v>
      </c>
      <c r="D50" s="418">
        <v>1106</v>
      </c>
      <c r="E50" s="420"/>
      <c r="F50" s="418">
        <v>67864670</v>
      </c>
      <c r="G50" s="693">
        <f t="shared" si="0"/>
        <v>0</v>
      </c>
      <c r="H50" s="693">
        <v>67864670</v>
      </c>
    </row>
    <row r="51" spans="1:8" ht="29.25" customHeight="1" x14ac:dyDescent="0.3">
      <c r="A51" s="414" t="s">
        <v>389</v>
      </c>
      <c r="B51" s="415" t="s">
        <v>390</v>
      </c>
      <c r="C51" s="414" t="s">
        <v>321</v>
      </c>
      <c r="D51" s="418">
        <v>16252</v>
      </c>
      <c r="E51" s="418">
        <v>513</v>
      </c>
      <c r="F51" s="418">
        <f>D51*E51</f>
        <v>8337276</v>
      </c>
      <c r="G51" s="693">
        <f t="shared" si="0"/>
        <v>-149796</v>
      </c>
      <c r="H51" s="693">
        <v>8187480</v>
      </c>
    </row>
    <row r="52" spans="1:8" s="31" customFormat="1" ht="31.5" customHeight="1" x14ac:dyDescent="0.3">
      <c r="A52" s="425" t="s">
        <v>391</v>
      </c>
      <c r="B52" s="426" t="s">
        <v>392</v>
      </c>
      <c r="C52" s="425" t="s">
        <v>321</v>
      </c>
      <c r="D52" s="427"/>
      <c r="E52" s="427"/>
      <c r="F52" s="429">
        <f>SUM(F34:F51)</f>
        <v>326754354</v>
      </c>
      <c r="G52" s="697">
        <f t="shared" si="0"/>
        <v>1231260</v>
      </c>
      <c r="H52" s="695">
        <v>327985614</v>
      </c>
    </row>
    <row r="53" spans="1:8" ht="38.25" customHeight="1" x14ac:dyDescent="0.3">
      <c r="A53" s="414" t="s">
        <v>393</v>
      </c>
      <c r="B53" s="415" t="s">
        <v>394</v>
      </c>
      <c r="C53" s="414" t="s">
        <v>395</v>
      </c>
      <c r="D53" s="418">
        <v>17428</v>
      </c>
      <c r="E53" s="418">
        <v>1140</v>
      </c>
      <c r="F53" s="418">
        <f>D53*E53</f>
        <v>19867920</v>
      </c>
      <c r="G53" s="693">
        <f t="shared" si="0"/>
        <v>0</v>
      </c>
      <c r="H53" s="693">
        <v>19867920</v>
      </c>
    </row>
    <row r="54" spans="1:8" ht="37.5" customHeight="1" x14ac:dyDescent="0.3">
      <c r="A54" s="414" t="s">
        <v>396</v>
      </c>
      <c r="B54" s="415" t="s">
        <v>397</v>
      </c>
      <c r="C54" s="414" t="s">
        <v>395</v>
      </c>
      <c r="D54" s="420"/>
      <c r="E54" s="420"/>
      <c r="F54" s="418">
        <v>6906000</v>
      </c>
      <c r="G54" s="693">
        <f t="shared" si="0"/>
        <v>0</v>
      </c>
      <c r="H54" s="693">
        <v>6906000</v>
      </c>
    </row>
    <row r="55" spans="1:8" ht="39" customHeight="1" x14ac:dyDescent="0.3">
      <c r="A55" s="414" t="s">
        <v>398</v>
      </c>
      <c r="B55" s="415" t="s">
        <v>399</v>
      </c>
      <c r="C55" s="414" t="s">
        <v>395</v>
      </c>
      <c r="D55" s="420"/>
      <c r="E55" s="420"/>
      <c r="F55" s="418">
        <f>SUM(F53:F54)</f>
        <v>26773920</v>
      </c>
      <c r="G55" s="693">
        <f t="shared" si="0"/>
        <v>0</v>
      </c>
      <c r="H55" s="693">
        <v>26773920</v>
      </c>
    </row>
    <row r="56" spans="1:8" s="31" customFormat="1" ht="18" customHeight="1" x14ac:dyDescent="0.3">
      <c r="A56" s="425" t="s">
        <v>400</v>
      </c>
      <c r="B56" s="426" t="s">
        <v>401</v>
      </c>
      <c r="C56" s="425" t="s">
        <v>395</v>
      </c>
      <c r="D56" s="427"/>
      <c r="E56" s="427"/>
      <c r="F56" s="429">
        <f>F55</f>
        <v>26773920</v>
      </c>
      <c r="G56" s="693">
        <v>0</v>
      </c>
      <c r="H56" s="689">
        <v>26773920</v>
      </c>
    </row>
    <row r="57" spans="1:8" s="31" customFormat="1" ht="18" customHeight="1" x14ac:dyDescent="0.3">
      <c r="A57" s="425" t="s">
        <v>891</v>
      </c>
      <c r="B57" s="426" t="s">
        <v>892</v>
      </c>
      <c r="C57" s="425" t="s">
        <v>395</v>
      </c>
      <c r="D57" s="427"/>
      <c r="E57" s="427"/>
      <c r="F57" s="429"/>
      <c r="G57" s="693">
        <f t="shared" si="0"/>
        <v>28245415</v>
      </c>
      <c r="H57" s="689">
        <v>28245415</v>
      </c>
    </row>
    <row r="58" spans="1:8" s="31" customFormat="1" ht="21.75" customHeight="1" x14ac:dyDescent="0.3">
      <c r="A58" s="425"/>
      <c r="B58" s="427" t="s">
        <v>402</v>
      </c>
      <c r="C58" s="431"/>
      <c r="D58" s="432"/>
      <c r="E58" s="432"/>
      <c r="F58" s="429">
        <f>F17+F33+F52+F56+F57</f>
        <v>847167450.66666675</v>
      </c>
      <c r="G58" s="693">
        <f t="shared" si="0"/>
        <v>31012643.333333254</v>
      </c>
      <c r="H58" s="695">
        <f t="shared" ref="H58" si="4">H17+H33+H52+H56+H57</f>
        <v>878180094</v>
      </c>
    </row>
    <row r="62" spans="1:8" ht="18.75" customHeight="1" x14ac:dyDescent="0.3">
      <c r="C62" s="243"/>
      <c r="D62" s="243"/>
      <c r="E62" s="243"/>
      <c r="F62" s="29"/>
    </row>
    <row r="63" spans="1:8" ht="18.75" customHeight="1" x14ac:dyDescent="0.3">
      <c r="C63" s="244"/>
      <c r="D63" s="244"/>
      <c r="E63" s="244"/>
      <c r="F63" s="30"/>
    </row>
    <row r="64" spans="1:8" ht="18.75" customHeight="1" x14ac:dyDescent="0.3">
      <c r="C64" s="243"/>
      <c r="D64" s="243"/>
      <c r="E64" s="243"/>
      <c r="F64" s="29"/>
    </row>
    <row r="65" spans="1:6" ht="18.75" customHeight="1" x14ac:dyDescent="0.3">
      <c r="A65" s="27"/>
      <c r="C65" s="243"/>
      <c r="D65" s="243"/>
      <c r="E65" s="243"/>
      <c r="F65" s="29"/>
    </row>
    <row r="66" spans="1:6" ht="18.75" customHeight="1" x14ac:dyDescent="0.3">
      <c r="A66" s="27"/>
      <c r="C66" s="243"/>
      <c r="D66" s="243"/>
      <c r="E66" s="243"/>
      <c r="F66" s="29"/>
    </row>
    <row r="67" spans="1:6" ht="18.75" customHeight="1" x14ac:dyDescent="0.3">
      <c r="A67" s="27"/>
      <c r="C67" s="245"/>
      <c r="D67" s="245"/>
      <c r="E67" s="245"/>
      <c r="F67" s="30"/>
    </row>
    <row r="68" spans="1:6" x14ac:dyDescent="0.3">
      <c r="A68" s="27"/>
      <c r="D68" s="26"/>
    </row>
  </sheetData>
  <mergeCells count="5">
    <mergeCell ref="A3:A4"/>
    <mergeCell ref="B3:B4"/>
    <mergeCell ref="A1:H1"/>
    <mergeCell ref="A2:H2"/>
    <mergeCell ref="D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Header>&amp;R&amp;"Times New Roman CE,Félkövér dőlt"&amp;11 3. melléklet a 16/2017. (IX.04.)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Layout" topLeftCell="D1" zoomScaleNormal="100" workbookViewId="0">
      <selection activeCell="E3" sqref="E3:E6"/>
    </sheetView>
  </sheetViews>
  <sheetFormatPr defaultColWidth="9.296875" defaultRowHeight="13" x14ac:dyDescent="0.3"/>
  <cols>
    <col min="1" max="1" width="6.796875" style="184" customWidth="1"/>
    <col min="2" max="2" width="32" style="184" customWidth="1"/>
    <col min="3" max="3" width="10.296875" style="185" customWidth="1"/>
    <col min="4" max="4" width="10.296875" style="184" customWidth="1"/>
    <col min="5" max="5" width="12.296875" style="184" customWidth="1"/>
    <col min="6" max="6" width="12.796875" style="184" customWidth="1"/>
    <col min="7" max="7" width="14.296875" style="184" customWidth="1"/>
    <col min="8" max="8" width="13.19921875" style="184" customWidth="1"/>
    <col min="9" max="9" width="12.5" style="184" customWidth="1"/>
    <col min="10" max="11" width="13.19921875" style="184" customWidth="1"/>
    <col min="12" max="12" width="16.5" style="184" customWidth="1"/>
    <col min="13" max="13" width="14.19921875" style="184" customWidth="1"/>
    <col min="14" max="14" width="16.796875" style="184" customWidth="1"/>
    <col min="15" max="16384" width="9.296875" style="184"/>
  </cols>
  <sheetData>
    <row r="1" spans="1:14" ht="37.5" customHeight="1" x14ac:dyDescent="0.3">
      <c r="A1" s="726" t="s">
        <v>679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</row>
    <row r="2" spans="1:14" ht="15.75" customHeight="1" x14ac:dyDescent="0.3">
      <c r="M2" s="727" t="s">
        <v>1</v>
      </c>
      <c r="N2" s="727"/>
    </row>
    <row r="3" spans="1:14" ht="18" customHeight="1" x14ac:dyDescent="0.3">
      <c r="A3" s="725" t="s">
        <v>407</v>
      </c>
      <c r="B3" s="725" t="s">
        <v>267</v>
      </c>
      <c r="C3" s="725" t="s">
        <v>665</v>
      </c>
      <c r="D3" s="725" t="s">
        <v>666</v>
      </c>
      <c r="E3" s="725" t="s">
        <v>667</v>
      </c>
      <c r="F3" s="725" t="s">
        <v>668</v>
      </c>
      <c r="G3" s="725"/>
      <c r="H3" s="725"/>
      <c r="I3" s="728" t="s">
        <v>669</v>
      </c>
      <c r="J3" s="728"/>
      <c r="K3" s="728"/>
      <c r="L3" s="728"/>
      <c r="M3" s="728"/>
      <c r="N3" s="728"/>
    </row>
    <row r="4" spans="1:14" ht="18" customHeight="1" x14ac:dyDescent="0.3">
      <c r="A4" s="725"/>
      <c r="B4" s="725"/>
      <c r="C4" s="725"/>
      <c r="D4" s="725"/>
      <c r="E4" s="725"/>
      <c r="F4" s="725"/>
      <c r="G4" s="725"/>
      <c r="H4" s="725"/>
      <c r="I4" s="725" t="s">
        <v>670</v>
      </c>
      <c r="J4" s="725"/>
      <c r="K4" s="725"/>
      <c r="L4" s="725"/>
      <c r="M4" s="725" t="s">
        <v>671</v>
      </c>
      <c r="N4" s="725"/>
    </row>
    <row r="5" spans="1:14" ht="18.75" customHeight="1" x14ac:dyDescent="0.3">
      <c r="A5" s="725"/>
      <c r="B5" s="725"/>
      <c r="C5" s="725"/>
      <c r="D5" s="725"/>
      <c r="E5" s="725"/>
      <c r="F5" s="725" t="s">
        <v>672</v>
      </c>
      <c r="G5" s="725" t="s">
        <v>437</v>
      </c>
      <c r="H5" s="725" t="s">
        <v>673</v>
      </c>
      <c r="I5" s="725" t="s">
        <v>674</v>
      </c>
      <c r="J5" s="725"/>
      <c r="K5" s="725" t="s">
        <v>741</v>
      </c>
      <c r="L5" s="725" t="s">
        <v>675</v>
      </c>
      <c r="M5" s="725" t="s">
        <v>674</v>
      </c>
      <c r="N5" s="725" t="s">
        <v>675</v>
      </c>
    </row>
    <row r="6" spans="1:14" ht="58.5" customHeight="1" x14ac:dyDescent="0.3">
      <c r="A6" s="725"/>
      <c r="B6" s="725"/>
      <c r="C6" s="725" t="s">
        <v>676</v>
      </c>
      <c r="D6" s="725"/>
      <c r="E6" s="725"/>
      <c r="F6" s="725"/>
      <c r="G6" s="725"/>
      <c r="H6" s="725"/>
      <c r="I6" s="433" t="s">
        <v>408</v>
      </c>
      <c r="J6" s="433" t="s">
        <v>677</v>
      </c>
      <c r="K6" s="725"/>
      <c r="L6" s="725"/>
      <c r="M6" s="725"/>
      <c r="N6" s="725"/>
    </row>
    <row r="7" spans="1:14" ht="25.5" customHeight="1" x14ac:dyDescent="0.3">
      <c r="A7" s="434" t="s">
        <v>10</v>
      </c>
      <c r="B7" s="435" t="s">
        <v>602</v>
      </c>
      <c r="C7" s="436" t="s">
        <v>739</v>
      </c>
      <c r="D7" s="436" t="s">
        <v>738</v>
      </c>
      <c r="E7" s="437">
        <v>32320000</v>
      </c>
      <c r="F7" s="437"/>
      <c r="G7" s="437">
        <v>32320000</v>
      </c>
      <c r="H7" s="437"/>
      <c r="J7" s="437">
        <v>32320000</v>
      </c>
      <c r="K7" s="437">
        <v>32320000</v>
      </c>
      <c r="L7" s="437"/>
      <c r="M7" s="437"/>
      <c r="N7" s="437"/>
    </row>
    <row r="8" spans="1:14" ht="25.5" customHeight="1" x14ac:dyDescent="0.3">
      <c r="A8" s="434" t="s">
        <v>13</v>
      </c>
      <c r="B8" s="438" t="s">
        <v>663</v>
      </c>
      <c r="C8" s="436" t="s">
        <v>738</v>
      </c>
      <c r="D8" s="436" t="s">
        <v>738</v>
      </c>
      <c r="E8" s="437">
        <v>3000000</v>
      </c>
      <c r="F8" s="437"/>
      <c r="G8" s="437">
        <v>3000000</v>
      </c>
      <c r="H8" s="437"/>
      <c r="I8" s="437">
        <v>3000000</v>
      </c>
      <c r="J8" s="437"/>
      <c r="K8" s="437"/>
      <c r="L8" s="437">
        <v>3000000</v>
      </c>
      <c r="M8" s="437"/>
      <c r="N8" s="437"/>
    </row>
    <row r="9" spans="1:14" ht="25.5" customHeight="1" x14ac:dyDescent="0.3">
      <c r="A9" s="434" t="s">
        <v>16</v>
      </c>
      <c r="B9" s="438" t="s">
        <v>664</v>
      </c>
      <c r="C9" s="436">
        <v>2017</v>
      </c>
      <c r="D9" s="436">
        <v>2017</v>
      </c>
      <c r="E9" s="437">
        <v>10000000</v>
      </c>
      <c r="F9" s="437"/>
      <c r="G9" s="437">
        <v>10000000</v>
      </c>
      <c r="H9" s="437"/>
      <c r="I9" s="437">
        <v>10000000</v>
      </c>
      <c r="J9" s="437"/>
      <c r="K9" s="437"/>
      <c r="L9" s="437">
        <v>10000000</v>
      </c>
      <c r="M9" s="437"/>
      <c r="N9" s="437"/>
    </row>
    <row r="10" spans="1:14" ht="25.5" customHeight="1" x14ac:dyDescent="0.3">
      <c r="A10" s="434" t="s">
        <v>19</v>
      </c>
      <c r="B10" s="438" t="s">
        <v>755</v>
      </c>
      <c r="C10" s="436">
        <v>2017</v>
      </c>
      <c r="D10" s="436">
        <v>2017</v>
      </c>
      <c r="E10" s="437">
        <v>8000000</v>
      </c>
      <c r="F10" s="437"/>
      <c r="G10" s="437">
        <v>8000000</v>
      </c>
      <c r="H10" s="437"/>
      <c r="I10" s="437">
        <v>8000000</v>
      </c>
      <c r="J10" s="437"/>
      <c r="K10" s="437"/>
      <c r="L10" s="437">
        <v>8000000</v>
      </c>
      <c r="M10" s="437"/>
      <c r="N10" s="437"/>
    </row>
    <row r="11" spans="1:14" ht="25.5" customHeight="1" x14ac:dyDescent="0.3">
      <c r="A11" s="434" t="s">
        <v>22</v>
      </c>
      <c r="B11" s="438" t="s">
        <v>756</v>
      </c>
      <c r="C11" s="436">
        <v>2017</v>
      </c>
      <c r="D11" s="436">
        <v>2017</v>
      </c>
      <c r="E11" s="437">
        <v>4000000</v>
      </c>
      <c r="F11" s="437"/>
      <c r="G11" s="437">
        <v>4000000</v>
      </c>
      <c r="H11" s="437"/>
      <c r="I11" s="437">
        <v>4000000</v>
      </c>
      <c r="J11" s="437"/>
      <c r="K11" s="437"/>
      <c r="L11" s="437">
        <v>4000000</v>
      </c>
      <c r="M11" s="437"/>
      <c r="N11" s="437"/>
    </row>
    <row r="12" spans="1:14" ht="38.25" customHeight="1" x14ac:dyDescent="0.3">
      <c r="A12" s="434" t="s">
        <v>25</v>
      </c>
      <c r="B12" s="437" t="s">
        <v>754</v>
      </c>
      <c r="C12" s="436" t="s">
        <v>738</v>
      </c>
      <c r="D12" s="436" t="s">
        <v>753</v>
      </c>
      <c r="E12" s="437">
        <v>1120500</v>
      </c>
      <c r="F12" s="437"/>
      <c r="G12" s="437">
        <v>1120500</v>
      </c>
      <c r="H12" s="437"/>
      <c r="I12" s="437">
        <v>1120500</v>
      </c>
      <c r="J12" s="437">
        <v>1120500</v>
      </c>
      <c r="K12" s="437"/>
      <c r="L12" s="437"/>
      <c r="M12" s="437"/>
      <c r="N12" s="437"/>
    </row>
    <row r="13" spans="1:14" ht="25.5" customHeight="1" x14ac:dyDescent="0.3">
      <c r="A13" s="259" t="s">
        <v>28</v>
      </c>
      <c r="B13" s="439" t="s">
        <v>678</v>
      </c>
      <c r="C13" s="440"/>
      <c r="D13" s="441"/>
      <c r="E13" s="439">
        <f t="shared" ref="E13:F13" si="0">SUM(E7:E12)</f>
        <v>58440500</v>
      </c>
      <c r="F13" s="439">
        <f t="shared" si="0"/>
        <v>0</v>
      </c>
      <c r="G13" s="439">
        <f>SUM(G7:G12)</f>
        <v>58440500</v>
      </c>
      <c r="H13" s="439">
        <f t="shared" ref="H13" si="1">SUM(H7:H12)</f>
        <v>0</v>
      </c>
      <c r="I13" s="439">
        <f t="shared" ref="I13" si="2">SUM(I7:I12)</f>
        <v>26120500</v>
      </c>
      <c r="J13" s="439">
        <f>SUM(J7:J12)</f>
        <v>33440500</v>
      </c>
      <c r="K13" s="439">
        <f t="shared" ref="K13" si="3">SUM(K7:K12)</f>
        <v>32320000</v>
      </c>
      <c r="L13" s="439">
        <f t="shared" ref="L13:M13" si="4">SUM(L7:L12)</f>
        <v>25000000</v>
      </c>
      <c r="M13" s="439">
        <f t="shared" si="4"/>
        <v>0</v>
      </c>
      <c r="N13" s="439">
        <f t="shared" ref="N13" si="5">SUM(N7:N12)</f>
        <v>0</v>
      </c>
    </row>
    <row r="14" spans="1:14" ht="25.5" customHeight="1" x14ac:dyDescent="0.3">
      <c r="A14" s="434" t="s">
        <v>31</v>
      </c>
      <c r="B14" s="438" t="s">
        <v>752</v>
      </c>
      <c r="C14" s="436">
        <v>2017</v>
      </c>
      <c r="D14" s="436" t="s">
        <v>740</v>
      </c>
      <c r="E14" s="437">
        <v>50000000</v>
      </c>
      <c r="F14" s="437"/>
      <c r="G14" s="437">
        <v>50000000</v>
      </c>
      <c r="H14" s="437"/>
      <c r="I14" s="437">
        <v>50000000</v>
      </c>
      <c r="J14" s="437">
        <v>50000000</v>
      </c>
      <c r="K14" s="437"/>
      <c r="L14" s="437"/>
      <c r="M14" s="437"/>
      <c r="N14" s="437"/>
    </row>
    <row r="15" spans="1:14" ht="25.5" customHeight="1" x14ac:dyDescent="0.3">
      <c r="A15" s="434" t="s">
        <v>34</v>
      </c>
      <c r="B15" s="438" t="s">
        <v>603</v>
      </c>
      <c r="C15" s="436" t="s">
        <v>738</v>
      </c>
      <c r="D15" s="436" t="s">
        <v>740</v>
      </c>
      <c r="E15" s="437">
        <v>25500000</v>
      </c>
      <c r="F15" s="437"/>
      <c r="G15" s="437">
        <v>25500000</v>
      </c>
      <c r="H15" s="437"/>
      <c r="I15" s="437">
        <v>25500000</v>
      </c>
      <c r="J15" s="437"/>
      <c r="K15" s="437">
        <v>25500000</v>
      </c>
      <c r="L15" s="437"/>
      <c r="M15" s="437"/>
      <c r="N15" s="437"/>
    </row>
    <row r="16" spans="1:14" ht="25.5" customHeight="1" x14ac:dyDescent="0.3">
      <c r="A16" s="434" t="s">
        <v>37</v>
      </c>
      <c r="B16" s="438" t="s">
        <v>604</v>
      </c>
      <c r="C16" s="436" t="s">
        <v>739</v>
      </c>
      <c r="D16" s="436" t="s">
        <v>738</v>
      </c>
      <c r="E16" s="437">
        <v>16951029</v>
      </c>
      <c r="F16" s="437"/>
      <c r="G16" s="437">
        <v>16951029</v>
      </c>
      <c r="H16" s="437"/>
      <c r="I16" s="437">
        <v>16951029</v>
      </c>
      <c r="J16" s="437"/>
      <c r="K16" s="437">
        <v>16951029</v>
      </c>
      <c r="L16" s="437"/>
      <c r="M16" s="437"/>
      <c r="N16" s="437"/>
    </row>
    <row r="17" spans="1:14" ht="25.5" customHeight="1" x14ac:dyDescent="0.3">
      <c r="A17" s="434" t="s">
        <v>39</v>
      </c>
      <c r="B17" s="438" t="s">
        <v>660</v>
      </c>
      <c r="C17" s="436" t="s">
        <v>738</v>
      </c>
      <c r="D17" s="436" t="s">
        <v>738</v>
      </c>
      <c r="E17" s="437">
        <v>1800000</v>
      </c>
      <c r="F17" s="437"/>
      <c r="G17" s="437">
        <v>1800000</v>
      </c>
      <c r="H17" s="437"/>
      <c r="I17" s="437">
        <v>1800000</v>
      </c>
      <c r="J17" s="437"/>
      <c r="K17" s="437"/>
      <c r="L17" s="437">
        <v>1800000</v>
      </c>
      <c r="M17" s="437"/>
      <c r="N17" s="437"/>
    </row>
    <row r="18" spans="1:14" ht="25.5" customHeight="1" x14ac:dyDescent="0.3">
      <c r="A18" s="434" t="s">
        <v>41</v>
      </c>
      <c r="B18" s="438" t="s">
        <v>757</v>
      </c>
      <c r="C18" s="436" t="s">
        <v>738</v>
      </c>
      <c r="D18" s="436" t="s">
        <v>738</v>
      </c>
      <c r="E18" s="437">
        <v>29559542</v>
      </c>
      <c r="F18" s="439"/>
      <c r="G18" s="437">
        <v>29559542</v>
      </c>
      <c r="H18" s="439"/>
      <c r="I18" s="439">
        <v>29559542</v>
      </c>
      <c r="J18" s="439"/>
      <c r="K18" s="439"/>
      <c r="L18" s="437">
        <v>29559542</v>
      </c>
      <c r="M18" s="439"/>
      <c r="N18" s="439"/>
    </row>
    <row r="19" spans="1:14" ht="25.5" customHeight="1" x14ac:dyDescent="0.3">
      <c r="A19" s="259" t="s">
        <v>43</v>
      </c>
      <c r="B19" s="439" t="s">
        <v>742</v>
      </c>
      <c r="C19" s="440"/>
      <c r="D19" s="441"/>
      <c r="E19" s="439">
        <f>SUM(E14:E18)</f>
        <v>123810571</v>
      </c>
      <c r="F19" s="439">
        <f t="shared" ref="F19:N19" si="6">SUM(F14:F18)</f>
        <v>0</v>
      </c>
      <c r="G19" s="439">
        <f t="shared" si="6"/>
        <v>123810571</v>
      </c>
      <c r="H19" s="439">
        <f t="shared" si="6"/>
        <v>0</v>
      </c>
      <c r="I19" s="439">
        <f t="shared" si="6"/>
        <v>123810571</v>
      </c>
      <c r="J19" s="439">
        <f t="shared" si="6"/>
        <v>50000000</v>
      </c>
      <c r="K19" s="439">
        <f t="shared" si="6"/>
        <v>42451029</v>
      </c>
      <c r="L19" s="439">
        <f t="shared" si="6"/>
        <v>31359542</v>
      </c>
      <c r="M19" s="439">
        <f t="shared" si="6"/>
        <v>0</v>
      </c>
      <c r="N19" s="439">
        <f t="shared" si="6"/>
        <v>0</v>
      </c>
    </row>
    <row r="20" spans="1:14" ht="25.5" customHeight="1" x14ac:dyDescent="0.3">
      <c r="A20" s="259" t="s">
        <v>45</v>
      </c>
      <c r="B20" s="439" t="s">
        <v>402</v>
      </c>
      <c r="C20" s="440"/>
      <c r="D20" s="441"/>
      <c r="E20" s="439">
        <f>SUM(E13+E19)</f>
        <v>182251071</v>
      </c>
      <c r="F20" s="439">
        <f t="shared" ref="F20:N20" si="7">SUM(F13+F19)</f>
        <v>0</v>
      </c>
      <c r="G20" s="439">
        <f t="shared" si="7"/>
        <v>182251071</v>
      </c>
      <c r="H20" s="439">
        <f t="shared" si="7"/>
        <v>0</v>
      </c>
      <c r="I20" s="439">
        <f t="shared" si="7"/>
        <v>149931071</v>
      </c>
      <c r="J20" s="439">
        <f t="shared" si="7"/>
        <v>83440500</v>
      </c>
      <c r="K20" s="439">
        <f t="shared" si="7"/>
        <v>74771029</v>
      </c>
      <c r="L20" s="439">
        <f t="shared" si="7"/>
        <v>56359542</v>
      </c>
      <c r="M20" s="439">
        <f t="shared" si="7"/>
        <v>0</v>
      </c>
      <c r="N20" s="439">
        <f t="shared" si="7"/>
        <v>0</v>
      </c>
    </row>
    <row r="21" spans="1:14" ht="17.25" customHeight="1" x14ac:dyDescent="0.3">
      <c r="A21" s="185"/>
    </row>
    <row r="22" spans="1:14" ht="17.25" customHeight="1" x14ac:dyDescent="0.3">
      <c r="A22" s="185"/>
    </row>
  </sheetData>
  <mergeCells count="20">
    <mergeCell ref="F5:F6"/>
    <mergeCell ref="G5:G6"/>
    <mergeCell ref="H5:H6"/>
    <mergeCell ref="I5:J5"/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>&amp;R&amp;"Times New Roman CE,Félkövér dőlt"&amp;11 4. melléklet a 16/2017. (IX.04.)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Layout" zoomScaleNormal="100" workbookViewId="0">
      <selection activeCell="E5" sqref="E5"/>
    </sheetView>
  </sheetViews>
  <sheetFormatPr defaultColWidth="9.296875" defaultRowHeight="14" x14ac:dyDescent="0.3"/>
  <cols>
    <col min="1" max="1" width="8.5" style="33" customWidth="1"/>
    <col min="2" max="2" width="9.296875" style="33"/>
    <col min="3" max="3" width="22.19921875" style="33" customWidth="1"/>
    <col min="4" max="4" width="44.796875" style="33" customWidth="1"/>
    <col min="5" max="5" width="26" style="35" customWidth="1"/>
    <col min="6" max="6" width="19.5" style="35" customWidth="1"/>
    <col min="7" max="7" width="14.296875" style="218" customWidth="1"/>
    <col min="8" max="8" width="11.296875" style="675" bestFit="1" customWidth="1"/>
    <col min="9" max="16384" width="9.296875" style="33"/>
  </cols>
  <sheetData>
    <row r="1" spans="1:8" ht="41.25" customHeight="1" x14ac:dyDescent="0.3">
      <c r="A1" s="729" t="s">
        <v>855</v>
      </c>
      <c r="B1" s="729"/>
      <c r="C1" s="729"/>
      <c r="D1" s="729"/>
      <c r="E1" s="729"/>
      <c r="F1" s="729"/>
      <c r="G1" s="729"/>
    </row>
    <row r="2" spans="1:8" x14ac:dyDescent="0.3">
      <c r="A2" s="34"/>
      <c r="B2" s="34"/>
      <c r="C2" s="34"/>
      <c r="D2" s="34"/>
    </row>
    <row r="3" spans="1:8" x14ac:dyDescent="0.3">
      <c r="A3" s="34"/>
      <c r="B3" s="34"/>
      <c r="C3" s="34"/>
      <c r="D3" s="34"/>
      <c r="G3" s="673" t="s">
        <v>1</v>
      </c>
    </row>
    <row r="4" spans="1:8" s="520" customFormat="1" ht="33" customHeight="1" x14ac:dyDescent="0.3">
      <c r="A4" s="442" t="s">
        <v>407</v>
      </c>
      <c r="B4" s="731" t="s">
        <v>411</v>
      </c>
      <c r="C4" s="731"/>
      <c r="D4" s="731"/>
      <c r="E4" s="443" t="s">
        <v>412</v>
      </c>
      <c r="F4" s="443" t="s">
        <v>860</v>
      </c>
      <c r="G4" s="521" t="s">
        <v>859</v>
      </c>
      <c r="H4" s="676"/>
    </row>
    <row r="5" spans="1:8" ht="21.75" customHeight="1" x14ac:dyDescent="0.3">
      <c r="A5" s="444" t="s">
        <v>10</v>
      </c>
      <c r="B5" s="730" t="s">
        <v>413</v>
      </c>
      <c r="C5" s="730"/>
      <c r="D5" s="730"/>
      <c r="E5" s="445">
        <v>10000000</v>
      </c>
      <c r="F5" s="445">
        <f>G5-E5</f>
        <v>0</v>
      </c>
      <c r="G5" s="522">
        <v>10000000</v>
      </c>
    </row>
    <row r="6" spans="1:8" ht="21.75" customHeight="1" x14ac:dyDescent="0.3">
      <c r="A6" s="444" t="s">
        <v>13</v>
      </c>
      <c r="B6" s="730" t="s">
        <v>414</v>
      </c>
      <c r="C6" s="730"/>
      <c r="D6" s="730"/>
      <c r="E6" s="445">
        <v>1500000</v>
      </c>
      <c r="F6" s="445">
        <f t="shared" ref="F6:F23" si="0">G6-E6</f>
        <v>0</v>
      </c>
      <c r="G6" s="522">
        <v>1500000</v>
      </c>
    </row>
    <row r="7" spans="1:8" ht="21.75" customHeight="1" x14ac:dyDescent="0.3">
      <c r="A7" s="444" t="s">
        <v>16</v>
      </c>
      <c r="B7" s="730" t="s">
        <v>415</v>
      </c>
      <c r="C7" s="730"/>
      <c r="D7" s="730"/>
      <c r="E7" s="445">
        <v>900000</v>
      </c>
      <c r="F7" s="445">
        <f t="shared" si="0"/>
        <v>0</v>
      </c>
      <c r="G7" s="522">
        <v>900000</v>
      </c>
    </row>
    <row r="8" spans="1:8" ht="21.75" customHeight="1" x14ac:dyDescent="0.3">
      <c r="A8" s="444" t="s">
        <v>19</v>
      </c>
      <c r="B8" s="730" t="s">
        <v>416</v>
      </c>
      <c r="C8" s="730"/>
      <c r="D8" s="730"/>
      <c r="E8" s="445">
        <v>3000000</v>
      </c>
      <c r="F8" s="445">
        <f t="shared" si="0"/>
        <v>0</v>
      </c>
      <c r="G8" s="522">
        <v>3000000</v>
      </c>
    </row>
    <row r="9" spans="1:8" ht="21.75" customHeight="1" x14ac:dyDescent="0.3">
      <c r="A9" s="444" t="s">
        <v>22</v>
      </c>
      <c r="B9" s="732" t="s">
        <v>417</v>
      </c>
      <c r="C9" s="732"/>
      <c r="D9" s="732"/>
      <c r="E9" s="446">
        <v>500000</v>
      </c>
      <c r="F9" s="445">
        <f t="shared" si="0"/>
        <v>0</v>
      </c>
      <c r="G9" s="522">
        <v>500000</v>
      </c>
    </row>
    <row r="10" spans="1:8" ht="29.25" customHeight="1" x14ac:dyDescent="0.3">
      <c r="A10" s="444" t="s">
        <v>25</v>
      </c>
      <c r="B10" s="732" t="s">
        <v>418</v>
      </c>
      <c r="C10" s="732"/>
      <c r="D10" s="732"/>
      <c r="E10" s="446">
        <v>600000</v>
      </c>
      <c r="F10" s="445">
        <f t="shared" si="0"/>
        <v>0</v>
      </c>
      <c r="G10" s="522">
        <v>600000</v>
      </c>
    </row>
    <row r="11" spans="1:8" ht="21.75" customHeight="1" x14ac:dyDescent="0.3">
      <c r="A11" s="444" t="s">
        <v>28</v>
      </c>
      <c r="B11" s="732" t="s">
        <v>419</v>
      </c>
      <c r="C11" s="732"/>
      <c r="D11" s="732"/>
      <c r="E11" s="446">
        <v>300000</v>
      </c>
      <c r="F11" s="445">
        <f t="shared" si="0"/>
        <v>0</v>
      </c>
      <c r="G11" s="522">
        <v>300000</v>
      </c>
    </row>
    <row r="12" spans="1:8" ht="21.75" customHeight="1" x14ac:dyDescent="0.3">
      <c r="A12" s="444" t="s">
        <v>31</v>
      </c>
      <c r="B12" s="730" t="s">
        <v>662</v>
      </c>
      <c r="C12" s="730"/>
      <c r="D12" s="730"/>
      <c r="E12" s="445">
        <v>50000</v>
      </c>
      <c r="F12" s="445">
        <f t="shared" si="0"/>
        <v>0</v>
      </c>
      <c r="G12" s="522">
        <v>50000</v>
      </c>
      <c r="H12" s="218" t="s">
        <v>865</v>
      </c>
    </row>
    <row r="13" spans="1:8" ht="21.75" customHeight="1" x14ac:dyDescent="0.3">
      <c r="A13" s="444" t="s">
        <v>34</v>
      </c>
      <c r="B13" s="730" t="s">
        <v>420</v>
      </c>
      <c r="C13" s="730"/>
      <c r="D13" s="730"/>
      <c r="E13" s="445">
        <v>5000000</v>
      </c>
      <c r="F13" s="445">
        <f t="shared" si="0"/>
        <v>25000000</v>
      </c>
      <c r="G13" s="522">
        <v>30000000</v>
      </c>
    </row>
    <row r="14" spans="1:8" ht="21.75" customHeight="1" x14ac:dyDescent="0.3">
      <c r="A14" s="444" t="s">
        <v>37</v>
      </c>
      <c r="B14" s="730" t="s">
        <v>421</v>
      </c>
      <c r="C14" s="730"/>
      <c r="D14" s="730"/>
      <c r="E14" s="445">
        <v>1300000</v>
      </c>
      <c r="F14" s="445">
        <f t="shared" si="0"/>
        <v>0</v>
      </c>
      <c r="G14" s="522">
        <v>1300000</v>
      </c>
    </row>
    <row r="15" spans="1:8" ht="30" customHeight="1" x14ac:dyDescent="0.3">
      <c r="A15" s="444" t="s">
        <v>39</v>
      </c>
      <c r="B15" s="730" t="s">
        <v>654</v>
      </c>
      <c r="C15" s="730"/>
      <c r="D15" s="730"/>
      <c r="E15" s="447">
        <v>231022279</v>
      </c>
      <c r="F15" s="445">
        <f t="shared" si="0"/>
        <v>0</v>
      </c>
      <c r="G15" s="522">
        <v>231022279</v>
      </c>
    </row>
    <row r="16" spans="1:8" ht="30" customHeight="1" x14ac:dyDescent="0.3">
      <c r="A16" s="444" t="s">
        <v>41</v>
      </c>
      <c r="B16" s="730" t="s">
        <v>655</v>
      </c>
      <c r="C16" s="730"/>
      <c r="D16" s="730"/>
      <c r="E16" s="447">
        <v>132069000</v>
      </c>
      <c r="F16" s="445">
        <f t="shared" si="0"/>
        <v>-700000</v>
      </c>
      <c r="G16" s="522">
        <v>131369000</v>
      </c>
    </row>
    <row r="17" spans="1:10" ht="21.75" customHeight="1" x14ac:dyDescent="0.3">
      <c r="A17" s="444" t="s">
        <v>43</v>
      </c>
      <c r="B17" s="730" t="s">
        <v>656</v>
      </c>
      <c r="C17" s="730"/>
      <c r="D17" s="730"/>
      <c r="E17" s="447">
        <v>11944525</v>
      </c>
      <c r="F17" s="445">
        <f t="shared" si="0"/>
        <v>0</v>
      </c>
      <c r="G17" s="522">
        <v>11944525</v>
      </c>
    </row>
    <row r="18" spans="1:10" ht="21.75" customHeight="1" x14ac:dyDescent="0.3">
      <c r="A18" s="444" t="s">
        <v>45</v>
      </c>
      <c r="B18" s="737" t="s">
        <v>657</v>
      </c>
      <c r="C18" s="737"/>
      <c r="D18" s="737"/>
      <c r="E18" s="447">
        <v>26162980</v>
      </c>
      <c r="F18" s="445">
        <f t="shared" si="0"/>
        <v>0</v>
      </c>
      <c r="G18" s="522">
        <v>26162980</v>
      </c>
    </row>
    <row r="19" spans="1:10" ht="21.75" customHeight="1" x14ac:dyDescent="0.3">
      <c r="A19" s="444" t="s">
        <v>47</v>
      </c>
      <c r="B19" s="737" t="s">
        <v>658</v>
      </c>
      <c r="C19" s="737"/>
      <c r="D19" s="737"/>
      <c r="E19" s="447">
        <v>8348400</v>
      </c>
      <c r="F19" s="445">
        <f t="shared" si="0"/>
        <v>0</v>
      </c>
      <c r="G19" s="522">
        <v>8348400</v>
      </c>
    </row>
    <row r="20" spans="1:10" ht="21.75" customHeight="1" x14ac:dyDescent="0.3">
      <c r="A20" s="219" t="s">
        <v>49</v>
      </c>
      <c r="B20" s="735" t="s">
        <v>224</v>
      </c>
      <c r="C20" s="735"/>
      <c r="D20" s="735"/>
      <c r="E20" s="448">
        <f>SUM(E5+E6+E7+E8+E12+E13+E14+E15+E16+E17+E18+E19)</f>
        <v>431297184</v>
      </c>
      <c r="F20" s="445">
        <f t="shared" si="0"/>
        <v>25700000</v>
      </c>
      <c r="G20" s="674">
        <f>SUM(G5:G19)</f>
        <v>456997184</v>
      </c>
      <c r="H20" s="675" t="s">
        <v>865</v>
      </c>
      <c r="J20" s="675" t="s">
        <v>865</v>
      </c>
    </row>
    <row r="21" spans="1:10" ht="21.75" customHeight="1" x14ac:dyDescent="0.3">
      <c r="A21" s="444" t="s">
        <v>51</v>
      </c>
      <c r="B21" s="737" t="s">
        <v>422</v>
      </c>
      <c r="C21" s="737"/>
      <c r="D21" s="737"/>
      <c r="E21" s="447">
        <v>5000000</v>
      </c>
      <c r="F21" s="445">
        <f t="shared" si="0"/>
        <v>1075000</v>
      </c>
      <c r="G21" s="522">
        <v>6075000</v>
      </c>
      <c r="H21" s="675" t="s">
        <v>865</v>
      </c>
    </row>
    <row r="22" spans="1:10" ht="21.75" customHeight="1" x14ac:dyDescent="0.3">
      <c r="A22" s="219" t="s">
        <v>54</v>
      </c>
      <c r="B22" s="736" t="s">
        <v>661</v>
      </c>
      <c r="C22" s="736"/>
      <c r="D22" s="736"/>
      <c r="E22" s="448">
        <f>SUM(E21)</f>
        <v>5000000</v>
      </c>
      <c r="F22" s="445">
        <f t="shared" si="0"/>
        <v>1075000</v>
      </c>
      <c r="G22" s="522">
        <f>SUM(G21)</f>
        <v>6075000</v>
      </c>
    </row>
    <row r="23" spans="1:10" s="36" customFormat="1" ht="24" customHeight="1" x14ac:dyDescent="0.4">
      <c r="A23" s="733" t="s">
        <v>625</v>
      </c>
      <c r="B23" s="733"/>
      <c r="C23" s="733"/>
      <c r="D23" s="733"/>
      <c r="E23" s="448">
        <f>SUM(E20+E22)</f>
        <v>436297184</v>
      </c>
      <c r="F23" s="445">
        <f t="shared" si="0"/>
        <v>26775000</v>
      </c>
      <c r="G23" s="674">
        <f>SUM(G20+G22)</f>
        <v>463072184</v>
      </c>
      <c r="H23" s="677"/>
    </row>
    <row r="24" spans="1:10" x14ac:dyDescent="0.3">
      <c r="A24" s="37"/>
      <c r="B24" s="734"/>
      <c r="C24" s="734"/>
      <c r="D24" s="734"/>
      <c r="E24" s="38"/>
      <c r="F24" s="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A1:G1"/>
    <mergeCell ref="B14:D14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71" orientation="portrait" horizontalDpi="4294967293" verticalDpi="4294967293" r:id="rId1"/>
  <headerFooter scaleWithDoc="0" alignWithMargins="0">
    <oddHeader>&amp;R&amp;"Times New Roman,Félkövér dőlt"&amp;11 5. melléklet a 16/2017. (IX.04.)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Layout" zoomScaleNormal="100" workbookViewId="0">
      <selection activeCell="E5" sqref="E5"/>
    </sheetView>
  </sheetViews>
  <sheetFormatPr defaultColWidth="10.69921875" defaultRowHeight="13" x14ac:dyDescent="0.3"/>
  <cols>
    <col min="1" max="1" width="11.296875" style="206" customWidth="1"/>
    <col min="2" max="2" width="46" style="206" customWidth="1"/>
    <col min="3" max="3" width="28.5" style="206" customWidth="1"/>
    <col min="4" max="4" width="12.296875" style="328" customWidth="1"/>
    <col min="5" max="5" width="13.5" style="328" customWidth="1"/>
    <col min="6" max="252" width="10.69921875" style="206"/>
    <col min="253" max="253" width="7" style="206" customWidth="1"/>
    <col min="254" max="254" width="34.5" style="206" customWidth="1"/>
    <col min="255" max="255" width="11" style="206" customWidth="1"/>
    <col min="256" max="256" width="16.796875" style="206" customWidth="1"/>
    <col min="257" max="257" width="17.19921875" style="206" customWidth="1"/>
    <col min="258" max="258" width="15.296875" style="206" customWidth="1"/>
    <col min="259" max="259" width="15.5" style="206" customWidth="1"/>
    <col min="260" max="508" width="10.69921875" style="206"/>
    <col min="509" max="509" width="7" style="206" customWidth="1"/>
    <col min="510" max="510" width="34.5" style="206" customWidth="1"/>
    <col min="511" max="511" width="11" style="206" customWidth="1"/>
    <col min="512" max="512" width="16.796875" style="206" customWidth="1"/>
    <col min="513" max="513" width="17.19921875" style="206" customWidth="1"/>
    <col min="514" max="514" width="15.296875" style="206" customWidth="1"/>
    <col min="515" max="515" width="15.5" style="206" customWidth="1"/>
    <col min="516" max="764" width="10.69921875" style="206"/>
    <col min="765" max="765" width="7" style="206" customWidth="1"/>
    <col min="766" max="766" width="34.5" style="206" customWidth="1"/>
    <col min="767" max="767" width="11" style="206" customWidth="1"/>
    <col min="768" max="768" width="16.796875" style="206" customWidth="1"/>
    <col min="769" max="769" width="17.19921875" style="206" customWidth="1"/>
    <col min="770" max="770" width="15.296875" style="206" customWidth="1"/>
    <col min="771" max="771" width="15.5" style="206" customWidth="1"/>
    <col min="772" max="1020" width="10.69921875" style="206"/>
    <col min="1021" max="1021" width="7" style="206" customWidth="1"/>
    <col min="1022" max="1022" width="34.5" style="206" customWidth="1"/>
    <col min="1023" max="1023" width="11" style="206" customWidth="1"/>
    <col min="1024" max="1024" width="16.796875" style="206" customWidth="1"/>
    <col min="1025" max="1025" width="17.19921875" style="206" customWidth="1"/>
    <col min="1026" max="1026" width="15.296875" style="206" customWidth="1"/>
    <col min="1027" max="1027" width="15.5" style="206" customWidth="1"/>
    <col min="1028" max="1276" width="10.69921875" style="206"/>
    <col min="1277" max="1277" width="7" style="206" customWidth="1"/>
    <col min="1278" max="1278" width="34.5" style="206" customWidth="1"/>
    <col min="1279" max="1279" width="11" style="206" customWidth="1"/>
    <col min="1280" max="1280" width="16.796875" style="206" customWidth="1"/>
    <col min="1281" max="1281" width="17.19921875" style="206" customWidth="1"/>
    <col min="1282" max="1282" width="15.296875" style="206" customWidth="1"/>
    <col min="1283" max="1283" width="15.5" style="206" customWidth="1"/>
    <col min="1284" max="1532" width="10.69921875" style="206"/>
    <col min="1533" max="1533" width="7" style="206" customWidth="1"/>
    <col min="1534" max="1534" width="34.5" style="206" customWidth="1"/>
    <col min="1535" max="1535" width="11" style="206" customWidth="1"/>
    <col min="1536" max="1536" width="16.796875" style="206" customWidth="1"/>
    <col min="1537" max="1537" width="17.19921875" style="206" customWidth="1"/>
    <col min="1538" max="1538" width="15.296875" style="206" customWidth="1"/>
    <col min="1539" max="1539" width="15.5" style="206" customWidth="1"/>
    <col min="1540" max="1788" width="10.69921875" style="206"/>
    <col min="1789" max="1789" width="7" style="206" customWidth="1"/>
    <col min="1790" max="1790" width="34.5" style="206" customWidth="1"/>
    <col min="1791" max="1791" width="11" style="206" customWidth="1"/>
    <col min="1792" max="1792" width="16.796875" style="206" customWidth="1"/>
    <col min="1793" max="1793" width="17.19921875" style="206" customWidth="1"/>
    <col min="1794" max="1794" width="15.296875" style="206" customWidth="1"/>
    <col min="1795" max="1795" width="15.5" style="206" customWidth="1"/>
    <col min="1796" max="2044" width="10.69921875" style="206"/>
    <col min="2045" max="2045" width="7" style="206" customWidth="1"/>
    <col min="2046" max="2046" width="34.5" style="206" customWidth="1"/>
    <col min="2047" max="2047" width="11" style="206" customWidth="1"/>
    <col min="2048" max="2048" width="16.796875" style="206" customWidth="1"/>
    <col min="2049" max="2049" width="17.19921875" style="206" customWidth="1"/>
    <col min="2050" max="2050" width="15.296875" style="206" customWidth="1"/>
    <col min="2051" max="2051" width="15.5" style="206" customWidth="1"/>
    <col min="2052" max="2300" width="10.69921875" style="206"/>
    <col min="2301" max="2301" width="7" style="206" customWidth="1"/>
    <col min="2302" max="2302" width="34.5" style="206" customWidth="1"/>
    <col min="2303" max="2303" width="11" style="206" customWidth="1"/>
    <col min="2304" max="2304" width="16.796875" style="206" customWidth="1"/>
    <col min="2305" max="2305" width="17.19921875" style="206" customWidth="1"/>
    <col min="2306" max="2306" width="15.296875" style="206" customWidth="1"/>
    <col min="2307" max="2307" width="15.5" style="206" customWidth="1"/>
    <col min="2308" max="2556" width="10.69921875" style="206"/>
    <col min="2557" max="2557" width="7" style="206" customWidth="1"/>
    <col min="2558" max="2558" width="34.5" style="206" customWidth="1"/>
    <col min="2559" max="2559" width="11" style="206" customWidth="1"/>
    <col min="2560" max="2560" width="16.796875" style="206" customWidth="1"/>
    <col min="2561" max="2561" width="17.19921875" style="206" customWidth="1"/>
    <col min="2562" max="2562" width="15.296875" style="206" customWidth="1"/>
    <col min="2563" max="2563" width="15.5" style="206" customWidth="1"/>
    <col min="2564" max="2812" width="10.69921875" style="206"/>
    <col min="2813" max="2813" width="7" style="206" customWidth="1"/>
    <col min="2814" max="2814" width="34.5" style="206" customWidth="1"/>
    <col min="2815" max="2815" width="11" style="206" customWidth="1"/>
    <col min="2816" max="2816" width="16.796875" style="206" customWidth="1"/>
    <col min="2817" max="2817" width="17.19921875" style="206" customWidth="1"/>
    <col min="2818" max="2818" width="15.296875" style="206" customWidth="1"/>
    <col min="2819" max="2819" width="15.5" style="206" customWidth="1"/>
    <col min="2820" max="3068" width="10.69921875" style="206"/>
    <col min="3069" max="3069" width="7" style="206" customWidth="1"/>
    <col min="3070" max="3070" width="34.5" style="206" customWidth="1"/>
    <col min="3071" max="3071" width="11" style="206" customWidth="1"/>
    <col min="3072" max="3072" width="16.796875" style="206" customWidth="1"/>
    <col min="3073" max="3073" width="17.19921875" style="206" customWidth="1"/>
    <col min="3074" max="3074" width="15.296875" style="206" customWidth="1"/>
    <col min="3075" max="3075" width="15.5" style="206" customWidth="1"/>
    <col min="3076" max="3324" width="10.69921875" style="206"/>
    <col min="3325" max="3325" width="7" style="206" customWidth="1"/>
    <col min="3326" max="3326" width="34.5" style="206" customWidth="1"/>
    <col min="3327" max="3327" width="11" style="206" customWidth="1"/>
    <col min="3328" max="3328" width="16.796875" style="206" customWidth="1"/>
    <col min="3329" max="3329" width="17.19921875" style="206" customWidth="1"/>
    <col min="3330" max="3330" width="15.296875" style="206" customWidth="1"/>
    <col min="3331" max="3331" width="15.5" style="206" customWidth="1"/>
    <col min="3332" max="3580" width="10.69921875" style="206"/>
    <col min="3581" max="3581" width="7" style="206" customWidth="1"/>
    <col min="3582" max="3582" width="34.5" style="206" customWidth="1"/>
    <col min="3583" max="3583" width="11" style="206" customWidth="1"/>
    <col min="3584" max="3584" width="16.796875" style="206" customWidth="1"/>
    <col min="3585" max="3585" width="17.19921875" style="206" customWidth="1"/>
    <col min="3586" max="3586" width="15.296875" style="206" customWidth="1"/>
    <col min="3587" max="3587" width="15.5" style="206" customWidth="1"/>
    <col min="3588" max="3836" width="10.69921875" style="206"/>
    <col min="3837" max="3837" width="7" style="206" customWidth="1"/>
    <col min="3838" max="3838" width="34.5" style="206" customWidth="1"/>
    <col min="3839" max="3839" width="11" style="206" customWidth="1"/>
    <col min="3840" max="3840" width="16.796875" style="206" customWidth="1"/>
    <col min="3841" max="3841" width="17.19921875" style="206" customWidth="1"/>
    <col min="3842" max="3842" width="15.296875" style="206" customWidth="1"/>
    <col min="3843" max="3843" width="15.5" style="206" customWidth="1"/>
    <col min="3844" max="4092" width="10.69921875" style="206"/>
    <col min="4093" max="4093" width="7" style="206" customWidth="1"/>
    <col min="4094" max="4094" width="34.5" style="206" customWidth="1"/>
    <col min="4095" max="4095" width="11" style="206" customWidth="1"/>
    <col min="4096" max="4096" width="16.796875" style="206" customWidth="1"/>
    <col min="4097" max="4097" width="17.19921875" style="206" customWidth="1"/>
    <col min="4098" max="4098" width="15.296875" style="206" customWidth="1"/>
    <col min="4099" max="4099" width="15.5" style="206" customWidth="1"/>
    <col min="4100" max="4348" width="10.69921875" style="206"/>
    <col min="4349" max="4349" width="7" style="206" customWidth="1"/>
    <col min="4350" max="4350" width="34.5" style="206" customWidth="1"/>
    <col min="4351" max="4351" width="11" style="206" customWidth="1"/>
    <col min="4352" max="4352" width="16.796875" style="206" customWidth="1"/>
    <col min="4353" max="4353" width="17.19921875" style="206" customWidth="1"/>
    <col min="4354" max="4354" width="15.296875" style="206" customWidth="1"/>
    <col min="4355" max="4355" width="15.5" style="206" customWidth="1"/>
    <col min="4356" max="4604" width="10.69921875" style="206"/>
    <col min="4605" max="4605" width="7" style="206" customWidth="1"/>
    <col min="4606" max="4606" width="34.5" style="206" customWidth="1"/>
    <col min="4607" max="4607" width="11" style="206" customWidth="1"/>
    <col min="4608" max="4608" width="16.796875" style="206" customWidth="1"/>
    <col min="4609" max="4609" width="17.19921875" style="206" customWidth="1"/>
    <col min="4610" max="4610" width="15.296875" style="206" customWidth="1"/>
    <col min="4611" max="4611" width="15.5" style="206" customWidth="1"/>
    <col min="4612" max="4860" width="10.69921875" style="206"/>
    <col min="4861" max="4861" width="7" style="206" customWidth="1"/>
    <col min="4862" max="4862" width="34.5" style="206" customWidth="1"/>
    <col min="4863" max="4863" width="11" style="206" customWidth="1"/>
    <col min="4864" max="4864" width="16.796875" style="206" customWidth="1"/>
    <col min="4865" max="4865" width="17.19921875" style="206" customWidth="1"/>
    <col min="4866" max="4866" width="15.296875" style="206" customWidth="1"/>
    <col min="4867" max="4867" width="15.5" style="206" customWidth="1"/>
    <col min="4868" max="5116" width="10.69921875" style="206"/>
    <col min="5117" max="5117" width="7" style="206" customWidth="1"/>
    <col min="5118" max="5118" width="34.5" style="206" customWidth="1"/>
    <col min="5119" max="5119" width="11" style="206" customWidth="1"/>
    <col min="5120" max="5120" width="16.796875" style="206" customWidth="1"/>
    <col min="5121" max="5121" width="17.19921875" style="206" customWidth="1"/>
    <col min="5122" max="5122" width="15.296875" style="206" customWidth="1"/>
    <col min="5123" max="5123" width="15.5" style="206" customWidth="1"/>
    <col min="5124" max="5372" width="10.69921875" style="206"/>
    <col min="5373" max="5373" width="7" style="206" customWidth="1"/>
    <col min="5374" max="5374" width="34.5" style="206" customWidth="1"/>
    <col min="5375" max="5375" width="11" style="206" customWidth="1"/>
    <col min="5376" max="5376" width="16.796875" style="206" customWidth="1"/>
    <col min="5377" max="5377" width="17.19921875" style="206" customWidth="1"/>
    <col min="5378" max="5378" width="15.296875" style="206" customWidth="1"/>
    <col min="5379" max="5379" width="15.5" style="206" customWidth="1"/>
    <col min="5380" max="5628" width="10.69921875" style="206"/>
    <col min="5629" max="5629" width="7" style="206" customWidth="1"/>
    <col min="5630" max="5630" width="34.5" style="206" customWidth="1"/>
    <col min="5631" max="5631" width="11" style="206" customWidth="1"/>
    <col min="5632" max="5632" width="16.796875" style="206" customWidth="1"/>
    <col min="5633" max="5633" width="17.19921875" style="206" customWidth="1"/>
    <col min="5634" max="5634" width="15.296875" style="206" customWidth="1"/>
    <col min="5635" max="5635" width="15.5" style="206" customWidth="1"/>
    <col min="5636" max="5884" width="10.69921875" style="206"/>
    <col min="5885" max="5885" width="7" style="206" customWidth="1"/>
    <col min="5886" max="5886" width="34.5" style="206" customWidth="1"/>
    <col min="5887" max="5887" width="11" style="206" customWidth="1"/>
    <col min="5888" max="5888" width="16.796875" style="206" customWidth="1"/>
    <col min="5889" max="5889" width="17.19921875" style="206" customWidth="1"/>
    <col min="5890" max="5890" width="15.296875" style="206" customWidth="1"/>
    <col min="5891" max="5891" width="15.5" style="206" customWidth="1"/>
    <col min="5892" max="6140" width="10.69921875" style="206"/>
    <col min="6141" max="6141" width="7" style="206" customWidth="1"/>
    <col min="6142" max="6142" width="34.5" style="206" customWidth="1"/>
    <col min="6143" max="6143" width="11" style="206" customWidth="1"/>
    <col min="6144" max="6144" width="16.796875" style="206" customWidth="1"/>
    <col min="6145" max="6145" width="17.19921875" style="206" customWidth="1"/>
    <col min="6146" max="6146" width="15.296875" style="206" customWidth="1"/>
    <col min="6147" max="6147" width="15.5" style="206" customWidth="1"/>
    <col min="6148" max="6396" width="10.69921875" style="206"/>
    <col min="6397" max="6397" width="7" style="206" customWidth="1"/>
    <col min="6398" max="6398" width="34.5" style="206" customWidth="1"/>
    <col min="6399" max="6399" width="11" style="206" customWidth="1"/>
    <col min="6400" max="6400" width="16.796875" style="206" customWidth="1"/>
    <col min="6401" max="6401" width="17.19921875" style="206" customWidth="1"/>
    <col min="6402" max="6402" width="15.296875" style="206" customWidth="1"/>
    <col min="6403" max="6403" width="15.5" style="206" customWidth="1"/>
    <col min="6404" max="6652" width="10.69921875" style="206"/>
    <col min="6653" max="6653" width="7" style="206" customWidth="1"/>
    <col min="6654" max="6654" width="34.5" style="206" customWidth="1"/>
    <col min="6655" max="6655" width="11" style="206" customWidth="1"/>
    <col min="6656" max="6656" width="16.796875" style="206" customWidth="1"/>
    <col min="6657" max="6657" width="17.19921875" style="206" customWidth="1"/>
    <col min="6658" max="6658" width="15.296875" style="206" customWidth="1"/>
    <col min="6659" max="6659" width="15.5" style="206" customWidth="1"/>
    <col min="6660" max="6908" width="10.69921875" style="206"/>
    <col min="6909" max="6909" width="7" style="206" customWidth="1"/>
    <col min="6910" max="6910" width="34.5" style="206" customWidth="1"/>
    <col min="6911" max="6911" width="11" style="206" customWidth="1"/>
    <col min="6912" max="6912" width="16.796875" style="206" customWidth="1"/>
    <col min="6913" max="6913" width="17.19921875" style="206" customWidth="1"/>
    <col min="6914" max="6914" width="15.296875" style="206" customWidth="1"/>
    <col min="6915" max="6915" width="15.5" style="206" customWidth="1"/>
    <col min="6916" max="7164" width="10.69921875" style="206"/>
    <col min="7165" max="7165" width="7" style="206" customWidth="1"/>
    <col min="7166" max="7166" width="34.5" style="206" customWidth="1"/>
    <col min="7167" max="7167" width="11" style="206" customWidth="1"/>
    <col min="7168" max="7168" width="16.796875" style="206" customWidth="1"/>
    <col min="7169" max="7169" width="17.19921875" style="206" customWidth="1"/>
    <col min="7170" max="7170" width="15.296875" style="206" customWidth="1"/>
    <col min="7171" max="7171" width="15.5" style="206" customWidth="1"/>
    <col min="7172" max="7420" width="10.69921875" style="206"/>
    <col min="7421" max="7421" width="7" style="206" customWidth="1"/>
    <col min="7422" max="7422" width="34.5" style="206" customWidth="1"/>
    <col min="7423" max="7423" width="11" style="206" customWidth="1"/>
    <col min="7424" max="7424" width="16.796875" style="206" customWidth="1"/>
    <col min="7425" max="7425" width="17.19921875" style="206" customWidth="1"/>
    <col min="7426" max="7426" width="15.296875" style="206" customWidth="1"/>
    <col min="7427" max="7427" width="15.5" style="206" customWidth="1"/>
    <col min="7428" max="7676" width="10.69921875" style="206"/>
    <col min="7677" max="7677" width="7" style="206" customWidth="1"/>
    <col min="7678" max="7678" width="34.5" style="206" customWidth="1"/>
    <col min="7679" max="7679" width="11" style="206" customWidth="1"/>
    <col min="7680" max="7680" width="16.796875" style="206" customWidth="1"/>
    <col min="7681" max="7681" width="17.19921875" style="206" customWidth="1"/>
    <col min="7682" max="7682" width="15.296875" style="206" customWidth="1"/>
    <col min="7683" max="7683" width="15.5" style="206" customWidth="1"/>
    <col min="7684" max="7932" width="10.69921875" style="206"/>
    <col min="7933" max="7933" width="7" style="206" customWidth="1"/>
    <col min="7934" max="7934" width="34.5" style="206" customWidth="1"/>
    <col min="7935" max="7935" width="11" style="206" customWidth="1"/>
    <col min="7936" max="7936" width="16.796875" style="206" customWidth="1"/>
    <col min="7937" max="7937" width="17.19921875" style="206" customWidth="1"/>
    <col min="7938" max="7938" width="15.296875" style="206" customWidth="1"/>
    <col min="7939" max="7939" width="15.5" style="206" customWidth="1"/>
    <col min="7940" max="8188" width="10.69921875" style="206"/>
    <col min="8189" max="8189" width="7" style="206" customWidth="1"/>
    <col min="8190" max="8190" width="34.5" style="206" customWidth="1"/>
    <col min="8191" max="8191" width="11" style="206" customWidth="1"/>
    <col min="8192" max="8192" width="16.796875" style="206" customWidth="1"/>
    <col min="8193" max="8193" width="17.19921875" style="206" customWidth="1"/>
    <col min="8194" max="8194" width="15.296875" style="206" customWidth="1"/>
    <col min="8195" max="8195" width="15.5" style="206" customWidth="1"/>
    <col min="8196" max="8444" width="10.69921875" style="206"/>
    <col min="8445" max="8445" width="7" style="206" customWidth="1"/>
    <col min="8446" max="8446" width="34.5" style="206" customWidth="1"/>
    <col min="8447" max="8447" width="11" style="206" customWidth="1"/>
    <col min="8448" max="8448" width="16.796875" style="206" customWidth="1"/>
    <col min="8449" max="8449" width="17.19921875" style="206" customWidth="1"/>
    <col min="8450" max="8450" width="15.296875" style="206" customWidth="1"/>
    <col min="8451" max="8451" width="15.5" style="206" customWidth="1"/>
    <col min="8452" max="8700" width="10.69921875" style="206"/>
    <col min="8701" max="8701" width="7" style="206" customWidth="1"/>
    <col min="8702" max="8702" width="34.5" style="206" customWidth="1"/>
    <col min="8703" max="8703" width="11" style="206" customWidth="1"/>
    <col min="8704" max="8704" width="16.796875" style="206" customWidth="1"/>
    <col min="8705" max="8705" width="17.19921875" style="206" customWidth="1"/>
    <col min="8706" max="8706" width="15.296875" style="206" customWidth="1"/>
    <col min="8707" max="8707" width="15.5" style="206" customWidth="1"/>
    <col min="8708" max="8956" width="10.69921875" style="206"/>
    <col min="8957" max="8957" width="7" style="206" customWidth="1"/>
    <col min="8958" max="8958" width="34.5" style="206" customWidth="1"/>
    <col min="8959" max="8959" width="11" style="206" customWidth="1"/>
    <col min="8960" max="8960" width="16.796875" style="206" customWidth="1"/>
    <col min="8961" max="8961" width="17.19921875" style="206" customWidth="1"/>
    <col min="8962" max="8962" width="15.296875" style="206" customWidth="1"/>
    <col min="8963" max="8963" width="15.5" style="206" customWidth="1"/>
    <col min="8964" max="9212" width="10.69921875" style="206"/>
    <col min="9213" max="9213" width="7" style="206" customWidth="1"/>
    <col min="9214" max="9214" width="34.5" style="206" customWidth="1"/>
    <col min="9215" max="9215" width="11" style="206" customWidth="1"/>
    <col min="9216" max="9216" width="16.796875" style="206" customWidth="1"/>
    <col min="9217" max="9217" width="17.19921875" style="206" customWidth="1"/>
    <col min="9218" max="9218" width="15.296875" style="206" customWidth="1"/>
    <col min="9219" max="9219" width="15.5" style="206" customWidth="1"/>
    <col min="9220" max="9468" width="10.69921875" style="206"/>
    <col min="9469" max="9469" width="7" style="206" customWidth="1"/>
    <col min="9470" max="9470" width="34.5" style="206" customWidth="1"/>
    <col min="9471" max="9471" width="11" style="206" customWidth="1"/>
    <col min="9472" max="9472" width="16.796875" style="206" customWidth="1"/>
    <col min="9473" max="9473" width="17.19921875" style="206" customWidth="1"/>
    <col min="9474" max="9474" width="15.296875" style="206" customWidth="1"/>
    <col min="9475" max="9475" width="15.5" style="206" customWidth="1"/>
    <col min="9476" max="9724" width="10.69921875" style="206"/>
    <col min="9725" max="9725" width="7" style="206" customWidth="1"/>
    <col min="9726" max="9726" width="34.5" style="206" customWidth="1"/>
    <col min="9727" max="9727" width="11" style="206" customWidth="1"/>
    <col min="9728" max="9728" width="16.796875" style="206" customWidth="1"/>
    <col min="9729" max="9729" width="17.19921875" style="206" customWidth="1"/>
    <col min="9730" max="9730" width="15.296875" style="206" customWidth="1"/>
    <col min="9731" max="9731" width="15.5" style="206" customWidth="1"/>
    <col min="9732" max="9980" width="10.69921875" style="206"/>
    <col min="9981" max="9981" width="7" style="206" customWidth="1"/>
    <col min="9982" max="9982" width="34.5" style="206" customWidth="1"/>
    <col min="9983" max="9983" width="11" style="206" customWidth="1"/>
    <col min="9984" max="9984" width="16.796875" style="206" customWidth="1"/>
    <col min="9985" max="9985" width="17.19921875" style="206" customWidth="1"/>
    <col min="9986" max="9986" width="15.296875" style="206" customWidth="1"/>
    <col min="9987" max="9987" width="15.5" style="206" customWidth="1"/>
    <col min="9988" max="10236" width="10.69921875" style="206"/>
    <col min="10237" max="10237" width="7" style="206" customWidth="1"/>
    <col min="10238" max="10238" width="34.5" style="206" customWidth="1"/>
    <col min="10239" max="10239" width="11" style="206" customWidth="1"/>
    <col min="10240" max="10240" width="16.796875" style="206" customWidth="1"/>
    <col min="10241" max="10241" width="17.19921875" style="206" customWidth="1"/>
    <col min="10242" max="10242" width="15.296875" style="206" customWidth="1"/>
    <col min="10243" max="10243" width="15.5" style="206" customWidth="1"/>
    <col min="10244" max="10492" width="10.69921875" style="206"/>
    <col min="10493" max="10493" width="7" style="206" customWidth="1"/>
    <col min="10494" max="10494" width="34.5" style="206" customWidth="1"/>
    <col min="10495" max="10495" width="11" style="206" customWidth="1"/>
    <col min="10496" max="10496" width="16.796875" style="206" customWidth="1"/>
    <col min="10497" max="10497" width="17.19921875" style="206" customWidth="1"/>
    <col min="10498" max="10498" width="15.296875" style="206" customWidth="1"/>
    <col min="10499" max="10499" width="15.5" style="206" customWidth="1"/>
    <col min="10500" max="10748" width="10.69921875" style="206"/>
    <col min="10749" max="10749" width="7" style="206" customWidth="1"/>
    <col min="10750" max="10750" width="34.5" style="206" customWidth="1"/>
    <col min="10751" max="10751" width="11" style="206" customWidth="1"/>
    <col min="10752" max="10752" width="16.796875" style="206" customWidth="1"/>
    <col min="10753" max="10753" width="17.19921875" style="206" customWidth="1"/>
    <col min="10754" max="10754" width="15.296875" style="206" customWidth="1"/>
    <col min="10755" max="10755" width="15.5" style="206" customWidth="1"/>
    <col min="10756" max="11004" width="10.69921875" style="206"/>
    <col min="11005" max="11005" width="7" style="206" customWidth="1"/>
    <col min="11006" max="11006" width="34.5" style="206" customWidth="1"/>
    <col min="11007" max="11007" width="11" style="206" customWidth="1"/>
    <col min="11008" max="11008" width="16.796875" style="206" customWidth="1"/>
    <col min="11009" max="11009" width="17.19921875" style="206" customWidth="1"/>
    <col min="11010" max="11010" width="15.296875" style="206" customWidth="1"/>
    <col min="11011" max="11011" width="15.5" style="206" customWidth="1"/>
    <col min="11012" max="11260" width="10.69921875" style="206"/>
    <col min="11261" max="11261" width="7" style="206" customWidth="1"/>
    <col min="11262" max="11262" width="34.5" style="206" customWidth="1"/>
    <col min="11263" max="11263" width="11" style="206" customWidth="1"/>
    <col min="11264" max="11264" width="16.796875" style="206" customWidth="1"/>
    <col min="11265" max="11265" width="17.19921875" style="206" customWidth="1"/>
    <col min="11266" max="11266" width="15.296875" style="206" customWidth="1"/>
    <col min="11267" max="11267" width="15.5" style="206" customWidth="1"/>
    <col min="11268" max="11516" width="10.69921875" style="206"/>
    <col min="11517" max="11517" width="7" style="206" customWidth="1"/>
    <col min="11518" max="11518" width="34.5" style="206" customWidth="1"/>
    <col min="11519" max="11519" width="11" style="206" customWidth="1"/>
    <col min="11520" max="11520" width="16.796875" style="206" customWidth="1"/>
    <col min="11521" max="11521" width="17.19921875" style="206" customWidth="1"/>
    <col min="11522" max="11522" width="15.296875" style="206" customWidth="1"/>
    <col min="11523" max="11523" width="15.5" style="206" customWidth="1"/>
    <col min="11524" max="11772" width="10.69921875" style="206"/>
    <col min="11773" max="11773" width="7" style="206" customWidth="1"/>
    <col min="11774" max="11774" width="34.5" style="206" customWidth="1"/>
    <col min="11775" max="11775" width="11" style="206" customWidth="1"/>
    <col min="11776" max="11776" width="16.796875" style="206" customWidth="1"/>
    <col min="11777" max="11777" width="17.19921875" style="206" customWidth="1"/>
    <col min="11778" max="11778" width="15.296875" style="206" customWidth="1"/>
    <col min="11779" max="11779" width="15.5" style="206" customWidth="1"/>
    <col min="11780" max="12028" width="10.69921875" style="206"/>
    <col min="12029" max="12029" width="7" style="206" customWidth="1"/>
    <col min="12030" max="12030" width="34.5" style="206" customWidth="1"/>
    <col min="12031" max="12031" width="11" style="206" customWidth="1"/>
    <col min="12032" max="12032" width="16.796875" style="206" customWidth="1"/>
    <col min="12033" max="12033" width="17.19921875" style="206" customWidth="1"/>
    <col min="12034" max="12034" width="15.296875" style="206" customWidth="1"/>
    <col min="12035" max="12035" width="15.5" style="206" customWidth="1"/>
    <col min="12036" max="12284" width="10.69921875" style="206"/>
    <col min="12285" max="12285" width="7" style="206" customWidth="1"/>
    <col min="12286" max="12286" width="34.5" style="206" customWidth="1"/>
    <col min="12287" max="12287" width="11" style="206" customWidth="1"/>
    <col min="12288" max="12288" width="16.796875" style="206" customWidth="1"/>
    <col min="12289" max="12289" width="17.19921875" style="206" customWidth="1"/>
    <col min="12290" max="12290" width="15.296875" style="206" customWidth="1"/>
    <col min="12291" max="12291" width="15.5" style="206" customWidth="1"/>
    <col min="12292" max="12540" width="10.69921875" style="206"/>
    <col min="12541" max="12541" width="7" style="206" customWidth="1"/>
    <col min="12542" max="12542" width="34.5" style="206" customWidth="1"/>
    <col min="12543" max="12543" width="11" style="206" customWidth="1"/>
    <col min="12544" max="12544" width="16.796875" style="206" customWidth="1"/>
    <col min="12545" max="12545" width="17.19921875" style="206" customWidth="1"/>
    <col min="12546" max="12546" width="15.296875" style="206" customWidth="1"/>
    <col min="12547" max="12547" width="15.5" style="206" customWidth="1"/>
    <col min="12548" max="12796" width="10.69921875" style="206"/>
    <col min="12797" max="12797" width="7" style="206" customWidth="1"/>
    <col min="12798" max="12798" width="34.5" style="206" customWidth="1"/>
    <col min="12799" max="12799" width="11" style="206" customWidth="1"/>
    <col min="12800" max="12800" width="16.796875" style="206" customWidth="1"/>
    <col min="12801" max="12801" width="17.19921875" style="206" customWidth="1"/>
    <col min="12802" max="12802" width="15.296875" style="206" customWidth="1"/>
    <col min="12803" max="12803" width="15.5" style="206" customWidth="1"/>
    <col min="12804" max="13052" width="10.69921875" style="206"/>
    <col min="13053" max="13053" width="7" style="206" customWidth="1"/>
    <col min="13054" max="13054" width="34.5" style="206" customWidth="1"/>
    <col min="13055" max="13055" width="11" style="206" customWidth="1"/>
    <col min="13056" max="13056" width="16.796875" style="206" customWidth="1"/>
    <col min="13057" max="13057" width="17.19921875" style="206" customWidth="1"/>
    <col min="13058" max="13058" width="15.296875" style="206" customWidth="1"/>
    <col min="13059" max="13059" width="15.5" style="206" customWidth="1"/>
    <col min="13060" max="13308" width="10.69921875" style="206"/>
    <col min="13309" max="13309" width="7" style="206" customWidth="1"/>
    <col min="13310" max="13310" width="34.5" style="206" customWidth="1"/>
    <col min="13311" max="13311" width="11" style="206" customWidth="1"/>
    <col min="13312" max="13312" width="16.796875" style="206" customWidth="1"/>
    <col min="13313" max="13313" width="17.19921875" style="206" customWidth="1"/>
    <col min="13314" max="13314" width="15.296875" style="206" customWidth="1"/>
    <col min="13315" max="13315" width="15.5" style="206" customWidth="1"/>
    <col min="13316" max="13564" width="10.69921875" style="206"/>
    <col min="13565" max="13565" width="7" style="206" customWidth="1"/>
    <col min="13566" max="13566" width="34.5" style="206" customWidth="1"/>
    <col min="13567" max="13567" width="11" style="206" customWidth="1"/>
    <col min="13568" max="13568" width="16.796875" style="206" customWidth="1"/>
    <col min="13569" max="13569" width="17.19921875" style="206" customWidth="1"/>
    <col min="13570" max="13570" width="15.296875" style="206" customWidth="1"/>
    <col min="13571" max="13571" width="15.5" style="206" customWidth="1"/>
    <col min="13572" max="13820" width="10.69921875" style="206"/>
    <col min="13821" max="13821" width="7" style="206" customWidth="1"/>
    <col min="13822" max="13822" width="34.5" style="206" customWidth="1"/>
    <col min="13823" max="13823" width="11" style="206" customWidth="1"/>
    <col min="13824" max="13824" width="16.796875" style="206" customWidth="1"/>
    <col min="13825" max="13825" width="17.19921875" style="206" customWidth="1"/>
    <col min="13826" max="13826" width="15.296875" style="206" customWidth="1"/>
    <col min="13827" max="13827" width="15.5" style="206" customWidth="1"/>
    <col min="13828" max="14076" width="10.69921875" style="206"/>
    <col min="14077" max="14077" width="7" style="206" customWidth="1"/>
    <col min="14078" max="14078" width="34.5" style="206" customWidth="1"/>
    <col min="14079" max="14079" width="11" style="206" customWidth="1"/>
    <col min="14080" max="14080" width="16.796875" style="206" customWidth="1"/>
    <col min="14081" max="14081" width="17.19921875" style="206" customWidth="1"/>
    <col min="14082" max="14082" width="15.296875" style="206" customWidth="1"/>
    <col min="14083" max="14083" width="15.5" style="206" customWidth="1"/>
    <col min="14084" max="14332" width="10.69921875" style="206"/>
    <col min="14333" max="14333" width="7" style="206" customWidth="1"/>
    <col min="14334" max="14334" width="34.5" style="206" customWidth="1"/>
    <col min="14335" max="14335" width="11" style="206" customWidth="1"/>
    <col min="14336" max="14336" width="16.796875" style="206" customWidth="1"/>
    <col min="14337" max="14337" width="17.19921875" style="206" customWidth="1"/>
    <col min="14338" max="14338" width="15.296875" style="206" customWidth="1"/>
    <col min="14339" max="14339" width="15.5" style="206" customWidth="1"/>
    <col min="14340" max="14588" width="10.69921875" style="206"/>
    <col min="14589" max="14589" width="7" style="206" customWidth="1"/>
    <col min="14590" max="14590" width="34.5" style="206" customWidth="1"/>
    <col min="14591" max="14591" width="11" style="206" customWidth="1"/>
    <col min="14592" max="14592" width="16.796875" style="206" customWidth="1"/>
    <col min="14593" max="14593" width="17.19921875" style="206" customWidth="1"/>
    <col min="14594" max="14594" width="15.296875" style="206" customWidth="1"/>
    <col min="14595" max="14595" width="15.5" style="206" customWidth="1"/>
    <col min="14596" max="14844" width="10.69921875" style="206"/>
    <col min="14845" max="14845" width="7" style="206" customWidth="1"/>
    <col min="14846" max="14846" width="34.5" style="206" customWidth="1"/>
    <col min="14847" max="14847" width="11" style="206" customWidth="1"/>
    <col min="14848" max="14848" width="16.796875" style="206" customWidth="1"/>
    <col min="14849" max="14849" width="17.19921875" style="206" customWidth="1"/>
    <col min="14850" max="14850" width="15.296875" style="206" customWidth="1"/>
    <col min="14851" max="14851" width="15.5" style="206" customWidth="1"/>
    <col min="14852" max="15100" width="10.69921875" style="206"/>
    <col min="15101" max="15101" width="7" style="206" customWidth="1"/>
    <col min="15102" max="15102" width="34.5" style="206" customWidth="1"/>
    <col min="15103" max="15103" width="11" style="206" customWidth="1"/>
    <col min="15104" max="15104" width="16.796875" style="206" customWidth="1"/>
    <col min="15105" max="15105" width="17.19921875" style="206" customWidth="1"/>
    <col min="15106" max="15106" width="15.296875" style="206" customWidth="1"/>
    <col min="15107" max="15107" width="15.5" style="206" customWidth="1"/>
    <col min="15108" max="15356" width="10.69921875" style="206"/>
    <col min="15357" max="15357" width="7" style="206" customWidth="1"/>
    <col min="15358" max="15358" width="34.5" style="206" customWidth="1"/>
    <col min="15359" max="15359" width="11" style="206" customWidth="1"/>
    <col min="15360" max="15360" width="16.796875" style="206" customWidth="1"/>
    <col min="15361" max="15361" width="17.19921875" style="206" customWidth="1"/>
    <col min="15362" max="15362" width="15.296875" style="206" customWidth="1"/>
    <col min="15363" max="15363" width="15.5" style="206" customWidth="1"/>
    <col min="15364" max="15612" width="10.69921875" style="206"/>
    <col min="15613" max="15613" width="7" style="206" customWidth="1"/>
    <col min="15614" max="15614" width="34.5" style="206" customWidth="1"/>
    <col min="15615" max="15615" width="11" style="206" customWidth="1"/>
    <col min="15616" max="15616" width="16.796875" style="206" customWidth="1"/>
    <col min="15617" max="15617" width="17.19921875" style="206" customWidth="1"/>
    <col min="15618" max="15618" width="15.296875" style="206" customWidth="1"/>
    <col min="15619" max="15619" width="15.5" style="206" customWidth="1"/>
    <col min="15620" max="15868" width="10.69921875" style="206"/>
    <col min="15869" max="15869" width="7" style="206" customWidth="1"/>
    <col min="15870" max="15870" width="34.5" style="206" customWidth="1"/>
    <col min="15871" max="15871" width="11" style="206" customWidth="1"/>
    <col min="15872" max="15872" width="16.796875" style="206" customWidth="1"/>
    <col min="15873" max="15873" width="17.19921875" style="206" customWidth="1"/>
    <col min="15874" max="15874" width="15.296875" style="206" customWidth="1"/>
    <col min="15875" max="15875" width="15.5" style="206" customWidth="1"/>
    <col min="15876" max="16124" width="10.69921875" style="206"/>
    <col min="16125" max="16125" width="7" style="206" customWidth="1"/>
    <col min="16126" max="16126" width="34.5" style="206" customWidth="1"/>
    <col min="16127" max="16127" width="11" style="206" customWidth="1"/>
    <col min="16128" max="16128" width="16.796875" style="206" customWidth="1"/>
    <col min="16129" max="16129" width="17.19921875" style="206" customWidth="1"/>
    <col min="16130" max="16130" width="15.296875" style="206" customWidth="1"/>
    <col min="16131" max="16131" width="15.5" style="206" customWidth="1"/>
    <col min="16132" max="16384" width="10.69921875" style="206"/>
  </cols>
  <sheetData>
    <row r="1" spans="1:5" ht="40.5" customHeight="1" x14ac:dyDescent="0.3">
      <c r="A1" s="738" t="s">
        <v>631</v>
      </c>
      <c r="B1" s="738"/>
      <c r="C1" s="738"/>
      <c r="D1" s="738"/>
      <c r="E1" s="738"/>
    </row>
    <row r="2" spans="1:5" x14ac:dyDescent="0.3">
      <c r="A2" s="207"/>
      <c r="B2" s="207"/>
      <c r="E2" s="211" t="s">
        <v>1</v>
      </c>
    </row>
    <row r="3" spans="1:5" s="208" customFormat="1" ht="33.75" customHeight="1" x14ac:dyDescent="0.3">
      <c r="A3" s="449" t="s">
        <v>562</v>
      </c>
      <c r="B3" s="449" t="s">
        <v>649</v>
      </c>
      <c r="C3" s="449" t="s">
        <v>568</v>
      </c>
      <c r="D3" s="329" t="s">
        <v>860</v>
      </c>
      <c r="E3" s="329" t="s">
        <v>859</v>
      </c>
    </row>
    <row r="4" spans="1:5" s="209" customFormat="1" ht="18.75" customHeight="1" x14ac:dyDescent="0.3">
      <c r="A4" s="450" t="s">
        <v>10</v>
      </c>
      <c r="B4" s="451" t="s">
        <v>628</v>
      </c>
      <c r="C4" s="452">
        <v>5000000</v>
      </c>
      <c r="D4" s="330"/>
      <c r="E4" s="330">
        <v>5000000</v>
      </c>
    </row>
    <row r="5" spans="1:5" s="209" customFormat="1" ht="18.75" customHeight="1" x14ac:dyDescent="0.3">
      <c r="A5" s="450" t="s">
        <v>13</v>
      </c>
      <c r="B5" s="451" t="s">
        <v>627</v>
      </c>
      <c r="C5" s="452">
        <v>1500000</v>
      </c>
      <c r="D5" s="330"/>
      <c r="E5" s="330">
        <v>1500000</v>
      </c>
    </row>
    <row r="6" spans="1:5" s="209" customFormat="1" ht="18.75" customHeight="1" x14ac:dyDescent="0.3">
      <c r="A6" s="450" t="s">
        <v>16</v>
      </c>
      <c r="B6" s="451" t="s">
        <v>629</v>
      </c>
      <c r="C6" s="452">
        <v>2000000</v>
      </c>
      <c r="D6" s="330"/>
      <c r="E6" s="330">
        <v>2000000</v>
      </c>
    </row>
    <row r="7" spans="1:5" s="209" customFormat="1" ht="18.75" customHeight="1" x14ac:dyDescent="0.3">
      <c r="A7" s="450" t="s">
        <v>19</v>
      </c>
      <c r="B7" s="451" t="s">
        <v>630</v>
      </c>
      <c r="C7" s="452">
        <v>3000000</v>
      </c>
      <c r="D7" s="330"/>
      <c r="E7" s="330">
        <v>3000000</v>
      </c>
    </row>
    <row r="8" spans="1:5" s="209" customFormat="1" ht="18.75" customHeight="1" x14ac:dyDescent="0.3">
      <c r="A8" s="450" t="s">
        <v>22</v>
      </c>
      <c r="B8" s="451" t="s">
        <v>774</v>
      </c>
      <c r="C8" s="452">
        <v>5000000</v>
      </c>
      <c r="D8" s="330"/>
      <c r="E8" s="330">
        <v>5000000</v>
      </c>
    </row>
    <row r="9" spans="1:5" s="209" customFormat="1" ht="18.75" customHeight="1" x14ac:dyDescent="0.3">
      <c r="A9" s="450" t="s">
        <v>25</v>
      </c>
      <c r="B9" s="451" t="s">
        <v>626</v>
      </c>
      <c r="C9" s="452">
        <v>49643000</v>
      </c>
      <c r="D9" s="330">
        <v>6763829</v>
      </c>
      <c r="E9" s="330">
        <f>C9-D9</f>
        <v>42879171</v>
      </c>
    </row>
    <row r="10" spans="1:5" s="205" customFormat="1" ht="18.75" customHeight="1" x14ac:dyDescent="0.3">
      <c r="A10" s="453"/>
      <c r="B10" s="454" t="s">
        <v>542</v>
      </c>
      <c r="C10" s="455">
        <f>SUM(C4:C9)</f>
        <v>66143000</v>
      </c>
      <c r="D10" s="455">
        <f t="shared" ref="D10:E10" si="0">SUM(D4:D9)</f>
        <v>6763829</v>
      </c>
      <c r="E10" s="455">
        <f t="shared" si="0"/>
        <v>59379171</v>
      </c>
    </row>
    <row r="11" spans="1:5" s="205" customFormat="1" x14ac:dyDescent="0.3">
      <c r="A11" s="210"/>
      <c r="B11" s="210"/>
      <c r="C11" s="204"/>
      <c r="D11" s="331"/>
      <c r="E11" s="331"/>
    </row>
    <row r="12" spans="1:5" s="205" customFormat="1" ht="12.75" customHeight="1" x14ac:dyDescent="0.3">
      <c r="A12" s="738" t="s">
        <v>632</v>
      </c>
      <c r="B12" s="738"/>
      <c r="C12" s="738"/>
      <c r="D12" s="738"/>
      <c r="E12" s="738"/>
    </row>
    <row r="13" spans="1:5" s="205" customFormat="1" x14ac:dyDescent="0.3">
      <c r="A13" s="738"/>
      <c r="B13" s="738"/>
      <c r="C13" s="738"/>
      <c r="D13" s="738"/>
      <c r="E13" s="738"/>
    </row>
    <row r="14" spans="1:5" s="205" customFormat="1" x14ac:dyDescent="0.3">
      <c r="A14" s="738"/>
      <c r="B14" s="738"/>
      <c r="C14" s="738"/>
      <c r="D14" s="738"/>
      <c r="E14" s="738"/>
    </row>
    <row r="15" spans="1:5" s="205" customFormat="1" x14ac:dyDescent="0.3">
      <c r="A15" s="207"/>
      <c r="B15" s="207"/>
      <c r="D15" s="331"/>
      <c r="E15" s="211" t="s">
        <v>1</v>
      </c>
    </row>
    <row r="16" spans="1:5" ht="35.25" customHeight="1" x14ac:dyDescent="0.3">
      <c r="A16" s="449" t="s">
        <v>562</v>
      </c>
      <c r="B16" s="449" t="s">
        <v>649</v>
      </c>
      <c r="C16" s="449" t="s">
        <v>568</v>
      </c>
      <c r="D16" s="329" t="s">
        <v>860</v>
      </c>
      <c r="E16" s="329" t="s">
        <v>859</v>
      </c>
    </row>
    <row r="17" spans="1:5" ht="18" customHeight="1" x14ac:dyDescent="0.3">
      <c r="A17" s="450" t="s">
        <v>10</v>
      </c>
      <c r="B17" s="451" t="s">
        <v>633</v>
      </c>
      <c r="C17" s="452">
        <v>677160</v>
      </c>
      <c r="D17" s="332"/>
      <c r="E17" s="332">
        <v>790020</v>
      </c>
    </row>
    <row r="18" spans="1:5" ht="18" customHeight="1" x14ac:dyDescent="0.3">
      <c r="A18" s="450" t="s">
        <v>13</v>
      </c>
      <c r="B18" s="451" t="s">
        <v>659</v>
      </c>
      <c r="C18" s="452"/>
      <c r="D18" s="332"/>
      <c r="E18" s="332"/>
    </row>
    <row r="19" spans="1:5" ht="18" customHeight="1" x14ac:dyDescent="0.3">
      <c r="A19" s="453"/>
      <c r="B19" s="454" t="s">
        <v>542</v>
      </c>
      <c r="C19" s="455">
        <f>SUM(C17:C18)</f>
        <v>677160</v>
      </c>
      <c r="D19" s="455">
        <f t="shared" ref="D19:E19" si="1">SUM(D17:D18)</f>
        <v>0</v>
      </c>
      <c r="E19" s="455">
        <f t="shared" si="1"/>
        <v>790020</v>
      </c>
    </row>
    <row r="22" spans="1:5" x14ac:dyDescent="0.3">
      <c r="B22" s="333" t="s">
        <v>408</v>
      </c>
      <c r="C22" s="332">
        <f>C10+C19</f>
        <v>66820160</v>
      </c>
      <c r="D22" s="332">
        <f t="shared" ref="D22:E22" si="2">D10+D19</f>
        <v>6763829</v>
      </c>
      <c r="E22" s="332">
        <f t="shared" si="2"/>
        <v>60169191</v>
      </c>
    </row>
  </sheetData>
  <mergeCells count="2">
    <mergeCell ref="A1:E1"/>
    <mergeCell ref="A12:E14"/>
  </mergeCells>
  <printOptions horizontalCentered="1"/>
  <pageMargins left="0.25" right="0.25" top="0.75" bottom="0.75" header="0.3" footer="0.3"/>
  <pageSetup paperSize="9" scale="97" orientation="landscape" r:id="rId1"/>
  <headerFooter>
    <oddHeader>&amp;R&amp;"Times New Roman CE,Félkövér dőlt"&amp;11 6. melléklet a 16/2017. (IX.04.)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view="pageLayout" topLeftCell="E1" zoomScaleNormal="89" workbookViewId="0">
      <selection activeCell="E5" sqref="E5"/>
    </sheetView>
  </sheetViews>
  <sheetFormatPr defaultColWidth="9.296875" defaultRowHeight="15.5" x14ac:dyDescent="0.35"/>
  <cols>
    <col min="1" max="1" width="38" style="40" customWidth="1"/>
    <col min="2" max="2" width="17" style="40" customWidth="1"/>
    <col min="3" max="3" width="13" style="40" customWidth="1"/>
    <col min="4" max="4" width="17" style="40" customWidth="1"/>
    <col min="5" max="5" width="12.69921875" style="40" customWidth="1"/>
    <col min="6" max="6" width="17" style="40" customWidth="1"/>
    <col min="7" max="7" width="12.296875" style="40" customWidth="1"/>
    <col min="8" max="8" width="17" style="40" customWidth="1"/>
    <col min="9" max="9" width="12.296875" style="40" customWidth="1"/>
    <col min="10" max="10" width="16" style="40" customWidth="1"/>
    <col min="11" max="11" width="12" style="40" customWidth="1"/>
    <col min="12" max="12" width="17" style="40" customWidth="1"/>
    <col min="13" max="13" width="12.796875" style="40" customWidth="1"/>
    <col min="14" max="14" width="13.69921875" style="40" customWidth="1"/>
    <col min="15" max="16" width="12" style="40" customWidth="1"/>
    <col min="17" max="16384" width="9.296875" style="40"/>
  </cols>
  <sheetData>
    <row r="1" spans="1:19" ht="57.75" customHeight="1" x14ac:dyDescent="0.35">
      <c r="A1" s="739" t="s">
        <v>922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47"/>
      <c r="N1" s="47"/>
      <c r="O1" s="47"/>
      <c r="P1" s="47"/>
    </row>
    <row r="2" spans="1:19" ht="15" customHeight="1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740"/>
      <c r="P2" s="740"/>
      <c r="Q2" s="41"/>
    </row>
    <row r="3" spans="1:19" ht="16.5" customHeight="1" x14ac:dyDescent="0.35">
      <c r="A3" s="45"/>
      <c r="B3" s="42"/>
      <c r="C3" s="42"/>
      <c r="D3" s="42"/>
      <c r="E3" s="42"/>
      <c r="F3" s="42"/>
      <c r="G3" s="42"/>
      <c r="H3" s="42"/>
      <c r="I3" s="42"/>
      <c r="J3" s="42"/>
      <c r="K3" s="42"/>
      <c r="L3" s="48" t="s">
        <v>1</v>
      </c>
      <c r="M3" s="42"/>
      <c r="N3" s="46"/>
      <c r="O3" s="46"/>
      <c r="P3" s="46"/>
      <c r="Q3" s="41"/>
      <c r="R3" s="41"/>
      <c r="S3" s="41"/>
    </row>
    <row r="4" spans="1:19" ht="30" customHeight="1" x14ac:dyDescent="0.35">
      <c r="A4" s="741" t="s">
        <v>267</v>
      </c>
      <c r="B4" s="743" t="s">
        <v>682</v>
      </c>
      <c r="C4" s="743"/>
      <c r="D4" s="743" t="s">
        <v>684</v>
      </c>
      <c r="E4" s="743"/>
      <c r="F4" s="743" t="s">
        <v>685</v>
      </c>
      <c r="G4" s="744"/>
      <c r="H4" s="745" t="s">
        <v>428</v>
      </c>
      <c r="I4" s="746"/>
      <c r="J4" s="745" t="s">
        <v>547</v>
      </c>
      <c r="K4" s="746"/>
      <c r="L4" s="745" t="s">
        <v>424</v>
      </c>
      <c r="M4" s="42"/>
      <c r="N4" s="43"/>
      <c r="O4" s="43"/>
      <c r="P4" s="46"/>
      <c r="Q4" s="41"/>
      <c r="R4" s="41"/>
      <c r="S4" s="41"/>
    </row>
    <row r="5" spans="1:19" ht="62.25" customHeight="1" x14ac:dyDescent="0.35">
      <c r="A5" s="742"/>
      <c r="B5" s="456" t="s">
        <v>681</v>
      </c>
      <c r="C5" s="456" t="s">
        <v>426</v>
      </c>
      <c r="D5" s="456" t="s">
        <v>680</v>
      </c>
      <c r="E5" s="456" t="s">
        <v>426</v>
      </c>
      <c r="F5" s="457" t="s">
        <v>425</v>
      </c>
      <c r="G5" s="456" t="s">
        <v>426</v>
      </c>
      <c r="H5" s="456" t="s">
        <v>429</v>
      </c>
      <c r="I5" s="456" t="s">
        <v>426</v>
      </c>
      <c r="J5" s="456" t="s">
        <v>683</v>
      </c>
      <c r="K5" s="456" t="s">
        <v>426</v>
      </c>
      <c r="L5" s="746"/>
      <c r="M5" s="44"/>
      <c r="N5" s="44"/>
      <c r="O5" s="44"/>
      <c r="P5" s="46"/>
      <c r="Q5" s="41"/>
      <c r="R5" s="41"/>
      <c r="S5" s="41"/>
    </row>
    <row r="6" spans="1:19" ht="32.25" customHeight="1" x14ac:dyDescent="0.35">
      <c r="A6" s="458" t="s">
        <v>430</v>
      </c>
      <c r="B6" s="459">
        <v>640402</v>
      </c>
      <c r="C6" s="460">
        <f>ROUND(B6/L6*100,1)</f>
        <v>2.2000000000000002</v>
      </c>
      <c r="D6" s="459">
        <v>19921514</v>
      </c>
      <c r="E6" s="460">
        <f>ROUND(D6/L6*100,1)</f>
        <v>69.8</v>
      </c>
      <c r="F6" s="459">
        <v>700000</v>
      </c>
      <c r="G6" s="460">
        <f>ROUND((F6/L6)*100,1)</f>
        <v>2.5</v>
      </c>
      <c r="H6" s="459">
        <v>7273777</v>
      </c>
      <c r="I6" s="460">
        <f>ROUND((H6/L6)*100,1)</f>
        <v>25.5</v>
      </c>
      <c r="J6" s="461">
        <v>0</v>
      </c>
      <c r="K6" s="460">
        <f>J6/L6*100</f>
        <v>0</v>
      </c>
      <c r="L6" s="459">
        <f>B6+D6+F6+H6+J6</f>
        <v>28535693</v>
      </c>
    </row>
    <row r="7" spans="1:19" ht="32.25" customHeight="1" x14ac:dyDescent="0.35">
      <c r="A7" s="458" t="s">
        <v>860</v>
      </c>
      <c r="B7" s="459">
        <f>B8-B6</f>
        <v>6740711</v>
      </c>
      <c r="C7" s="460">
        <f t="shared" ref="C7:C12" si="0">ROUND(B7/L7*100,1)</f>
        <v>71.900000000000006</v>
      </c>
      <c r="D7" s="459">
        <v>1210954</v>
      </c>
      <c r="E7" s="460">
        <f t="shared" ref="E7:E8" si="1">ROUND(D7/L7*100,1)</f>
        <v>12.9</v>
      </c>
      <c r="F7" s="459">
        <f>F8-F6</f>
        <v>46166</v>
      </c>
      <c r="G7" s="460">
        <f t="shared" ref="G7:G8" si="2">ROUND((F7/L7)*100,1)</f>
        <v>0.5</v>
      </c>
      <c r="H7" s="459">
        <f>H8-H6</f>
        <v>587239</v>
      </c>
      <c r="I7" s="460">
        <f t="shared" ref="I7:I8" si="3">ROUND((H7/L7)*100,1)</f>
        <v>6.3</v>
      </c>
      <c r="J7" s="459">
        <f t="shared" ref="J7" si="4">J8-J6</f>
        <v>788326</v>
      </c>
      <c r="K7" s="460">
        <f t="shared" ref="K7:K16" si="5">J7/L7*100</f>
        <v>8.4102496043056316</v>
      </c>
      <c r="L7" s="459">
        <f>B7+D7+F7+H7+J7</f>
        <v>9373396</v>
      </c>
    </row>
    <row r="8" spans="1:19" s="684" customFormat="1" ht="32.25" customHeight="1" x14ac:dyDescent="0.35">
      <c r="A8" s="680" t="s">
        <v>859</v>
      </c>
      <c r="B8" s="681">
        <v>7381113</v>
      </c>
      <c r="C8" s="682">
        <f t="shared" si="0"/>
        <v>19.5</v>
      </c>
      <c r="D8" s="681">
        <v>21132468</v>
      </c>
      <c r="E8" s="682">
        <f t="shared" si="1"/>
        <v>55.7</v>
      </c>
      <c r="F8" s="681">
        <v>746166</v>
      </c>
      <c r="G8" s="682">
        <f t="shared" si="2"/>
        <v>2</v>
      </c>
      <c r="H8" s="681">
        <v>7861016</v>
      </c>
      <c r="I8" s="682">
        <f t="shared" si="3"/>
        <v>20.7</v>
      </c>
      <c r="J8" s="683">
        <v>788326</v>
      </c>
      <c r="K8" s="682">
        <f t="shared" si="5"/>
        <v>2.0795171311027811</v>
      </c>
      <c r="L8" s="681">
        <f>B8+D8+F8+H8+J8</f>
        <v>37909089</v>
      </c>
    </row>
    <row r="9" spans="1:19" ht="27" customHeight="1" x14ac:dyDescent="0.35">
      <c r="A9" s="462" t="s">
        <v>403</v>
      </c>
      <c r="B9" s="459"/>
      <c r="C9" s="460">
        <f t="shared" si="0"/>
        <v>0</v>
      </c>
      <c r="D9" s="459">
        <v>205235924</v>
      </c>
      <c r="E9" s="460">
        <f>ROUND(D9/L9*100,1)</f>
        <v>73.3</v>
      </c>
      <c r="F9" s="459">
        <v>6620344</v>
      </c>
      <c r="G9" s="460">
        <f>ROUND((F9/L9)*100,1)</f>
        <v>2.4</v>
      </c>
      <c r="H9" s="459">
        <v>68115247</v>
      </c>
      <c r="I9" s="460">
        <f>ROUND((H9/L9)*100,1)</f>
        <v>24.3</v>
      </c>
      <c r="J9" s="461"/>
      <c r="K9" s="460">
        <f t="shared" si="5"/>
        <v>0</v>
      </c>
      <c r="L9" s="459">
        <f>B9+D9+F9+H9+J9</f>
        <v>279971515</v>
      </c>
    </row>
    <row r="10" spans="1:19" ht="27" customHeight="1" x14ac:dyDescent="0.35">
      <c r="A10" s="462" t="s">
        <v>860</v>
      </c>
      <c r="B10" s="459">
        <f>B11-B9</f>
        <v>0</v>
      </c>
      <c r="C10" s="460">
        <f t="shared" si="0"/>
        <v>0</v>
      </c>
      <c r="D10" s="459">
        <f t="shared" ref="D10:J10" si="6">D11-D9</f>
        <v>0</v>
      </c>
      <c r="E10" s="460">
        <f t="shared" ref="E10:E12" si="7">ROUND(D10/L10*100,1)</f>
        <v>0</v>
      </c>
      <c r="F10" s="459">
        <f t="shared" si="6"/>
        <v>331455</v>
      </c>
      <c r="G10" s="460">
        <f t="shared" ref="G10:G12" si="8">ROUND((F10/L10)*100,1)</f>
        <v>11.2</v>
      </c>
      <c r="H10" s="459">
        <f t="shared" si="6"/>
        <v>1543732</v>
      </c>
      <c r="I10" s="460">
        <f t="shared" ref="I10:I16" si="9">ROUND((H10/L10)*100,1)</f>
        <v>52.2</v>
      </c>
      <c r="J10" s="459">
        <f t="shared" si="6"/>
        <v>1081188</v>
      </c>
      <c r="K10" s="460">
        <f t="shared" si="5"/>
        <v>36.571409242738149</v>
      </c>
      <c r="L10" s="459">
        <f t="shared" ref="L10:L11" si="10">B10+D10+F10+H10+J10</f>
        <v>2956375</v>
      </c>
    </row>
    <row r="11" spans="1:19" s="684" customFormat="1" ht="27" customHeight="1" x14ac:dyDescent="0.35">
      <c r="A11" s="685" t="s">
        <v>859</v>
      </c>
      <c r="B11" s="681"/>
      <c r="C11" s="682">
        <f t="shared" si="0"/>
        <v>0</v>
      </c>
      <c r="D11" s="681">
        <v>205235924</v>
      </c>
      <c r="E11" s="682">
        <f t="shared" si="7"/>
        <v>72.5</v>
      </c>
      <c r="F11" s="681">
        <v>6951799</v>
      </c>
      <c r="G11" s="682">
        <f t="shared" si="8"/>
        <v>2.5</v>
      </c>
      <c r="H11" s="681">
        <v>69658979</v>
      </c>
      <c r="I11" s="682">
        <f t="shared" si="9"/>
        <v>24.6</v>
      </c>
      <c r="J11" s="686">
        <v>1081188</v>
      </c>
      <c r="K11" s="682">
        <f t="shared" si="5"/>
        <v>0.38214260177743525</v>
      </c>
      <c r="L11" s="681">
        <f t="shared" si="10"/>
        <v>282927890</v>
      </c>
    </row>
    <row r="12" spans="1:19" s="688" customFormat="1" ht="40.5" customHeight="1" x14ac:dyDescent="0.3">
      <c r="A12" s="463" t="s">
        <v>921</v>
      </c>
      <c r="B12" s="464">
        <f>B11+B8</f>
        <v>7381113</v>
      </c>
      <c r="C12" s="687">
        <f t="shared" si="0"/>
        <v>2.2999999999999998</v>
      </c>
      <c r="D12" s="692">
        <f t="shared" ref="D12:L12" si="11">D11+D8</f>
        <v>226368392</v>
      </c>
      <c r="E12" s="687">
        <f t="shared" si="7"/>
        <v>70.599999999999994</v>
      </c>
      <c r="F12" s="464">
        <f t="shared" si="11"/>
        <v>7697965</v>
      </c>
      <c r="G12" s="687">
        <f t="shared" si="8"/>
        <v>2.4</v>
      </c>
      <c r="H12" s="464">
        <f t="shared" si="11"/>
        <v>77519995</v>
      </c>
      <c r="I12" s="687">
        <f t="shared" si="9"/>
        <v>24.2</v>
      </c>
      <c r="J12" s="464">
        <f t="shared" si="11"/>
        <v>1869514</v>
      </c>
      <c r="K12" s="687">
        <f t="shared" si="5"/>
        <v>0.58269904106035109</v>
      </c>
      <c r="L12" s="464">
        <f t="shared" si="11"/>
        <v>320836979</v>
      </c>
    </row>
    <row r="13" spans="1:19" ht="42.75" customHeight="1" x14ac:dyDescent="0.35">
      <c r="A13" s="465" t="s">
        <v>923</v>
      </c>
      <c r="B13" s="459">
        <v>160083665</v>
      </c>
      <c r="C13" s="460">
        <f>ROUND(B13/L13*100,1)</f>
        <v>7.9</v>
      </c>
      <c r="D13" s="459">
        <v>622010013</v>
      </c>
      <c r="E13" s="460">
        <f>ROUND(D13/L13*100,1)</f>
        <v>30.8</v>
      </c>
      <c r="F13" s="459">
        <f>751000000+177316572+2160072</f>
        <v>930476644</v>
      </c>
      <c r="G13" s="460">
        <f>ROUND((F13/L13)*100,1)</f>
        <v>46.1</v>
      </c>
      <c r="H13" s="459"/>
      <c r="I13" s="682">
        <f t="shared" si="9"/>
        <v>0</v>
      </c>
      <c r="J13" s="466">
        <v>304494626</v>
      </c>
      <c r="K13" s="682">
        <f t="shared" si="5"/>
        <v>15.095925706404175</v>
      </c>
      <c r="L13" s="459">
        <f t="shared" ref="L13:L15" si="12">B13+D13+F13+H13+J13</f>
        <v>2017064948</v>
      </c>
    </row>
    <row r="14" spans="1:19" ht="42.75" customHeight="1" x14ac:dyDescent="0.35">
      <c r="A14" s="465" t="s">
        <v>860</v>
      </c>
      <c r="B14" s="459">
        <f>B15-B13</f>
        <v>1430400805</v>
      </c>
      <c r="C14" s="460">
        <f t="shared" ref="C14:C16" si="13">ROUND(B14/L14*100,1)</f>
        <v>90.6</v>
      </c>
      <c r="D14" s="459">
        <f t="shared" ref="D14:H14" si="14">D15-D13</f>
        <v>29801689</v>
      </c>
      <c r="E14" s="460">
        <f t="shared" ref="E14:E16" si="15">ROUND(D14/L14*100,1)</f>
        <v>1.9</v>
      </c>
      <c r="F14" s="459">
        <f t="shared" si="14"/>
        <v>13282650</v>
      </c>
      <c r="G14" s="460">
        <f t="shared" ref="G14:G16" si="16">ROUND((F14/L14)*100,1)</f>
        <v>0.8</v>
      </c>
      <c r="H14" s="459">
        <f t="shared" si="14"/>
        <v>0</v>
      </c>
      <c r="I14" s="682">
        <f t="shared" si="9"/>
        <v>0</v>
      </c>
      <c r="J14" s="459">
        <v>105159782</v>
      </c>
      <c r="K14" s="682">
        <f t="shared" si="5"/>
        <v>6.6613954961015729</v>
      </c>
      <c r="L14" s="459">
        <f t="shared" si="12"/>
        <v>1578644926</v>
      </c>
    </row>
    <row r="15" spans="1:19" ht="42.75" customHeight="1" x14ac:dyDescent="0.35">
      <c r="A15" s="465" t="s">
        <v>859</v>
      </c>
      <c r="B15" s="459">
        <v>1590484470</v>
      </c>
      <c r="C15" s="460">
        <f t="shared" si="13"/>
        <v>44.2</v>
      </c>
      <c r="D15" s="459">
        <v>651811702</v>
      </c>
      <c r="E15" s="460">
        <f t="shared" si="15"/>
        <v>18.100000000000001</v>
      </c>
      <c r="F15" s="459">
        <v>943759294</v>
      </c>
      <c r="G15" s="460">
        <f t="shared" si="16"/>
        <v>26.2</v>
      </c>
      <c r="H15" s="459"/>
      <c r="I15" s="682">
        <f t="shared" si="9"/>
        <v>0</v>
      </c>
      <c r="J15" s="466">
        <f>J13+J14</f>
        <v>409654408</v>
      </c>
      <c r="K15" s="682">
        <f t="shared" si="5"/>
        <v>11.392866008521576</v>
      </c>
      <c r="L15" s="459">
        <f t="shared" si="12"/>
        <v>3595709874</v>
      </c>
    </row>
    <row r="16" spans="1:19" s="688" customFormat="1" ht="65.25" customHeight="1" x14ac:dyDescent="0.3">
      <c r="A16" s="463" t="s">
        <v>924</v>
      </c>
      <c r="B16" s="692">
        <f>B15+B12</f>
        <v>1597865583</v>
      </c>
      <c r="C16" s="460">
        <f t="shared" si="13"/>
        <v>40.799999999999997</v>
      </c>
      <c r="D16" s="692">
        <f t="shared" ref="D16:L16" si="17">D15+D12</f>
        <v>878180094</v>
      </c>
      <c r="E16" s="460">
        <f t="shared" si="15"/>
        <v>22.4</v>
      </c>
      <c r="F16" s="464">
        <f t="shared" si="17"/>
        <v>951457259</v>
      </c>
      <c r="G16" s="460">
        <f t="shared" si="16"/>
        <v>24.3</v>
      </c>
      <c r="H16" s="692">
        <f t="shared" si="17"/>
        <v>77519995</v>
      </c>
      <c r="I16" s="682">
        <f t="shared" si="9"/>
        <v>2</v>
      </c>
      <c r="J16" s="692">
        <f t="shared" si="17"/>
        <v>411523922</v>
      </c>
      <c r="K16" s="682">
        <f t="shared" si="5"/>
        <v>10.507315179563868</v>
      </c>
      <c r="L16" s="464">
        <f t="shared" si="17"/>
        <v>3916546853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25" right="0.25" top="0.75" bottom="0.75" header="0.3" footer="0.3"/>
  <pageSetup paperSize="9" scale="77" orientation="landscape" r:id="rId1"/>
  <headerFooter alignWithMargins="0">
    <oddHeader>&amp;R&amp;"Times New Roman CE,Félkövér dőlt"&amp;11 7. melléklet a 16/2017. (IX.04.)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16</vt:i4>
      </vt:variant>
    </vt:vector>
  </HeadingPairs>
  <TitlesOfParts>
    <vt:vector size="44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'10.sz.mell'!Nyomtatási_terület</vt:lpstr>
      <vt:lpstr>'11.sz.mell'!Nyomtatási_terület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'6.sz.mell'!Nyomtatási_terület</vt:lpstr>
      <vt:lpstr>'7.sz.mell.'!Nyomtatási_terület</vt:lpstr>
      <vt:lpstr>'9.1.sz.mell'!Nyomtatási_terület</vt:lpstr>
      <vt:lpstr>'9.2.sz.mell'!Nyomtatási_terület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2017-08-25T08:45:33Z</cp:lastPrinted>
  <dcterms:created xsi:type="dcterms:W3CDTF">2017-01-30T13:11:32Z</dcterms:created>
  <dcterms:modified xsi:type="dcterms:W3CDTF">2017-08-29T12:29:23Z</dcterms:modified>
</cp:coreProperties>
</file>