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5480" windowHeight="11580" activeTab="0"/>
  </bookViews>
  <sheets>
    <sheet name="3. melléklet " sheetId="1" r:id="rId1"/>
  </sheets>
  <definedNames>
    <definedName name="_xlnm.Print_Titles" localSheetId="0">'3. melléklet '!$A:$A</definedName>
    <definedName name="_xlnm.Print_Area" localSheetId="0">'3. melléklet '!$A$1:$CE$49</definedName>
  </definedNames>
  <calcPr fullCalcOnLoad="1"/>
</workbook>
</file>

<file path=xl/sharedStrings.xml><?xml version="1.0" encoding="utf-8"?>
<sst xmlns="http://schemas.openxmlformats.org/spreadsheetml/2006/main" count="223" uniqueCount="97">
  <si>
    <t>Közhatalmi bevételek</t>
  </si>
  <si>
    <t>Működési bevételek</t>
  </si>
  <si>
    <t>Működési célú átvett pénzeszközök</t>
  </si>
  <si>
    <t>Felhalmozási bevételek</t>
  </si>
  <si>
    <t>Előző évi maradvány</t>
  </si>
  <si>
    <t>Személyi juttatások</t>
  </si>
  <si>
    <t>Munkaadókat terhelő járulékok</t>
  </si>
  <si>
    <t>Dologi kiadások</t>
  </si>
  <si>
    <t>Ellátottak pénzbeli juttatásai</t>
  </si>
  <si>
    <t>Intézmények összesen:</t>
  </si>
  <si>
    <t>Bevételi előirányzatok (e Ft-ban)</t>
  </si>
  <si>
    <t>Chernel Kálmán Városi Könyvtár</t>
  </si>
  <si>
    <t>Jurisics-vár Műv. Központ és Várszínház</t>
  </si>
  <si>
    <t>Kőszegi Városi Múzeum</t>
  </si>
  <si>
    <t xml:space="preserve">Kőszegi Közös Önkormányzati Hivatal </t>
  </si>
  <si>
    <t>Kőszeg Város Önkormányzata</t>
  </si>
  <si>
    <t xml:space="preserve">Kőszeg Város Önkormányzata és intézményei </t>
  </si>
  <si>
    <t>Kőszeg Város Önkormányzata és intézményei központi írányítószervi támogatást nettósítva</t>
  </si>
  <si>
    <t xml:space="preserve">eredeti ei. </t>
  </si>
  <si>
    <t xml:space="preserve">módosított ei. </t>
  </si>
  <si>
    <t xml:space="preserve">változás 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</si>
  <si>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</si>
  <si>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</si>
  <si>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áht-n belülről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</si>
  <si>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</si>
  <si>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</si>
  <si>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</si>
  <si>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célú átvett pénzeszközök</t>
  </si>
  <si>
    <t xml:space="preserve">     -  ebből egyéb felh c visszat. támogatások, kölcsönök</t>
  </si>
  <si>
    <t xml:space="preserve">     -  ebből egyéb felh. célú átvett pénzeszközök</t>
  </si>
  <si>
    <t>Felhalmozási célú költségvetési bevételek összesen:</t>
  </si>
  <si>
    <t xml:space="preserve">KÖLTSÉGVETÉSI BEVÉTELEK ÖSSZESEN: </t>
  </si>
  <si>
    <t xml:space="preserve">               -ebből működési célú maradvány</t>
  </si>
  <si>
    <t xml:space="preserve">               -ebből fejlesztési célú maradvány</t>
  </si>
  <si>
    <t>Központi irányítószervi támogatás</t>
  </si>
  <si>
    <t xml:space="preserve">FINANSZÍROZÁSI BEVÉTELEK ÖSSZESEN: </t>
  </si>
  <si>
    <t>BEVÉTELI ELŐIRÁNYZAT MINDÖSSZESEN:</t>
  </si>
  <si>
    <t>Kiadási előirányzatok (e Ft-ban)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</si>
  <si>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</si>
  <si>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</si>
  <si>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</si>
  <si>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</si>
  <si>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     -ebből tartalékok</t>
  </si>
  <si>
    <t>Működési célú költségvetési kiadások összesen:</t>
  </si>
  <si>
    <t>Beruházás</t>
  </si>
  <si>
    <t>Felújítás</t>
  </si>
  <si>
    <t>Egyéb felhalmozási célú kiadások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</si>
  <si>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</si>
  <si>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</si>
  <si>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</si>
  <si>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</si>
  <si>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</si>
  <si>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</si>
  <si>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>KIADÁSI ELŐIRÁNYZAT MINDÖSSZESEN:</t>
  </si>
  <si>
    <t>bérkompenzáció</t>
  </si>
  <si>
    <t>módosí-tott ei. 06.30</t>
  </si>
  <si>
    <t>érdekeltségnövelő támogatás</t>
  </si>
  <si>
    <t>Jurisics-vár Művleődési  Központ és Várszínház</t>
  </si>
  <si>
    <t>átcsoportosítás</t>
  </si>
  <si>
    <t>átcsoportosítás vagyonhasznosítási tartalékból értékbecslésre, tulajdoni lapokra</t>
  </si>
  <si>
    <t xml:space="preserve"> 1. információs tábla a 2/2017. (II.14.) önkormányzati rendelet módosításához</t>
  </si>
  <si>
    <t>Kőszeg Város Önkormányzatának  és intézményeinek bevételi és kiadási előirányzatváltozásai  2017. évben jogcímenként</t>
  </si>
  <si>
    <t>2016. évi maradvány</t>
  </si>
  <si>
    <t>bérkompenzáció és kulturális pótlék</t>
  </si>
  <si>
    <t>közfoglalkoztatás</t>
  </si>
  <si>
    <t>NKA várszínház támogaáts</t>
  </si>
  <si>
    <t>NKA kőszegi tavasz rendezvények tám.</t>
  </si>
  <si>
    <t>közfoglalkoztatás támogatása</t>
  </si>
  <si>
    <t>biztosító kártérítése</t>
  </si>
  <si>
    <t>többletbevétel rezsiköltség hozzájárulából</t>
  </si>
  <si>
    <t>települési értéktár</t>
  </si>
  <si>
    <t>Kőszegi Szociális Gondozási Központ</t>
  </si>
  <si>
    <t>bérkompenzáció és ágazati pótlék</t>
  </si>
  <si>
    <t>állami támogatások (bérkompenzió, kulturális pótlék, szociális ágazati pótlék, bölcsődei pótlék , bértámogatások)</t>
  </si>
  <si>
    <t>ASP rendszer bevezetése</t>
  </si>
  <si>
    <t xml:space="preserve">2016. évi maradvány elszámolás önkormányzat </t>
  </si>
  <si>
    <t>Vis maior támogatáshoz saját erő biztosítása</t>
  </si>
  <si>
    <t>2016. évi maradvány elszámolás társulás</t>
  </si>
  <si>
    <t>átcsoportosítás  Városüzemeltető kft. részére Rohonci u. játszótér megvalósítására, és Munkácsy M . 17. sz. alatti vendéglakás felújítására</t>
  </si>
  <si>
    <t>átcsoportosítás tartalékból Kőszegfalvi SE támogatásra</t>
  </si>
  <si>
    <t xml:space="preserve">Kodály ünnep </t>
  </si>
  <si>
    <t>átcsoportosítás tervezési keretből Posztó utcai enedélyezési tervek elkészítésére</t>
  </si>
  <si>
    <t>átcsoportosítás tartalékból települési értéktárra</t>
  </si>
  <si>
    <t>átcsoportosítás tartalékból Temető utca felújításához saját erő biztosítására</t>
  </si>
  <si>
    <t>Autómentes nap megszervezése</t>
  </si>
  <si>
    <t>Vasi Víz Zrt. rendszerhasználati díjakól megvalósított felújítási munkálatai</t>
  </si>
  <si>
    <t xml:space="preserve">Sgraffitos ház felújítására </t>
  </si>
  <si>
    <t>TOP-2.1.3-15-VS1-2016-00019 Kőszeg város csapadékvíz-elvezetési rendszerének fejlesztése</t>
  </si>
  <si>
    <t>TOP-1.4.1-15-VS1-2016-00021 Gyermekellátási szolgáltatások fejlesztésének megvalósítása Kőszegen – Központi és Felsővárosi óvoda</t>
  </si>
  <si>
    <t>TOP-1.4.1-15-VS1-2016-00023 Gyermekellátási szolgáltatások fejlesztésének megvalósítása Kőszegen – Újvárosi és Kőszegfalvi Óvoda</t>
  </si>
  <si>
    <t>TOP-2.1.2-15-VS1-2016-00006 Kőszegi Városmajor környezettudatos rehabilitációja</t>
  </si>
  <si>
    <t>TOP-5.1.2-15-VS1-2016-00002 Helyi foglalkoztatási együttműködések</t>
  </si>
  <si>
    <t>TOP-5.1.2-15-VS1-2016-00002 Helyi foglalkoztatási együttműködések projekten belüli átcsoportosítás</t>
  </si>
  <si>
    <t>Vár projekt megvalósíthatósági tanulmányterv készítése</t>
  </si>
  <si>
    <t>átcsoportosítás polgármesteri kereten belül</t>
  </si>
  <si>
    <t>előiányzat rátcsoporotsítások</t>
  </si>
  <si>
    <t>előiányzat       átcsoporotsítások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</si>
</sst>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[$¥€-2]\ #\ ##,000_);[Red]\([$€-2]\ #\ ##,000\)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4" fillId="7" borderId="1" applyNumberFormat="0" applyAlignment="0" applyProtection="0"/>
    <xf numFmtId="0" fontId="0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4" borderId="0" applyNumberFormat="0" applyBorder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16" fillId="20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23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3" fontId="27" fillId="0" borderId="14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2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2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3" fontId="28" fillId="0" borderId="23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textRotation="90" wrapText="1"/>
    </xf>
    <xf numFmtId="3" fontId="30" fillId="0" borderId="14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26" fillId="0" borderId="15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8" fillId="0" borderId="31" xfId="0" applyFont="1" applyFill="1" applyBorder="1" applyAlignment="1">
      <alignment horizontal="left" indent="2"/>
    </xf>
    <xf numFmtId="3" fontId="26" fillId="0" borderId="16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27" fillId="0" borderId="31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7" fillId="0" borderId="32" xfId="0" applyFont="1" applyFill="1" applyBorder="1" applyAlignment="1">
      <alignment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21" xfId="0" applyNumberFormat="1" applyFont="1" applyFill="1" applyBorder="1" applyAlignment="1">
      <alignment/>
    </xf>
    <xf numFmtId="3" fontId="26" fillId="0" borderId="22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31" xfId="0" applyFont="1" applyFill="1" applyBorder="1" applyAlignment="1">
      <alignment horizontal="left" wrapText="1" indent="2"/>
    </xf>
    <xf numFmtId="0" fontId="25" fillId="0" borderId="28" xfId="0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0" fontId="27" fillId="0" borderId="30" xfId="0" applyFont="1" applyFill="1" applyBorder="1" applyAlignment="1">
      <alignment wrapText="1"/>
    </xf>
    <xf numFmtId="0" fontId="28" fillId="0" borderId="32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25" fillId="0" borderId="35" xfId="0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5" fillId="0" borderId="33" xfId="0" applyFont="1" applyFill="1" applyBorder="1" applyAlignment="1">
      <alignment wrapText="1"/>
    </xf>
    <xf numFmtId="3" fontId="31" fillId="0" borderId="16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3" fontId="30" fillId="0" borderId="1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0" borderId="2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31" fillId="0" borderId="18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3" fontId="29" fillId="0" borderId="25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textRotation="90" wrapText="1"/>
    </xf>
    <xf numFmtId="0" fontId="25" fillId="0" borderId="12" xfId="0" applyFont="1" applyFill="1" applyBorder="1" applyAlignment="1">
      <alignment horizontal="center" textRotation="90" wrapText="1"/>
    </xf>
    <xf numFmtId="0" fontId="25" fillId="0" borderId="10" xfId="0" applyFont="1" applyFill="1" applyBorder="1" applyAlignment="1">
      <alignment horizontal="center" textRotation="90" wrapText="1"/>
    </xf>
    <xf numFmtId="3" fontId="28" fillId="0" borderId="14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0" fillId="0" borderId="0" xfId="93" applyFont="1" applyFill="1" applyBorder="1" applyAlignment="1">
      <alignment wrapText="1"/>
      <protection/>
    </xf>
    <xf numFmtId="0" fontId="32" fillId="0" borderId="37" xfId="0" applyFont="1" applyFill="1" applyBorder="1" applyAlignment="1">
      <alignment wrapText="1"/>
    </xf>
    <xf numFmtId="3" fontId="27" fillId="0" borderId="38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7" fillId="0" borderId="39" xfId="0" applyNumberFormat="1" applyFont="1" applyFill="1" applyBorder="1" applyAlignment="1">
      <alignment/>
    </xf>
    <xf numFmtId="3" fontId="27" fillId="0" borderId="40" xfId="0" applyNumberFormat="1" applyFont="1" applyFill="1" applyBorder="1" applyAlignment="1">
      <alignment/>
    </xf>
    <xf numFmtId="3" fontId="27" fillId="0" borderId="41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25" fillId="0" borderId="42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3" fontId="25" fillId="0" borderId="44" xfId="0" applyNumberFormat="1" applyFont="1" applyFill="1" applyBorder="1" applyAlignment="1">
      <alignment/>
    </xf>
    <xf numFmtId="3" fontId="28" fillId="0" borderId="43" xfId="0" applyNumberFormat="1" applyFont="1" applyFill="1" applyBorder="1" applyAlignment="1">
      <alignment/>
    </xf>
    <xf numFmtId="0" fontId="25" fillId="0" borderId="45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33" fillId="0" borderId="0" xfId="0" applyFont="1" applyAlignment="1">
      <alignment vertical="center"/>
    </xf>
    <xf numFmtId="3" fontId="25" fillId="0" borderId="46" xfId="0" applyNumberFormat="1" applyFont="1" applyFill="1" applyBorder="1" applyAlignment="1">
      <alignment/>
    </xf>
    <xf numFmtId="3" fontId="26" fillId="0" borderId="47" xfId="0" applyNumberFormat="1" applyFont="1" applyFill="1" applyBorder="1" applyAlignment="1">
      <alignment/>
    </xf>
    <xf numFmtId="3" fontId="25" fillId="0" borderId="47" xfId="0" applyNumberFormat="1" applyFont="1" applyFill="1" applyBorder="1" applyAlignment="1">
      <alignment/>
    </xf>
    <xf numFmtId="3" fontId="25" fillId="0" borderId="48" xfId="0" applyNumberFormat="1" applyFont="1" applyFill="1" applyBorder="1" applyAlignment="1">
      <alignment/>
    </xf>
    <xf numFmtId="3" fontId="25" fillId="0" borderId="45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3" fontId="26" fillId="0" borderId="49" xfId="0" applyNumberFormat="1" applyFont="1" applyFill="1" applyBorder="1" applyAlignment="1">
      <alignment/>
    </xf>
    <xf numFmtId="3" fontId="26" fillId="0" borderId="48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0" fontId="25" fillId="0" borderId="42" xfId="0" applyFont="1" applyFill="1" applyBorder="1" applyAlignment="1">
      <alignment horizontal="center" wrapText="1"/>
    </xf>
    <xf numFmtId="3" fontId="27" fillId="0" borderId="38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7" fillId="0" borderId="39" xfId="0" applyNumberFormat="1" applyFont="1" applyFill="1" applyBorder="1" applyAlignment="1">
      <alignment/>
    </xf>
    <xf numFmtId="3" fontId="27" fillId="0" borderId="40" xfId="0" applyNumberFormat="1" applyFont="1" applyFill="1" applyBorder="1" applyAlignment="1">
      <alignment/>
    </xf>
    <xf numFmtId="3" fontId="27" fillId="0" borderId="41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3" fontId="28" fillId="0" borderId="43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/>
    </xf>
    <xf numFmtId="0" fontId="25" fillId="0" borderId="50" xfId="0" applyFont="1" applyFill="1" applyBorder="1" applyAlignment="1">
      <alignment horizontal="center" wrapText="1"/>
    </xf>
    <xf numFmtId="3" fontId="27" fillId="0" borderId="46" xfId="0" applyNumberFormat="1" applyFont="1" applyFill="1" applyBorder="1" applyAlignment="1">
      <alignment/>
    </xf>
    <xf numFmtId="3" fontId="28" fillId="0" borderId="47" xfId="0" applyNumberFormat="1" applyFont="1" applyFill="1" applyBorder="1" applyAlignment="1">
      <alignment/>
    </xf>
    <xf numFmtId="3" fontId="27" fillId="0" borderId="47" xfId="0" applyNumberFormat="1" applyFont="1" applyFill="1" applyBorder="1" applyAlignment="1">
      <alignment/>
    </xf>
    <xf numFmtId="3" fontId="27" fillId="0" borderId="48" xfId="0" applyNumberFormat="1" applyFont="1" applyFill="1" applyBorder="1" applyAlignment="1">
      <alignment/>
    </xf>
    <xf numFmtId="3" fontId="25" fillId="0" borderId="45" xfId="0" applyNumberFormat="1" applyFont="1" applyFill="1" applyBorder="1" applyAlignment="1">
      <alignment/>
    </xf>
    <xf numFmtId="3" fontId="27" fillId="0" borderId="49" xfId="0" applyNumberFormat="1" applyFont="1" applyFill="1" applyBorder="1" applyAlignment="1">
      <alignment/>
    </xf>
    <xf numFmtId="3" fontId="28" fillId="0" borderId="49" xfId="0" applyNumberFormat="1" applyFont="1" applyFill="1" applyBorder="1" applyAlignment="1">
      <alignment/>
    </xf>
    <xf numFmtId="3" fontId="28" fillId="0" borderId="48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3" fontId="27" fillId="0" borderId="51" xfId="0" applyNumberFormat="1" applyFont="1" applyFill="1" applyBorder="1" applyAlignment="1">
      <alignment/>
    </xf>
    <xf numFmtId="3" fontId="25" fillId="0" borderId="52" xfId="0" applyNumberFormat="1" applyFont="1" applyFill="1" applyBorder="1" applyAlignment="1">
      <alignment/>
    </xf>
    <xf numFmtId="3" fontId="27" fillId="0" borderId="53" xfId="0" applyNumberFormat="1" applyFont="1" applyFill="1" applyBorder="1" applyAlignment="1">
      <alignment/>
    </xf>
    <xf numFmtId="3" fontId="28" fillId="0" borderId="54" xfId="0" applyNumberFormat="1" applyFont="1" applyFill="1" applyBorder="1" applyAlignment="1">
      <alignment/>
    </xf>
    <xf numFmtId="3" fontId="27" fillId="0" borderId="54" xfId="0" applyNumberFormat="1" applyFont="1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27" fillId="0" borderId="56" xfId="0" applyNumberFormat="1" applyFont="1" applyFill="1" applyBorder="1" applyAlignment="1">
      <alignment/>
    </xf>
    <xf numFmtId="3" fontId="28" fillId="0" borderId="56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25" fillId="0" borderId="29" xfId="0" applyNumberFormat="1" applyFont="1" applyFill="1" applyBorder="1" applyAlignment="1">
      <alignment/>
    </xf>
    <xf numFmtId="3" fontId="27" fillId="0" borderId="57" xfId="0" applyNumberFormat="1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3" fontId="26" fillId="0" borderId="39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3" fontId="26" fillId="0" borderId="41" xfId="0" applyNumberFormat="1" applyFont="1" applyFill="1" applyBorder="1" applyAlignment="1">
      <alignment/>
    </xf>
    <xf numFmtId="3" fontId="26" fillId="0" borderId="42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26" fillId="0" borderId="40" xfId="0" applyNumberFormat="1" applyFont="1" applyFill="1" applyBorder="1" applyAlignment="1">
      <alignment/>
    </xf>
    <xf numFmtId="3" fontId="26" fillId="0" borderId="43" xfId="0" applyNumberFormat="1" applyFont="1" applyFill="1" applyBorder="1" applyAlignment="1">
      <alignment/>
    </xf>
    <xf numFmtId="3" fontId="26" fillId="0" borderId="44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0" fontId="25" fillId="0" borderId="45" xfId="0" applyFont="1" applyFill="1" applyBorder="1" applyAlignment="1">
      <alignment horizontal="center" wrapText="1"/>
    </xf>
    <xf numFmtId="3" fontId="28" fillId="0" borderId="51" xfId="0" applyNumberFormat="1" applyFont="1" applyFill="1" applyBorder="1" applyAlignment="1">
      <alignment/>
    </xf>
    <xf numFmtId="3" fontId="28" fillId="0" borderId="57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0" fontId="25" fillId="0" borderId="59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6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1" fillId="0" borderId="60" xfId="0" applyFont="1" applyFill="1" applyBorder="1" applyAlignment="1">
      <alignment horizontal="center" wrapText="1"/>
    </xf>
    <xf numFmtId="0" fontId="21" fillId="0" borderId="59" xfId="0" applyFont="1" applyFill="1" applyBorder="1" applyAlignment="1">
      <alignment horizontal="center" wrapText="1"/>
    </xf>
    <xf numFmtId="0" fontId="21" fillId="0" borderId="61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wrapText="1"/>
    </xf>
    <xf numFmtId="0" fontId="32" fillId="0" borderId="37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R_2MELL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9"/>
  <sheetViews>
    <sheetView tabSelected="1" view="pageBreakPreview" zoomScale="120" zoomScaleSheetLayoutView="120" zoomScalePageLayoutView="0" workbookViewId="0" topLeftCell="A1">
      <pane xSplit="1" ySplit="3" topLeftCell="BY4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W5" sqref="BW5"/>
    </sheetView>
  </sheetViews>
  <sheetFormatPr defaultColWidth="9.00390625" defaultRowHeight="12.75"/>
  <cols>
    <col min="1" max="1" width="50.75390625" style="1" customWidth="1"/>
    <col min="2" max="7" width="8.125" style="1" customWidth="1"/>
    <col min="8" max="9" width="8.125" style="1" hidden="1" customWidth="1"/>
    <col min="10" max="19" width="8.125" style="1" customWidth="1"/>
    <col min="20" max="20" width="8.125" style="1" hidden="1" customWidth="1"/>
    <col min="21" max="35" width="8.125" style="1" customWidth="1"/>
    <col min="36" max="37" width="8.125" style="1" hidden="1" customWidth="1"/>
    <col min="38" max="43" width="8.125" style="1" customWidth="1"/>
    <col min="44" max="45" width="8.125" style="1" hidden="1" customWidth="1"/>
    <col min="46" max="47" width="8.125" style="1" customWidth="1"/>
    <col min="48" max="50" width="16.75390625" style="2" customWidth="1"/>
    <col min="51" max="51" width="10.75390625" style="1" customWidth="1"/>
    <col min="52" max="52" width="15.75390625" style="1" customWidth="1"/>
    <col min="53" max="53" width="7.375" style="1" customWidth="1"/>
    <col min="54" max="54" width="9.25390625" style="1" customWidth="1"/>
    <col min="55" max="56" width="7.375" style="1" customWidth="1"/>
    <col min="57" max="57" width="14.25390625" style="1" customWidth="1"/>
    <col min="58" max="58" width="7.375" style="1" customWidth="1"/>
    <col min="59" max="59" width="7.25390625" style="1" customWidth="1"/>
    <col min="60" max="60" width="7.375" style="1" customWidth="1"/>
    <col min="61" max="61" width="10.375" style="1" customWidth="1"/>
    <col min="62" max="62" width="7.375" style="1" customWidth="1"/>
    <col min="63" max="63" width="9.875" style="1" customWidth="1"/>
    <col min="64" max="64" width="8.25390625" style="1" customWidth="1"/>
    <col min="65" max="65" width="8.75390625" style="1" customWidth="1"/>
    <col min="66" max="66" width="8.625" style="1" customWidth="1"/>
    <col min="67" max="68" width="8.875" style="1" customWidth="1"/>
    <col min="69" max="69" width="14.875" style="1" bestFit="1" customWidth="1"/>
    <col min="70" max="70" width="14.625" style="1" customWidth="1"/>
    <col min="71" max="71" width="11.625" style="1" customWidth="1"/>
    <col min="72" max="73" width="8.875" style="1" customWidth="1"/>
    <col min="74" max="75" width="7.375" style="1" customWidth="1"/>
    <col min="76" max="76" width="8.625" style="3" customWidth="1"/>
    <col min="77" max="77" width="9.75390625" style="1" customWidth="1"/>
    <col min="78" max="78" width="13.625" style="3" customWidth="1"/>
    <col min="79" max="83" width="13.625" style="1" customWidth="1"/>
    <col min="84" max="16384" width="9.125" style="1" customWidth="1"/>
  </cols>
  <sheetData>
    <row r="1" spans="1:78" ht="27">
      <c r="A1" s="137" t="s">
        <v>60</v>
      </c>
      <c r="B1" s="137"/>
      <c r="C1" s="137"/>
      <c r="D1" s="137"/>
      <c r="E1" s="137"/>
      <c r="F1" s="137"/>
      <c r="AV1" s="1"/>
      <c r="AW1" s="1"/>
      <c r="AX1" s="1"/>
      <c r="BO1" s="152"/>
      <c r="BZ1" s="1"/>
    </row>
    <row r="2" spans="1:83" ht="56.25" customHeight="1" thickBot="1">
      <c r="A2" s="138"/>
      <c r="B2" s="231" t="s">
        <v>61</v>
      </c>
      <c r="C2" s="231"/>
      <c r="D2" s="231"/>
      <c r="E2" s="231"/>
      <c r="F2" s="231"/>
      <c r="G2" s="231"/>
      <c r="H2" s="231"/>
      <c r="I2" s="231"/>
      <c r="J2" s="231"/>
      <c r="K2" s="231"/>
      <c r="L2" s="230" t="s">
        <v>61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 t="s">
        <v>61</v>
      </c>
      <c r="X2" s="230"/>
      <c r="Y2" s="230"/>
      <c r="Z2" s="230"/>
      <c r="AA2" s="230"/>
      <c r="AB2" s="230"/>
      <c r="AC2" s="230"/>
      <c r="AD2" s="230"/>
      <c r="AE2" s="230"/>
      <c r="AF2" s="230" t="s">
        <v>61</v>
      </c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 t="s">
        <v>61</v>
      </c>
      <c r="AW2" s="230"/>
      <c r="AX2" s="230"/>
      <c r="AY2" s="230" t="s">
        <v>61</v>
      </c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 t="s">
        <v>61</v>
      </c>
      <c r="BK2" s="230"/>
      <c r="BL2" s="230"/>
      <c r="BM2" s="230"/>
      <c r="BN2" s="230"/>
      <c r="BO2" s="230"/>
      <c r="BP2" s="230"/>
      <c r="BQ2" s="230"/>
      <c r="BR2" s="230" t="s">
        <v>61</v>
      </c>
      <c r="BS2" s="230"/>
      <c r="BT2" s="230"/>
      <c r="BU2" s="230"/>
      <c r="BV2" s="230"/>
      <c r="BW2" s="230"/>
      <c r="BX2" s="230"/>
      <c r="BY2" s="230"/>
      <c r="BZ2" s="230" t="s">
        <v>61</v>
      </c>
      <c r="CA2" s="230"/>
      <c r="CB2" s="230"/>
      <c r="CC2" s="230"/>
      <c r="CD2" s="230"/>
      <c r="CE2" s="230"/>
    </row>
    <row r="3" spans="1:83" s="6" customFormat="1" ht="43.5" customHeight="1" thickBot="1">
      <c r="A3" s="65" t="s">
        <v>10</v>
      </c>
      <c r="B3" s="232" t="s">
        <v>11</v>
      </c>
      <c r="C3" s="233"/>
      <c r="D3" s="233"/>
      <c r="E3" s="233"/>
      <c r="F3" s="233"/>
      <c r="G3" s="233"/>
      <c r="H3" s="233"/>
      <c r="I3" s="233"/>
      <c r="J3" s="234"/>
      <c r="K3" s="235"/>
      <c r="L3" s="218" t="s">
        <v>57</v>
      </c>
      <c r="M3" s="212"/>
      <c r="N3" s="212"/>
      <c r="O3" s="212"/>
      <c r="P3" s="212"/>
      <c r="Q3" s="212"/>
      <c r="R3" s="212"/>
      <c r="S3" s="212"/>
      <c r="T3" s="212"/>
      <c r="U3" s="212"/>
      <c r="V3" s="219"/>
      <c r="W3" s="227" t="s">
        <v>13</v>
      </c>
      <c r="X3" s="228"/>
      <c r="Y3" s="228"/>
      <c r="Z3" s="228"/>
      <c r="AA3" s="228"/>
      <c r="AB3" s="228"/>
      <c r="AC3" s="228"/>
      <c r="AD3" s="228"/>
      <c r="AE3" s="229"/>
      <c r="AF3" s="218" t="s">
        <v>14</v>
      </c>
      <c r="AG3" s="212"/>
      <c r="AH3" s="212"/>
      <c r="AI3" s="212"/>
      <c r="AJ3" s="212"/>
      <c r="AK3" s="212"/>
      <c r="AL3" s="212"/>
      <c r="AM3" s="213"/>
      <c r="AN3" s="218" t="s">
        <v>71</v>
      </c>
      <c r="AO3" s="212"/>
      <c r="AP3" s="212"/>
      <c r="AQ3" s="212"/>
      <c r="AR3" s="212"/>
      <c r="AS3" s="212"/>
      <c r="AT3" s="212"/>
      <c r="AU3" s="212"/>
      <c r="AV3" s="224" t="s">
        <v>9</v>
      </c>
      <c r="AW3" s="225"/>
      <c r="AX3" s="226"/>
      <c r="AY3" s="218" t="s">
        <v>15</v>
      </c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 t="s">
        <v>15</v>
      </c>
      <c r="BK3" s="212"/>
      <c r="BL3" s="212"/>
      <c r="BM3" s="212"/>
      <c r="BN3" s="212"/>
      <c r="BO3" s="212"/>
      <c r="BP3" s="212"/>
      <c r="BQ3" s="212"/>
      <c r="BR3" s="212" t="s">
        <v>15</v>
      </c>
      <c r="BS3" s="212"/>
      <c r="BT3" s="212"/>
      <c r="BU3" s="212"/>
      <c r="BV3" s="212"/>
      <c r="BW3" s="212"/>
      <c r="BX3" s="212"/>
      <c r="BY3" s="219"/>
      <c r="BZ3" s="214" t="s">
        <v>16</v>
      </c>
      <c r="CA3" s="215"/>
      <c r="CB3" s="216"/>
      <c r="CC3" s="214" t="s">
        <v>17</v>
      </c>
      <c r="CD3" s="215"/>
      <c r="CE3" s="217"/>
    </row>
    <row r="4" spans="1:83" s="9" customFormat="1" ht="106.5" customHeight="1" thickBot="1">
      <c r="A4" s="65"/>
      <c r="B4" s="70" t="s">
        <v>18</v>
      </c>
      <c r="C4" s="122" t="s">
        <v>63</v>
      </c>
      <c r="D4" s="122" t="s">
        <v>62</v>
      </c>
      <c r="E4" s="122" t="s">
        <v>64</v>
      </c>
      <c r="F4" s="122" t="s">
        <v>56</v>
      </c>
      <c r="G4" s="122" t="s">
        <v>58</v>
      </c>
      <c r="H4" s="122"/>
      <c r="I4" s="122"/>
      <c r="J4" s="71" t="s">
        <v>55</v>
      </c>
      <c r="K4" s="72" t="s">
        <v>20</v>
      </c>
      <c r="L4" s="66" t="s">
        <v>18</v>
      </c>
      <c r="M4" s="123" t="s">
        <v>63</v>
      </c>
      <c r="N4" s="123" t="s">
        <v>62</v>
      </c>
      <c r="O4" s="123" t="s">
        <v>65</v>
      </c>
      <c r="P4" s="123" t="s">
        <v>66</v>
      </c>
      <c r="Q4" s="123" t="s">
        <v>67</v>
      </c>
      <c r="R4" s="123" t="s">
        <v>68</v>
      </c>
      <c r="S4" s="123" t="s">
        <v>58</v>
      </c>
      <c r="T4" s="123"/>
      <c r="U4" s="67" t="s">
        <v>55</v>
      </c>
      <c r="V4" s="68" t="s">
        <v>20</v>
      </c>
      <c r="W4" s="66" t="s">
        <v>18</v>
      </c>
      <c r="X4" s="123" t="s">
        <v>63</v>
      </c>
      <c r="Y4" s="123" t="s">
        <v>62</v>
      </c>
      <c r="Z4" s="123" t="s">
        <v>64</v>
      </c>
      <c r="AA4" s="123" t="s">
        <v>69</v>
      </c>
      <c r="AB4" s="123" t="s">
        <v>70</v>
      </c>
      <c r="AC4" s="123" t="s">
        <v>58</v>
      </c>
      <c r="AD4" s="67" t="s">
        <v>55</v>
      </c>
      <c r="AE4" s="68" t="s">
        <v>20</v>
      </c>
      <c r="AF4" s="70" t="s">
        <v>18</v>
      </c>
      <c r="AG4" s="60" t="s">
        <v>54</v>
      </c>
      <c r="AH4" s="123" t="s">
        <v>62</v>
      </c>
      <c r="AI4" s="123" t="s">
        <v>64</v>
      </c>
      <c r="AJ4" s="60"/>
      <c r="AK4" s="60"/>
      <c r="AL4" s="71" t="s">
        <v>55</v>
      </c>
      <c r="AM4" s="72" t="s">
        <v>20</v>
      </c>
      <c r="AN4" s="70" t="s">
        <v>18</v>
      </c>
      <c r="AO4" s="60" t="s">
        <v>72</v>
      </c>
      <c r="AP4" s="123" t="s">
        <v>62</v>
      </c>
      <c r="AQ4" s="123" t="s">
        <v>58</v>
      </c>
      <c r="AR4" s="60"/>
      <c r="AS4" s="60"/>
      <c r="AT4" s="71" t="s">
        <v>55</v>
      </c>
      <c r="AU4" s="175" t="s">
        <v>20</v>
      </c>
      <c r="AV4" s="73" t="s">
        <v>18</v>
      </c>
      <c r="AW4" s="69" t="s">
        <v>19</v>
      </c>
      <c r="AX4" s="74" t="s">
        <v>20</v>
      </c>
      <c r="AY4" s="151" t="s">
        <v>18</v>
      </c>
      <c r="AZ4" s="121" t="s">
        <v>73</v>
      </c>
      <c r="BA4" s="121" t="s">
        <v>74</v>
      </c>
      <c r="BB4" s="121" t="s">
        <v>76</v>
      </c>
      <c r="BC4" s="121" t="s">
        <v>75</v>
      </c>
      <c r="BD4" s="121" t="s">
        <v>77</v>
      </c>
      <c r="BE4" s="121" t="s">
        <v>78</v>
      </c>
      <c r="BF4" s="121" t="s">
        <v>79</v>
      </c>
      <c r="BG4" s="121" t="s">
        <v>67</v>
      </c>
      <c r="BH4" s="121" t="s">
        <v>80</v>
      </c>
      <c r="BI4" s="121" t="s">
        <v>81</v>
      </c>
      <c r="BJ4" s="121" t="s">
        <v>82</v>
      </c>
      <c r="BK4" s="121" t="s">
        <v>83</v>
      </c>
      <c r="BL4" s="121" t="s">
        <v>84</v>
      </c>
      <c r="BM4" s="121" t="s">
        <v>85</v>
      </c>
      <c r="BN4" s="121" t="s">
        <v>59</v>
      </c>
      <c r="BO4" s="121" t="s">
        <v>86</v>
      </c>
      <c r="BP4" s="121" t="s">
        <v>87</v>
      </c>
      <c r="BQ4" s="121" t="s">
        <v>88</v>
      </c>
      <c r="BR4" s="121" t="s">
        <v>89</v>
      </c>
      <c r="BS4" s="121" t="s">
        <v>90</v>
      </c>
      <c r="BT4" s="121" t="s">
        <v>92</v>
      </c>
      <c r="BU4" s="121" t="s">
        <v>93</v>
      </c>
      <c r="BV4" s="121" t="s">
        <v>94</v>
      </c>
      <c r="BW4" s="121" t="s">
        <v>96</v>
      </c>
      <c r="BX4" s="4" t="s">
        <v>55</v>
      </c>
      <c r="BY4" s="68" t="s">
        <v>20</v>
      </c>
      <c r="BZ4" s="55" t="s">
        <v>18</v>
      </c>
      <c r="CA4" s="4" t="s">
        <v>19</v>
      </c>
      <c r="CB4" s="150" t="s">
        <v>20</v>
      </c>
      <c r="CC4" s="164" t="s">
        <v>18</v>
      </c>
      <c r="CD4" s="7" t="s">
        <v>19</v>
      </c>
      <c r="CE4" s="8" t="s">
        <v>20</v>
      </c>
    </row>
    <row r="5" spans="1:83" s="14" customFormat="1" ht="18" customHeight="1">
      <c r="A5" s="75" t="s">
        <v>21</v>
      </c>
      <c r="B5" s="10">
        <f aca="true" t="shared" si="0" ref="B5:I5">B6+B7</f>
        <v>0</v>
      </c>
      <c r="C5" s="124">
        <f t="shared" si="0"/>
        <v>0</v>
      </c>
      <c r="D5" s="124">
        <f t="shared" si="0"/>
        <v>0</v>
      </c>
      <c r="E5" s="124">
        <f t="shared" si="0"/>
        <v>860</v>
      </c>
      <c r="F5" s="124">
        <f t="shared" si="0"/>
        <v>0</v>
      </c>
      <c r="G5" s="124">
        <f t="shared" si="0"/>
        <v>0</v>
      </c>
      <c r="H5" s="124">
        <f t="shared" si="0"/>
        <v>0</v>
      </c>
      <c r="I5" s="124">
        <f t="shared" si="0"/>
        <v>0</v>
      </c>
      <c r="J5" s="10">
        <f aca="true" t="shared" si="1" ref="J5:J25">SUM(B5:I5)</f>
        <v>860</v>
      </c>
      <c r="K5" s="11">
        <f aca="true" t="shared" si="2" ref="K5:T5">K6+K7</f>
        <v>860</v>
      </c>
      <c r="L5" s="139">
        <f t="shared" si="2"/>
        <v>0</v>
      </c>
      <c r="M5" s="10">
        <f t="shared" si="2"/>
        <v>0</v>
      </c>
      <c r="N5" s="10">
        <f t="shared" si="2"/>
        <v>0</v>
      </c>
      <c r="O5" s="10">
        <f t="shared" si="2"/>
        <v>300</v>
      </c>
      <c r="P5" s="10">
        <f t="shared" si="2"/>
        <v>800</v>
      </c>
      <c r="Q5" s="10">
        <f t="shared" si="2"/>
        <v>559</v>
      </c>
      <c r="R5" s="10">
        <f t="shared" si="2"/>
        <v>0</v>
      </c>
      <c r="S5" s="10">
        <f t="shared" si="2"/>
        <v>0</v>
      </c>
      <c r="T5" s="10">
        <f t="shared" si="2"/>
        <v>0</v>
      </c>
      <c r="U5" s="10">
        <f aca="true" t="shared" si="3" ref="U5:U25">SUM(L5:T5)</f>
        <v>1659</v>
      </c>
      <c r="V5" s="11">
        <f aca="true" t="shared" si="4" ref="V5:AC5">V6+V7</f>
        <v>1659</v>
      </c>
      <c r="W5" s="10">
        <f t="shared" si="4"/>
        <v>0</v>
      </c>
      <c r="X5" s="10">
        <f t="shared" si="4"/>
        <v>0</v>
      </c>
      <c r="Y5" s="10">
        <f t="shared" si="4"/>
        <v>0</v>
      </c>
      <c r="Z5" s="10">
        <f t="shared" si="4"/>
        <v>352</v>
      </c>
      <c r="AA5" s="10">
        <f t="shared" si="4"/>
        <v>0</v>
      </c>
      <c r="AB5" s="10">
        <f t="shared" si="4"/>
        <v>0</v>
      </c>
      <c r="AC5" s="10">
        <f t="shared" si="4"/>
        <v>0</v>
      </c>
      <c r="AD5" s="10">
        <f aca="true" t="shared" si="5" ref="AD5:AD25">SUM(W5:AC5)</f>
        <v>352</v>
      </c>
      <c r="AE5" s="11">
        <f aca="true" t="shared" si="6" ref="AE5:AK5">AE6+AE7</f>
        <v>352</v>
      </c>
      <c r="AF5" s="10">
        <f t="shared" si="6"/>
        <v>0</v>
      </c>
      <c r="AG5" s="61">
        <f t="shared" si="6"/>
        <v>0</v>
      </c>
      <c r="AH5" s="61">
        <f t="shared" si="6"/>
        <v>0</v>
      </c>
      <c r="AI5" s="61">
        <f t="shared" si="6"/>
        <v>491</v>
      </c>
      <c r="AJ5" s="61">
        <f t="shared" si="6"/>
        <v>0</v>
      </c>
      <c r="AK5" s="61">
        <f t="shared" si="6"/>
        <v>0</v>
      </c>
      <c r="AL5" s="10">
        <f aca="true" t="shared" si="7" ref="AL5:AL25">SUM(AF5:AK5)</f>
        <v>491</v>
      </c>
      <c r="AM5" s="11">
        <f aca="true" t="shared" si="8" ref="AM5:AS5">AM6+AM7</f>
        <v>491</v>
      </c>
      <c r="AN5" s="10">
        <f t="shared" si="8"/>
        <v>44148</v>
      </c>
      <c r="AO5" s="61">
        <f t="shared" si="8"/>
        <v>0</v>
      </c>
      <c r="AP5" s="61">
        <f t="shared" si="8"/>
        <v>155</v>
      </c>
      <c r="AQ5" s="61">
        <f t="shared" si="8"/>
        <v>0</v>
      </c>
      <c r="AR5" s="61">
        <f t="shared" si="8"/>
        <v>0</v>
      </c>
      <c r="AS5" s="61">
        <f t="shared" si="8"/>
        <v>0</v>
      </c>
      <c r="AT5" s="10">
        <f aca="true" t="shared" si="9" ref="AT5:AT25">SUM(AN5:AS5)</f>
        <v>44303</v>
      </c>
      <c r="AU5" s="176">
        <f>AU6+AU7</f>
        <v>155</v>
      </c>
      <c r="AV5" s="198">
        <f aca="true" t="shared" si="10" ref="AV5:AV10">B5+L5+W5+AF5+AN5</f>
        <v>44148</v>
      </c>
      <c r="AW5" s="76">
        <f aca="true" t="shared" si="11" ref="AW5:AW10">J5+U5+AD5+AL5+AT5</f>
        <v>47665</v>
      </c>
      <c r="AX5" s="77">
        <f aca="true" t="shared" si="12" ref="AX5:AX10">AW5-AV5</f>
        <v>3517</v>
      </c>
      <c r="AY5" s="187">
        <f aca="true" t="shared" si="13" ref="AY5:BH5">AY6+AY7</f>
        <v>937377</v>
      </c>
      <c r="AZ5" s="61">
        <f t="shared" si="13"/>
        <v>33214</v>
      </c>
      <c r="BA5" s="61">
        <f t="shared" si="13"/>
        <v>6840</v>
      </c>
      <c r="BB5" s="61">
        <f t="shared" si="13"/>
        <v>0</v>
      </c>
      <c r="BC5" s="61">
        <f t="shared" si="13"/>
        <v>0</v>
      </c>
      <c r="BD5" s="61">
        <f t="shared" si="13"/>
        <v>332</v>
      </c>
      <c r="BE5" s="61">
        <f t="shared" si="13"/>
        <v>0</v>
      </c>
      <c r="BF5" s="61">
        <f t="shared" si="13"/>
        <v>0</v>
      </c>
      <c r="BG5" s="61">
        <f t="shared" si="13"/>
        <v>222</v>
      </c>
      <c r="BH5" s="61">
        <f t="shared" si="13"/>
        <v>9000</v>
      </c>
      <c r="BI5" s="61"/>
      <c r="BJ5" s="61">
        <f aca="true" t="shared" si="14" ref="BJ5:BW5">BJ6+BJ7</f>
        <v>0</v>
      </c>
      <c r="BK5" s="61">
        <f t="shared" si="14"/>
        <v>0</v>
      </c>
      <c r="BL5" s="61">
        <f t="shared" si="14"/>
        <v>300</v>
      </c>
      <c r="BM5" s="61">
        <f t="shared" si="14"/>
        <v>0</v>
      </c>
      <c r="BN5" s="61">
        <f t="shared" si="14"/>
        <v>0</v>
      </c>
      <c r="BO5" s="61">
        <f t="shared" si="14"/>
        <v>0</v>
      </c>
      <c r="BP5" s="61">
        <f t="shared" si="14"/>
        <v>0</v>
      </c>
      <c r="BQ5" s="61">
        <f t="shared" si="14"/>
        <v>0</v>
      </c>
      <c r="BR5" s="61">
        <f t="shared" si="14"/>
        <v>0</v>
      </c>
      <c r="BS5" s="61">
        <f t="shared" si="14"/>
        <v>0</v>
      </c>
      <c r="BT5" s="61">
        <f t="shared" si="14"/>
        <v>0</v>
      </c>
      <c r="BU5" s="61">
        <f t="shared" si="14"/>
        <v>0</v>
      </c>
      <c r="BV5" s="61">
        <f t="shared" si="14"/>
        <v>0</v>
      </c>
      <c r="BW5" s="61">
        <f t="shared" si="14"/>
        <v>0</v>
      </c>
      <c r="BX5" s="78">
        <f aca="true" t="shared" si="15" ref="BX5:BX25">SUM(AY5:BW5)</f>
        <v>987285</v>
      </c>
      <c r="BY5" s="11">
        <f>BY6+BY7</f>
        <v>49908</v>
      </c>
      <c r="BZ5" s="78">
        <f aca="true" t="shared" si="16" ref="BZ5:BZ10">AV5+AY5</f>
        <v>981525</v>
      </c>
      <c r="CA5" s="78">
        <f aca="true" t="shared" si="17" ref="CA5:CA25">BX5+AW5</f>
        <v>1034950</v>
      </c>
      <c r="CB5" s="153">
        <f aca="true" t="shared" si="18" ref="CB5:CB10">CA5-BZ5</f>
        <v>53425</v>
      </c>
      <c r="CC5" s="165">
        <f aca="true" t="shared" si="19" ref="CC5:CD10">BZ5</f>
        <v>981525</v>
      </c>
      <c r="CD5" s="12">
        <f t="shared" si="19"/>
        <v>1034950</v>
      </c>
      <c r="CE5" s="13">
        <f aca="true" t="shared" si="20" ref="CE5:CE10">CD5-CC5</f>
        <v>53425</v>
      </c>
    </row>
    <row r="6" spans="1:83" s="14" customFormat="1" ht="18" customHeight="1">
      <c r="A6" s="79" t="s">
        <v>22</v>
      </c>
      <c r="B6" s="125"/>
      <c r="C6" s="125"/>
      <c r="D6" s="125"/>
      <c r="E6" s="125"/>
      <c r="F6" s="125"/>
      <c r="G6" s="125"/>
      <c r="H6" s="125"/>
      <c r="I6" s="125"/>
      <c r="J6" s="125">
        <f t="shared" si="1"/>
        <v>0</v>
      </c>
      <c r="K6" s="126">
        <f>J6-B6</f>
        <v>0</v>
      </c>
      <c r="L6" s="140"/>
      <c r="M6" s="125"/>
      <c r="N6" s="125"/>
      <c r="O6" s="125"/>
      <c r="P6" s="125"/>
      <c r="Q6" s="125"/>
      <c r="R6" s="125"/>
      <c r="S6" s="125"/>
      <c r="T6" s="125"/>
      <c r="U6" s="125">
        <f t="shared" si="3"/>
        <v>0</v>
      </c>
      <c r="V6" s="126">
        <f>U6-L6</f>
        <v>0</v>
      </c>
      <c r="W6" s="15"/>
      <c r="X6" s="125"/>
      <c r="Y6" s="125"/>
      <c r="Z6" s="125"/>
      <c r="AA6" s="125"/>
      <c r="AB6" s="125"/>
      <c r="AC6" s="125"/>
      <c r="AD6" s="15">
        <f t="shared" si="5"/>
        <v>0</v>
      </c>
      <c r="AE6" s="16">
        <f>AD6-W6</f>
        <v>0</v>
      </c>
      <c r="AF6" s="15"/>
      <c r="AG6" s="111"/>
      <c r="AH6" s="111"/>
      <c r="AI6" s="111"/>
      <c r="AJ6" s="111"/>
      <c r="AK6" s="111"/>
      <c r="AL6" s="15">
        <f t="shared" si="7"/>
        <v>0</v>
      </c>
      <c r="AM6" s="16">
        <f>AL6-AF6</f>
        <v>0</v>
      </c>
      <c r="AN6" s="15"/>
      <c r="AO6" s="111"/>
      <c r="AP6" s="111"/>
      <c r="AQ6" s="111"/>
      <c r="AR6" s="111"/>
      <c r="AS6" s="111"/>
      <c r="AT6" s="15">
        <f t="shared" si="9"/>
        <v>0</v>
      </c>
      <c r="AU6" s="177">
        <f>AT6-AN6</f>
        <v>0</v>
      </c>
      <c r="AV6" s="199">
        <f t="shared" si="10"/>
        <v>0</v>
      </c>
      <c r="AW6" s="80">
        <f t="shared" si="11"/>
        <v>0</v>
      </c>
      <c r="AX6" s="81">
        <f t="shared" si="12"/>
        <v>0</v>
      </c>
      <c r="AY6" s="188">
        <v>843598</v>
      </c>
      <c r="AZ6" s="111">
        <f>10545+4302+579+3120+8729+1495+1244+3200</f>
        <v>33214</v>
      </c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82">
        <f t="shared" si="15"/>
        <v>876812</v>
      </c>
      <c r="BY6" s="16">
        <f>BX6-AY6</f>
        <v>33214</v>
      </c>
      <c r="BZ6" s="82">
        <f t="shared" si="16"/>
        <v>843598</v>
      </c>
      <c r="CA6" s="80">
        <f t="shared" si="17"/>
        <v>876812</v>
      </c>
      <c r="CB6" s="154">
        <f t="shared" si="18"/>
        <v>33214</v>
      </c>
      <c r="CC6" s="166">
        <f t="shared" si="19"/>
        <v>843598</v>
      </c>
      <c r="CD6" s="15">
        <f t="shared" si="19"/>
        <v>876812</v>
      </c>
      <c r="CE6" s="16">
        <f t="shared" si="20"/>
        <v>33214</v>
      </c>
    </row>
    <row r="7" spans="1:83" s="14" customFormat="1" ht="18" customHeight="1">
      <c r="A7" s="79" t="s">
        <v>23</v>
      </c>
      <c r="B7" s="125"/>
      <c r="C7" s="125"/>
      <c r="D7" s="125"/>
      <c r="E7" s="125">
        <v>860</v>
      </c>
      <c r="F7" s="125"/>
      <c r="G7" s="125"/>
      <c r="H7" s="125"/>
      <c r="I7" s="125"/>
      <c r="J7" s="125">
        <f t="shared" si="1"/>
        <v>860</v>
      </c>
      <c r="K7" s="126">
        <f>J7-B7</f>
        <v>860</v>
      </c>
      <c r="L7" s="140"/>
      <c r="M7" s="125"/>
      <c r="N7" s="125"/>
      <c r="O7" s="125">
        <v>300</v>
      </c>
      <c r="P7" s="125">
        <v>800</v>
      </c>
      <c r="Q7" s="125">
        <v>559</v>
      </c>
      <c r="R7" s="125"/>
      <c r="S7" s="125"/>
      <c r="T7" s="125"/>
      <c r="U7" s="125">
        <f t="shared" si="3"/>
        <v>1659</v>
      </c>
      <c r="V7" s="126">
        <f>U7-L7</f>
        <v>1659</v>
      </c>
      <c r="W7" s="15"/>
      <c r="X7" s="125"/>
      <c r="Y7" s="125"/>
      <c r="Z7" s="125">
        <v>352</v>
      </c>
      <c r="AA7" s="125"/>
      <c r="AB7" s="125"/>
      <c r="AC7" s="125"/>
      <c r="AD7" s="15">
        <f t="shared" si="5"/>
        <v>352</v>
      </c>
      <c r="AE7" s="16">
        <f>AD7-W7</f>
        <v>352</v>
      </c>
      <c r="AF7" s="15"/>
      <c r="AG7" s="111"/>
      <c r="AH7" s="111"/>
      <c r="AI7" s="111">
        <v>491</v>
      </c>
      <c r="AJ7" s="111"/>
      <c r="AK7" s="111"/>
      <c r="AL7" s="15">
        <f t="shared" si="7"/>
        <v>491</v>
      </c>
      <c r="AM7" s="16">
        <f>AL7-AF7</f>
        <v>491</v>
      </c>
      <c r="AN7" s="15">
        <v>44148</v>
      </c>
      <c r="AO7" s="111"/>
      <c r="AP7" s="111">
        <v>155</v>
      </c>
      <c r="AQ7" s="111"/>
      <c r="AR7" s="111"/>
      <c r="AS7" s="111"/>
      <c r="AT7" s="15">
        <f t="shared" si="9"/>
        <v>44303</v>
      </c>
      <c r="AU7" s="177">
        <f>AT7-AN7</f>
        <v>155</v>
      </c>
      <c r="AV7" s="199">
        <f t="shared" si="10"/>
        <v>44148</v>
      </c>
      <c r="AW7" s="80">
        <f t="shared" si="11"/>
        <v>47665</v>
      </c>
      <c r="AX7" s="81">
        <f t="shared" si="12"/>
        <v>3517</v>
      </c>
      <c r="AY7" s="188">
        <v>93779</v>
      </c>
      <c r="AZ7" s="111"/>
      <c r="BA7" s="111">
        <v>6840</v>
      </c>
      <c r="BB7" s="111"/>
      <c r="BC7" s="111"/>
      <c r="BD7" s="111">
        <v>332</v>
      </c>
      <c r="BE7" s="111"/>
      <c r="BF7" s="111"/>
      <c r="BG7" s="111">
        <f>91+131</f>
        <v>222</v>
      </c>
      <c r="BH7" s="111">
        <v>9000</v>
      </c>
      <c r="BI7" s="111"/>
      <c r="BJ7" s="111"/>
      <c r="BK7" s="111"/>
      <c r="BL7" s="111">
        <v>300</v>
      </c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82">
        <f t="shared" si="15"/>
        <v>110473</v>
      </c>
      <c r="BY7" s="16">
        <f>BX7-AY7</f>
        <v>16694</v>
      </c>
      <c r="BZ7" s="82">
        <f t="shared" si="16"/>
        <v>137927</v>
      </c>
      <c r="CA7" s="80">
        <f t="shared" si="17"/>
        <v>158138</v>
      </c>
      <c r="CB7" s="154">
        <f t="shared" si="18"/>
        <v>20211</v>
      </c>
      <c r="CC7" s="166">
        <f t="shared" si="19"/>
        <v>137927</v>
      </c>
      <c r="CD7" s="15">
        <f t="shared" si="19"/>
        <v>158138</v>
      </c>
      <c r="CE7" s="16">
        <f t="shared" si="20"/>
        <v>20211</v>
      </c>
    </row>
    <row r="8" spans="1:83" s="14" customFormat="1" ht="18" customHeight="1">
      <c r="A8" s="83" t="s">
        <v>0</v>
      </c>
      <c r="B8" s="17"/>
      <c r="C8" s="125"/>
      <c r="D8" s="125"/>
      <c r="E8" s="125"/>
      <c r="F8" s="125"/>
      <c r="G8" s="125"/>
      <c r="H8" s="125"/>
      <c r="I8" s="125"/>
      <c r="J8" s="125">
        <f t="shared" si="1"/>
        <v>0</v>
      </c>
      <c r="K8" s="18">
        <f>J8-B8</f>
        <v>0</v>
      </c>
      <c r="L8" s="141"/>
      <c r="M8" s="17"/>
      <c r="N8" s="17"/>
      <c r="O8" s="17"/>
      <c r="P8" s="17"/>
      <c r="Q8" s="17"/>
      <c r="R8" s="17"/>
      <c r="S8" s="17"/>
      <c r="T8" s="17"/>
      <c r="U8" s="125">
        <f t="shared" si="3"/>
        <v>0</v>
      </c>
      <c r="V8" s="18">
        <f>U8-L8</f>
        <v>0</v>
      </c>
      <c r="W8" s="17"/>
      <c r="X8" s="17"/>
      <c r="Y8" s="17"/>
      <c r="Z8" s="17"/>
      <c r="AA8" s="17"/>
      <c r="AB8" s="17"/>
      <c r="AC8" s="17"/>
      <c r="AD8" s="15">
        <f t="shared" si="5"/>
        <v>0</v>
      </c>
      <c r="AE8" s="18">
        <f>AD8-W8</f>
        <v>0</v>
      </c>
      <c r="AF8" s="17"/>
      <c r="AG8" s="112"/>
      <c r="AH8" s="112"/>
      <c r="AI8" s="112"/>
      <c r="AJ8" s="112"/>
      <c r="AK8" s="112"/>
      <c r="AL8" s="15">
        <f t="shared" si="7"/>
        <v>0</v>
      </c>
      <c r="AM8" s="18">
        <f>AL8-AF8</f>
        <v>0</v>
      </c>
      <c r="AN8" s="17"/>
      <c r="AO8" s="112"/>
      <c r="AP8" s="112"/>
      <c r="AQ8" s="112"/>
      <c r="AR8" s="112"/>
      <c r="AS8" s="112"/>
      <c r="AT8" s="15">
        <f t="shared" si="9"/>
        <v>0</v>
      </c>
      <c r="AU8" s="178">
        <f>AT8-AN8</f>
        <v>0</v>
      </c>
      <c r="AV8" s="199">
        <f t="shared" si="10"/>
        <v>0</v>
      </c>
      <c r="AW8" s="80">
        <f t="shared" si="11"/>
        <v>0</v>
      </c>
      <c r="AX8" s="81">
        <f t="shared" si="12"/>
        <v>0</v>
      </c>
      <c r="AY8" s="189">
        <v>454978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82">
        <f t="shared" si="15"/>
        <v>454978</v>
      </c>
      <c r="BY8" s="18">
        <f>BX8-AY8</f>
        <v>0</v>
      </c>
      <c r="BZ8" s="82">
        <f t="shared" si="16"/>
        <v>454978</v>
      </c>
      <c r="CA8" s="82">
        <f t="shared" si="17"/>
        <v>454978</v>
      </c>
      <c r="CB8" s="155">
        <f t="shared" si="18"/>
        <v>0</v>
      </c>
      <c r="CC8" s="167">
        <f t="shared" si="19"/>
        <v>454978</v>
      </c>
      <c r="CD8" s="19">
        <f t="shared" si="19"/>
        <v>454978</v>
      </c>
      <c r="CE8" s="20">
        <f t="shared" si="20"/>
        <v>0</v>
      </c>
    </row>
    <row r="9" spans="1:83" s="14" customFormat="1" ht="18" customHeight="1">
      <c r="A9" s="83" t="s">
        <v>1</v>
      </c>
      <c r="B9" s="17">
        <v>2080</v>
      </c>
      <c r="C9" s="125"/>
      <c r="D9" s="125"/>
      <c r="E9" s="125"/>
      <c r="F9" s="125"/>
      <c r="G9" s="125"/>
      <c r="H9" s="125"/>
      <c r="I9" s="125"/>
      <c r="J9" s="17">
        <f t="shared" si="1"/>
        <v>2080</v>
      </c>
      <c r="K9" s="18">
        <f>J9-B9</f>
        <v>0</v>
      </c>
      <c r="L9" s="141">
        <v>73500</v>
      </c>
      <c r="M9" s="17"/>
      <c r="N9" s="17"/>
      <c r="O9" s="17"/>
      <c r="P9" s="17"/>
      <c r="Q9" s="17"/>
      <c r="R9" s="17">
        <v>1252</v>
      </c>
      <c r="S9" s="17"/>
      <c r="T9" s="17"/>
      <c r="U9" s="17">
        <f t="shared" si="3"/>
        <v>74752</v>
      </c>
      <c r="V9" s="18">
        <f>U9-L9</f>
        <v>1252</v>
      </c>
      <c r="W9" s="17">
        <v>4000</v>
      </c>
      <c r="X9" s="17"/>
      <c r="Y9" s="17"/>
      <c r="Z9" s="17"/>
      <c r="AA9" s="17">
        <v>600</v>
      </c>
      <c r="AB9" s="17"/>
      <c r="AC9" s="17"/>
      <c r="AD9" s="17">
        <f t="shared" si="5"/>
        <v>4600</v>
      </c>
      <c r="AE9" s="18">
        <f>AD9-W9</f>
        <v>600</v>
      </c>
      <c r="AF9" s="17">
        <v>2160</v>
      </c>
      <c r="AG9" s="112"/>
      <c r="AH9" s="112"/>
      <c r="AI9" s="112"/>
      <c r="AJ9" s="112"/>
      <c r="AK9" s="112"/>
      <c r="AL9" s="17">
        <f t="shared" si="7"/>
        <v>2160</v>
      </c>
      <c r="AM9" s="18">
        <f>AL9-AF9</f>
        <v>0</v>
      </c>
      <c r="AN9" s="17">
        <v>58067</v>
      </c>
      <c r="AO9" s="112"/>
      <c r="AP9" s="112"/>
      <c r="AQ9" s="112"/>
      <c r="AR9" s="112"/>
      <c r="AS9" s="112"/>
      <c r="AT9" s="17">
        <f t="shared" si="9"/>
        <v>58067</v>
      </c>
      <c r="AU9" s="178">
        <f>AT9-AN9</f>
        <v>0</v>
      </c>
      <c r="AV9" s="199">
        <f t="shared" si="10"/>
        <v>139807</v>
      </c>
      <c r="AW9" s="80">
        <f t="shared" si="11"/>
        <v>141659</v>
      </c>
      <c r="AX9" s="81">
        <f t="shared" si="12"/>
        <v>1852</v>
      </c>
      <c r="AY9" s="189">
        <v>73176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>
        <v>6688</v>
      </c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82">
        <f t="shared" si="15"/>
        <v>79864</v>
      </c>
      <c r="BY9" s="18">
        <f>BX9-AY9</f>
        <v>6688</v>
      </c>
      <c r="BZ9" s="82">
        <f t="shared" si="16"/>
        <v>212983</v>
      </c>
      <c r="CA9" s="82">
        <f t="shared" si="17"/>
        <v>221523</v>
      </c>
      <c r="CB9" s="155">
        <f t="shared" si="18"/>
        <v>8540</v>
      </c>
      <c r="CC9" s="167">
        <f t="shared" si="19"/>
        <v>212983</v>
      </c>
      <c r="CD9" s="19">
        <f t="shared" si="19"/>
        <v>221523</v>
      </c>
      <c r="CE9" s="20">
        <f t="shared" si="20"/>
        <v>8540</v>
      </c>
    </row>
    <row r="10" spans="1:83" s="14" customFormat="1" ht="18" customHeight="1" thickBot="1">
      <c r="A10" s="85" t="s">
        <v>2</v>
      </c>
      <c r="B10" s="21"/>
      <c r="C10" s="127"/>
      <c r="D10" s="127"/>
      <c r="E10" s="127"/>
      <c r="F10" s="127"/>
      <c r="G10" s="127"/>
      <c r="H10" s="127"/>
      <c r="I10" s="127"/>
      <c r="J10" s="21">
        <f t="shared" si="1"/>
        <v>0</v>
      </c>
      <c r="K10" s="22">
        <f>J10-B10</f>
        <v>0</v>
      </c>
      <c r="L10" s="142"/>
      <c r="M10" s="21"/>
      <c r="N10" s="21"/>
      <c r="O10" s="21"/>
      <c r="P10" s="21"/>
      <c r="Q10" s="21"/>
      <c r="R10" s="21"/>
      <c r="S10" s="21"/>
      <c r="T10" s="21"/>
      <c r="U10" s="21">
        <f t="shared" si="3"/>
        <v>0</v>
      </c>
      <c r="V10" s="22">
        <f>U10-L10</f>
        <v>0</v>
      </c>
      <c r="W10" s="21"/>
      <c r="X10" s="21"/>
      <c r="Y10" s="21"/>
      <c r="Z10" s="21"/>
      <c r="AA10" s="21"/>
      <c r="AB10" s="21"/>
      <c r="AC10" s="21"/>
      <c r="AD10" s="21">
        <f t="shared" si="5"/>
        <v>0</v>
      </c>
      <c r="AE10" s="22">
        <f>AD10-W10</f>
        <v>0</v>
      </c>
      <c r="AF10" s="21"/>
      <c r="AG10" s="113"/>
      <c r="AH10" s="113"/>
      <c r="AI10" s="113"/>
      <c r="AJ10" s="113"/>
      <c r="AK10" s="113"/>
      <c r="AL10" s="21">
        <f t="shared" si="7"/>
        <v>0</v>
      </c>
      <c r="AM10" s="22">
        <f>AL10-AF10</f>
        <v>0</v>
      </c>
      <c r="AN10" s="21"/>
      <c r="AO10" s="113"/>
      <c r="AP10" s="113"/>
      <c r="AQ10" s="113"/>
      <c r="AR10" s="113"/>
      <c r="AS10" s="113"/>
      <c r="AT10" s="21">
        <f t="shared" si="9"/>
        <v>0</v>
      </c>
      <c r="AU10" s="179">
        <f>AT10-AN10</f>
        <v>0</v>
      </c>
      <c r="AV10" s="199">
        <f t="shared" si="10"/>
        <v>0</v>
      </c>
      <c r="AW10" s="86">
        <f t="shared" si="11"/>
        <v>0</v>
      </c>
      <c r="AX10" s="87">
        <f t="shared" si="12"/>
        <v>0</v>
      </c>
      <c r="AY10" s="190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88">
        <f t="shared" si="15"/>
        <v>0</v>
      </c>
      <c r="BY10" s="22">
        <f>BX10-AY10</f>
        <v>0</v>
      </c>
      <c r="BZ10" s="88">
        <f t="shared" si="16"/>
        <v>0</v>
      </c>
      <c r="CA10" s="88">
        <f t="shared" si="17"/>
        <v>0</v>
      </c>
      <c r="CB10" s="156">
        <f t="shared" si="18"/>
        <v>0</v>
      </c>
      <c r="CC10" s="168">
        <f t="shared" si="19"/>
        <v>0</v>
      </c>
      <c r="CD10" s="23">
        <f t="shared" si="19"/>
        <v>0</v>
      </c>
      <c r="CE10" s="24">
        <f t="shared" si="20"/>
        <v>0</v>
      </c>
    </row>
    <row r="11" spans="1:83" s="30" customFormat="1" ht="18" customHeight="1" thickBot="1">
      <c r="A11" s="89" t="s">
        <v>24</v>
      </c>
      <c r="B11" s="25">
        <f aca="true" t="shared" si="21" ref="B11:I11">B5+B8+B9+B10</f>
        <v>2080</v>
      </c>
      <c r="C11" s="128">
        <f t="shared" si="21"/>
        <v>0</v>
      </c>
      <c r="D11" s="128">
        <f t="shared" si="21"/>
        <v>0</v>
      </c>
      <c r="E11" s="128">
        <f t="shared" si="21"/>
        <v>860</v>
      </c>
      <c r="F11" s="128">
        <f t="shared" si="21"/>
        <v>0</v>
      </c>
      <c r="G11" s="128">
        <f t="shared" si="21"/>
        <v>0</v>
      </c>
      <c r="H11" s="128">
        <f t="shared" si="21"/>
        <v>0</v>
      </c>
      <c r="I11" s="128">
        <f t="shared" si="21"/>
        <v>0</v>
      </c>
      <c r="J11" s="25">
        <f t="shared" si="1"/>
        <v>2940</v>
      </c>
      <c r="K11" s="26">
        <f aca="true" t="shared" si="22" ref="K11:T11">K5+K8+K9+K10</f>
        <v>860</v>
      </c>
      <c r="L11" s="29">
        <f t="shared" si="22"/>
        <v>73500</v>
      </c>
      <c r="M11" s="25">
        <f t="shared" si="22"/>
        <v>0</v>
      </c>
      <c r="N11" s="25">
        <f t="shared" si="22"/>
        <v>0</v>
      </c>
      <c r="O11" s="25">
        <f t="shared" si="22"/>
        <v>300</v>
      </c>
      <c r="P11" s="25">
        <f t="shared" si="22"/>
        <v>800</v>
      </c>
      <c r="Q11" s="25">
        <f t="shared" si="22"/>
        <v>559</v>
      </c>
      <c r="R11" s="25">
        <f t="shared" si="22"/>
        <v>1252</v>
      </c>
      <c r="S11" s="25">
        <f t="shared" si="22"/>
        <v>0</v>
      </c>
      <c r="T11" s="25">
        <f t="shared" si="22"/>
        <v>0</v>
      </c>
      <c r="U11" s="25">
        <f t="shared" si="3"/>
        <v>76411</v>
      </c>
      <c r="V11" s="26">
        <f aca="true" t="shared" si="23" ref="V11:AC11">V5+V8+V9+V10</f>
        <v>2911</v>
      </c>
      <c r="W11" s="25">
        <f t="shared" si="23"/>
        <v>4000</v>
      </c>
      <c r="X11" s="25">
        <f t="shared" si="23"/>
        <v>0</v>
      </c>
      <c r="Y11" s="25">
        <f t="shared" si="23"/>
        <v>0</v>
      </c>
      <c r="Z11" s="25">
        <f t="shared" si="23"/>
        <v>352</v>
      </c>
      <c r="AA11" s="25">
        <f t="shared" si="23"/>
        <v>600</v>
      </c>
      <c r="AB11" s="25">
        <f t="shared" si="23"/>
        <v>0</v>
      </c>
      <c r="AC11" s="25">
        <f t="shared" si="23"/>
        <v>0</v>
      </c>
      <c r="AD11" s="25">
        <f t="shared" si="5"/>
        <v>4952</v>
      </c>
      <c r="AE11" s="26">
        <f aca="true" t="shared" si="24" ref="AE11:AK11">AE5+AE8+AE9+AE10</f>
        <v>952</v>
      </c>
      <c r="AF11" s="25">
        <f t="shared" si="24"/>
        <v>2160</v>
      </c>
      <c r="AG11" s="114">
        <f t="shared" si="24"/>
        <v>0</v>
      </c>
      <c r="AH11" s="114">
        <f t="shared" si="24"/>
        <v>0</v>
      </c>
      <c r="AI11" s="114">
        <f t="shared" si="24"/>
        <v>491</v>
      </c>
      <c r="AJ11" s="114">
        <f t="shared" si="24"/>
        <v>0</v>
      </c>
      <c r="AK11" s="114">
        <f t="shared" si="24"/>
        <v>0</v>
      </c>
      <c r="AL11" s="25">
        <f t="shared" si="7"/>
        <v>2651</v>
      </c>
      <c r="AM11" s="26">
        <f aca="true" t="shared" si="25" ref="AM11:AS11">AM5+AM8+AM9+AM10</f>
        <v>491</v>
      </c>
      <c r="AN11" s="25">
        <f t="shared" si="25"/>
        <v>102215</v>
      </c>
      <c r="AO11" s="114">
        <f t="shared" si="25"/>
        <v>0</v>
      </c>
      <c r="AP11" s="114">
        <f t="shared" si="25"/>
        <v>155</v>
      </c>
      <c r="AQ11" s="114">
        <f t="shared" si="25"/>
        <v>0</v>
      </c>
      <c r="AR11" s="114">
        <f t="shared" si="25"/>
        <v>0</v>
      </c>
      <c r="AS11" s="114">
        <f t="shared" si="25"/>
        <v>0</v>
      </c>
      <c r="AT11" s="25">
        <f t="shared" si="9"/>
        <v>102370</v>
      </c>
      <c r="AU11" s="180">
        <f aca="true" t="shared" si="26" ref="AU11:BW11">AU5+AU8+AU9+AU10</f>
        <v>155</v>
      </c>
      <c r="AV11" s="200">
        <f t="shared" si="26"/>
        <v>183955</v>
      </c>
      <c r="AW11" s="90">
        <f t="shared" si="26"/>
        <v>189324</v>
      </c>
      <c r="AX11" s="91">
        <f t="shared" si="26"/>
        <v>5369</v>
      </c>
      <c r="AY11" s="191">
        <f t="shared" si="26"/>
        <v>1465531</v>
      </c>
      <c r="AZ11" s="114">
        <f t="shared" si="26"/>
        <v>33214</v>
      </c>
      <c r="BA11" s="114">
        <f t="shared" si="26"/>
        <v>6840</v>
      </c>
      <c r="BB11" s="114">
        <f t="shared" si="26"/>
        <v>0</v>
      </c>
      <c r="BC11" s="114">
        <f t="shared" si="26"/>
        <v>0</v>
      </c>
      <c r="BD11" s="114">
        <f t="shared" si="26"/>
        <v>332</v>
      </c>
      <c r="BE11" s="114">
        <f t="shared" si="26"/>
        <v>0</v>
      </c>
      <c r="BF11" s="114">
        <f t="shared" si="26"/>
        <v>0</v>
      </c>
      <c r="BG11" s="114">
        <f t="shared" si="26"/>
        <v>222</v>
      </c>
      <c r="BH11" s="114">
        <f t="shared" si="26"/>
        <v>9000</v>
      </c>
      <c r="BI11" s="114">
        <f t="shared" si="26"/>
        <v>0</v>
      </c>
      <c r="BJ11" s="114">
        <f t="shared" si="26"/>
        <v>0</v>
      </c>
      <c r="BK11" s="114">
        <f t="shared" si="26"/>
        <v>0</v>
      </c>
      <c r="BL11" s="114">
        <f t="shared" si="26"/>
        <v>300</v>
      </c>
      <c r="BM11" s="114">
        <f t="shared" si="26"/>
        <v>6688</v>
      </c>
      <c r="BN11" s="114">
        <f t="shared" si="26"/>
        <v>0</v>
      </c>
      <c r="BO11" s="114">
        <f t="shared" si="26"/>
        <v>0</v>
      </c>
      <c r="BP11" s="114">
        <f t="shared" si="26"/>
        <v>0</v>
      </c>
      <c r="BQ11" s="114">
        <f t="shared" si="26"/>
        <v>0</v>
      </c>
      <c r="BR11" s="114">
        <f t="shared" si="26"/>
        <v>0</v>
      </c>
      <c r="BS11" s="114">
        <f t="shared" si="26"/>
        <v>0</v>
      </c>
      <c r="BT11" s="114">
        <f t="shared" si="26"/>
        <v>0</v>
      </c>
      <c r="BU11" s="114">
        <f t="shared" si="26"/>
        <v>0</v>
      </c>
      <c r="BV11" s="114">
        <f t="shared" si="26"/>
        <v>0</v>
      </c>
      <c r="BW11" s="114">
        <f t="shared" si="26"/>
        <v>0</v>
      </c>
      <c r="BX11" s="27">
        <f t="shared" si="15"/>
        <v>1522127</v>
      </c>
      <c r="BY11" s="26">
        <f>BY5+BY8+BY9+BY10</f>
        <v>56596</v>
      </c>
      <c r="BZ11" s="27">
        <f>BZ5+BZ8+BZ9+BZ10</f>
        <v>1649486</v>
      </c>
      <c r="CA11" s="27">
        <f t="shared" si="17"/>
        <v>1711451</v>
      </c>
      <c r="CB11" s="157">
        <f>CB5+CB8+CB9+CB10</f>
        <v>61965</v>
      </c>
      <c r="CC11" s="29">
        <f>CC5+CC8+CC9+CC10</f>
        <v>1649486</v>
      </c>
      <c r="CD11" s="27">
        <f>CD5+CD8+CD9+CD10</f>
        <v>1711451</v>
      </c>
      <c r="CE11" s="28">
        <f>CE5+CE8+CE9+CE10</f>
        <v>61965</v>
      </c>
    </row>
    <row r="12" spans="1:83" s="14" customFormat="1" ht="18" customHeight="1">
      <c r="A12" s="75" t="s">
        <v>25</v>
      </c>
      <c r="B12" s="31"/>
      <c r="C12" s="129"/>
      <c r="D12" s="129"/>
      <c r="E12" s="129"/>
      <c r="F12" s="129"/>
      <c r="G12" s="129"/>
      <c r="H12" s="129"/>
      <c r="I12" s="129"/>
      <c r="J12" s="31">
        <f t="shared" si="1"/>
        <v>0</v>
      </c>
      <c r="K12" s="32">
        <f>J12-B12</f>
        <v>0</v>
      </c>
      <c r="L12" s="143"/>
      <c r="M12" s="31"/>
      <c r="N12" s="31"/>
      <c r="O12" s="31"/>
      <c r="P12" s="31"/>
      <c r="Q12" s="31"/>
      <c r="R12" s="31"/>
      <c r="S12" s="31"/>
      <c r="T12" s="31"/>
      <c r="U12" s="31">
        <f t="shared" si="3"/>
        <v>0</v>
      </c>
      <c r="V12" s="32">
        <f>U12-L12</f>
        <v>0</v>
      </c>
      <c r="W12" s="31"/>
      <c r="X12" s="31"/>
      <c r="Y12" s="31"/>
      <c r="Z12" s="31"/>
      <c r="AA12" s="31"/>
      <c r="AB12" s="31"/>
      <c r="AC12" s="31"/>
      <c r="AD12" s="31">
        <f t="shared" si="5"/>
        <v>0</v>
      </c>
      <c r="AE12" s="32">
        <f>AD12-W12</f>
        <v>0</v>
      </c>
      <c r="AF12" s="31"/>
      <c r="AG12" s="115"/>
      <c r="AH12" s="115"/>
      <c r="AI12" s="115"/>
      <c r="AJ12" s="115"/>
      <c r="AK12" s="115"/>
      <c r="AL12" s="31">
        <f t="shared" si="7"/>
        <v>0</v>
      </c>
      <c r="AM12" s="32">
        <f>AL12-AF12</f>
        <v>0</v>
      </c>
      <c r="AN12" s="31"/>
      <c r="AO12" s="115"/>
      <c r="AP12" s="115"/>
      <c r="AQ12" s="115"/>
      <c r="AR12" s="115"/>
      <c r="AS12" s="115"/>
      <c r="AT12" s="31">
        <f t="shared" si="9"/>
        <v>0</v>
      </c>
      <c r="AU12" s="181">
        <f>AT12-AN12</f>
        <v>0</v>
      </c>
      <c r="AV12" s="201">
        <f aca="true" t="shared" si="27" ref="AV12:AV17">B12+L12+W12+AF12+AN12</f>
        <v>0</v>
      </c>
      <c r="AW12" s="92">
        <f aca="true" t="shared" si="28" ref="AW12:AW17">J12+U12+AD12+AL12+AT12</f>
        <v>0</v>
      </c>
      <c r="AX12" s="93">
        <f aca="true" t="shared" si="29" ref="AX12:AX17">AW12-AV12</f>
        <v>0</v>
      </c>
      <c r="AY12" s="192">
        <v>121533</v>
      </c>
      <c r="AZ12" s="115"/>
      <c r="BA12" s="115">
        <v>2160</v>
      </c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>
        <v>93000</v>
      </c>
      <c r="BP12" s="115">
        <v>142504</v>
      </c>
      <c r="BQ12" s="115">
        <v>59138</v>
      </c>
      <c r="BR12" s="115">
        <v>84309</v>
      </c>
      <c r="BS12" s="115">
        <v>290000</v>
      </c>
      <c r="BT12" s="115"/>
      <c r="BU12" s="115"/>
      <c r="BV12" s="115"/>
      <c r="BW12" s="115"/>
      <c r="BX12" s="94">
        <f t="shared" si="15"/>
        <v>792644</v>
      </c>
      <c r="BY12" s="32">
        <f>BX12-AY12</f>
        <v>671111</v>
      </c>
      <c r="BZ12" s="94">
        <f aca="true" t="shared" si="30" ref="BZ12:BZ17">AV12+AY12</f>
        <v>121533</v>
      </c>
      <c r="CA12" s="94">
        <f t="shared" si="17"/>
        <v>792644</v>
      </c>
      <c r="CB12" s="158">
        <f aca="true" t="shared" si="31" ref="CB12:CB17">CA12-BZ12</f>
        <v>671111</v>
      </c>
      <c r="CC12" s="169">
        <f aca="true" t="shared" si="32" ref="CC12:CD17">BZ12</f>
        <v>121533</v>
      </c>
      <c r="CD12" s="33">
        <f t="shared" si="32"/>
        <v>792644</v>
      </c>
      <c r="CE12" s="34">
        <f aca="true" t="shared" si="33" ref="CE12:CE17">CD12-CC12</f>
        <v>671111</v>
      </c>
    </row>
    <row r="13" spans="1:83" s="14" customFormat="1" ht="18" customHeight="1">
      <c r="A13" s="96" t="s">
        <v>26</v>
      </c>
      <c r="B13" s="129"/>
      <c r="C13" s="129"/>
      <c r="D13" s="129"/>
      <c r="E13" s="129"/>
      <c r="F13" s="129"/>
      <c r="G13" s="129"/>
      <c r="H13" s="129"/>
      <c r="I13" s="129"/>
      <c r="J13" s="129">
        <f t="shared" si="1"/>
        <v>0</v>
      </c>
      <c r="K13" s="130">
        <f>J13-B13</f>
        <v>0</v>
      </c>
      <c r="L13" s="144"/>
      <c r="M13" s="129"/>
      <c r="N13" s="129"/>
      <c r="O13" s="129"/>
      <c r="P13" s="129"/>
      <c r="Q13" s="129"/>
      <c r="R13" s="129"/>
      <c r="S13" s="129"/>
      <c r="T13" s="129"/>
      <c r="U13" s="129">
        <f t="shared" si="3"/>
        <v>0</v>
      </c>
      <c r="V13" s="130">
        <f>U13-L13</f>
        <v>0</v>
      </c>
      <c r="W13" s="35"/>
      <c r="X13" s="129"/>
      <c r="Y13" s="129"/>
      <c r="Z13" s="129"/>
      <c r="AA13" s="129"/>
      <c r="AB13" s="129"/>
      <c r="AC13" s="129"/>
      <c r="AD13" s="35">
        <f t="shared" si="5"/>
        <v>0</v>
      </c>
      <c r="AE13" s="36">
        <f>AD13-W13</f>
        <v>0</v>
      </c>
      <c r="AF13" s="35"/>
      <c r="AG13" s="116"/>
      <c r="AH13" s="116"/>
      <c r="AI13" s="116"/>
      <c r="AJ13" s="116"/>
      <c r="AK13" s="116"/>
      <c r="AL13" s="35">
        <f t="shared" si="7"/>
        <v>0</v>
      </c>
      <c r="AM13" s="36">
        <f>AL13-AF13</f>
        <v>0</v>
      </c>
      <c r="AN13" s="35"/>
      <c r="AO13" s="116"/>
      <c r="AP13" s="116"/>
      <c r="AQ13" s="116"/>
      <c r="AR13" s="116"/>
      <c r="AS13" s="116"/>
      <c r="AT13" s="35">
        <f t="shared" si="9"/>
        <v>0</v>
      </c>
      <c r="AU13" s="182">
        <f>AT13-AN13</f>
        <v>0</v>
      </c>
      <c r="AV13" s="201">
        <f t="shared" si="27"/>
        <v>0</v>
      </c>
      <c r="AW13" s="92">
        <f t="shared" si="28"/>
        <v>0</v>
      </c>
      <c r="AX13" s="93">
        <f t="shared" si="29"/>
        <v>0</v>
      </c>
      <c r="AY13" s="193">
        <v>100000</v>
      </c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>
        <v>93000</v>
      </c>
      <c r="BP13" s="116"/>
      <c r="BQ13" s="116"/>
      <c r="BR13" s="116"/>
      <c r="BS13" s="116"/>
      <c r="BT13" s="116"/>
      <c r="BU13" s="116"/>
      <c r="BV13" s="116"/>
      <c r="BW13" s="116"/>
      <c r="BX13" s="94">
        <f t="shared" si="15"/>
        <v>193000</v>
      </c>
      <c r="BY13" s="36">
        <f>BX13-AY13</f>
        <v>93000</v>
      </c>
      <c r="BZ13" s="94">
        <f t="shared" si="30"/>
        <v>100000</v>
      </c>
      <c r="CA13" s="92">
        <f t="shared" si="17"/>
        <v>193000</v>
      </c>
      <c r="CB13" s="159">
        <f t="shared" si="31"/>
        <v>93000</v>
      </c>
      <c r="CC13" s="170">
        <f t="shared" si="32"/>
        <v>100000</v>
      </c>
      <c r="CD13" s="35">
        <f t="shared" si="32"/>
        <v>193000</v>
      </c>
      <c r="CE13" s="36">
        <f t="shared" si="33"/>
        <v>93000</v>
      </c>
    </row>
    <row r="14" spans="1:83" s="14" customFormat="1" ht="18" customHeight="1">
      <c r="A14" s="83" t="s">
        <v>3</v>
      </c>
      <c r="B14" s="17"/>
      <c r="C14" s="125"/>
      <c r="D14" s="125"/>
      <c r="E14" s="125"/>
      <c r="F14" s="125"/>
      <c r="G14" s="125"/>
      <c r="H14" s="125"/>
      <c r="I14" s="125"/>
      <c r="J14" s="17">
        <f t="shared" si="1"/>
        <v>0</v>
      </c>
      <c r="K14" s="18">
        <f>J14-B14</f>
        <v>0</v>
      </c>
      <c r="L14" s="141"/>
      <c r="M14" s="17"/>
      <c r="N14" s="17"/>
      <c r="O14" s="17"/>
      <c r="P14" s="17"/>
      <c r="Q14" s="17"/>
      <c r="R14" s="17"/>
      <c r="S14" s="17"/>
      <c r="T14" s="17"/>
      <c r="U14" s="17">
        <f t="shared" si="3"/>
        <v>0</v>
      </c>
      <c r="V14" s="18">
        <f>U14-L14</f>
        <v>0</v>
      </c>
      <c r="W14" s="17"/>
      <c r="X14" s="17"/>
      <c r="Y14" s="17"/>
      <c r="Z14" s="17"/>
      <c r="AA14" s="17"/>
      <c r="AB14" s="17"/>
      <c r="AC14" s="17"/>
      <c r="AD14" s="17">
        <f t="shared" si="5"/>
        <v>0</v>
      </c>
      <c r="AE14" s="18">
        <f>AD14-W14</f>
        <v>0</v>
      </c>
      <c r="AF14" s="17"/>
      <c r="AG14" s="112"/>
      <c r="AH14" s="112"/>
      <c r="AI14" s="112"/>
      <c r="AJ14" s="112"/>
      <c r="AK14" s="112"/>
      <c r="AL14" s="17">
        <f t="shared" si="7"/>
        <v>0</v>
      </c>
      <c r="AM14" s="18">
        <f>AL14-AF14</f>
        <v>0</v>
      </c>
      <c r="AN14" s="17"/>
      <c r="AO14" s="112"/>
      <c r="AP14" s="112"/>
      <c r="AQ14" s="112"/>
      <c r="AR14" s="112"/>
      <c r="AS14" s="112"/>
      <c r="AT14" s="17">
        <f t="shared" si="9"/>
        <v>0</v>
      </c>
      <c r="AU14" s="178">
        <f>AT14-AN14</f>
        <v>0</v>
      </c>
      <c r="AV14" s="201">
        <f t="shared" si="27"/>
        <v>0</v>
      </c>
      <c r="AW14" s="80">
        <f t="shared" si="28"/>
        <v>0</v>
      </c>
      <c r="AX14" s="81">
        <f t="shared" si="29"/>
        <v>0</v>
      </c>
      <c r="AY14" s="189">
        <v>87248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82">
        <f t="shared" si="15"/>
        <v>87248</v>
      </c>
      <c r="BY14" s="18">
        <f>BX14-AY14</f>
        <v>0</v>
      </c>
      <c r="BZ14" s="82">
        <f t="shared" si="30"/>
        <v>87248</v>
      </c>
      <c r="CA14" s="82">
        <f t="shared" si="17"/>
        <v>87248</v>
      </c>
      <c r="CB14" s="155">
        <f t="shared" si="31"/>
        <v>0</v>
      </c>
      <c r="CC14" s="167">
        <f t="shared" si="32"/>
        <v>87248</v>
      </c>
      <c r="CD14" s="19">
        <f t="shared" si="32"/>
        <v>87248</v>
      </c>
      <c r="CE14" s="20">
        <f t="shared" si="33"/>
        <v>0</v>
      </c>
    </row>
    <row r="15" spans="1:83" s="14" customFormat="1" ht="18" customHeight="1">
      <c r="A15" s="83" t="s">
        <v>27</v>
      </c>
      <c r="B15" s="17">
        <f aca="true" t="shared" si="34" ref="B15:I15">SUM(B16:B17)</f>
        <v>0</v>
      </c>
      <c r="C15" s="125">
        <f t="shared" si="34"/>
        <v>0</v>
      </c>
      <c r="D15" s="125">
        <f t="shared" si="34"/>
        <v>0</v>
      </c>
      <c r="E15" s="125">
        <f t="shared" si="34"/>
        <v>0</v>
      </c>
      <c r="F15" s="125">
        <f t="shared" si="34"/>
        <v>0</v>
      </c>
      <c r="G15" s="125">
        <f t="shared" si="34"/>
        <v>0</v>
      </c>
      <c r="H15" s="125">
        <f t="shared" si="34"/>
        <v>0</v>
      </c>
      <c r="I15" s="125">
        <f t="shared" si="34"/>
        <v>0</v>
      </c>
      <c r="J15" s="17">
        <f t="shared" si="1"/>
        <v>0</v>
      </c>
      <c r="K15" s="18">
        <f aca="true" t="shared" si="35" ref="K15:T15">SUM(K16:K17)</f>
        <v>0</v>
      </c>
      <c r="L15" s="141">
        <f t="shared" si="35"/>
        <v>0</v>
      </c>
      <c r="M15" s="17">
        <f t="shared" si="35"/>
        <v>0</v>
      </c>
      <c r="N15" s="17">
        <f t="shared" si="35"/>
        <v>0</v>
      </c>
      <c r="O15" s="17">
        <f t="shared" si="35"/>
        <v>0</v>
      </c>
      <c r="P15" s="17">
        <f t="shared" si="35"/>
        <v>0</v>
      </c>
      <c r="Q15" s="17">
        <f t="shared" si="35"/>
        <v>0</v>
      </c>
      <c r="R15" s="17">
        <f t="shared" si="35"/>
        <v>0</v>
      </c>
      <c r="S15" s="17">
        <f t="shared" si="35"/>
        <v>0</v>
      </c>
      <c r="T15" s="17">
        <f t="shared" si="35"/>
        <v>0</v>
      </c>
      <c r="U15" s="17">
        <f t="shared" si="3"/>
        <v>0</v>
      </c>
      <c r="V15" s="18">
        <f aca="true" t="shared" si="36" ref="V15:AC15">SUM(V16:V17)</f>
        <v>0</v>
      </c>
      <c r="W15" s="17">
        <f t="shared" si="36"/>
        <v>0</v>
      </c>
      <c r="X15" s="17">
        <f t="shared" si="36"/>
        <v>0</v>
      </c>
      <c r="Y15" s="17">
        <f t="shared" si="36"/>
        <v>0</v>
      </c>
      <c r="Z15" s="17">
        <f t="shared" si="36"/>
        <v>0</v>
      </c>
      <c r="AA15" s="17">
        <f t="shared" si="36"/>
        <v>0</v>
      </c>
      <c r="AB15" s="17">
        <f t="shared" si="36"/>
        <v>0</v>
      </c>
      <c r="AC15" s="17">
        <f t="shared" si="36"/>
        <v>0</v>
      </c>
      <c r="AD15" s="17">
        <f t="shared" si="5"/>
        <v>0</v>
      </c>
      <c r="AE15" s="18">
        <f aca="true" t="shared" si="37" ref="AE15:AK15">SUM(AE16:AE17)</f>
        <v>0</v>
      </c>
      <c r="AF15" s="17">
        <f t="shared" si="37"/>
        <v>0</v>
      </c>
      <c r="AG15" s="112">
        <f t="shared" si="37"/>
        <v>0</v>
      </c>
      <c r="AH15" s="112">
        <f t="shared" si="37"/>
        <v>0</v>
      </c>
      <c r="AI15" s="112">
        <f t="shared" si="37"/>
        <v>0</v>
      </c>
      <c r="AJ15" s="112">
        <f t="shared" si="37"/>
        <v>0</v>
      </c>
      <c r="AK15" s="112">
        <f t="shared" si="37"/>
        <v>0</v>
      </c>
      <c r="AL15" s="17">
        <f t="shared" si="7"/>
        <v>0</v>
      </c>
      <c r="AM15" s="18">
        <f aca="true" t="shared" si="38" ref="AM15:AS15">SUM(AM16:AM17)</f>
        <v>0</v>
      </c>
      <c r="AN15" s="17">
        <f t="shared" si="38"/>
        <v>0</v>
      </c>
      <c r="AO15" s="112">
        <f t="shared" si="38"/>
        <v>0</v>
      </c>
      <c r="AP15" s="112">
        <f t="shared" si="38"/>
        <v>0</v>
      </c>
      <c r="AQ15" s="112">
        <f t="shared" si="38"/>
        <v>0</v>
      </c>
      <c r="AR15" s="112">
        <f t="shared" si="38"/>
        <v>0</v>
      </c>
      <c r="AS15" s="112">
        <f t="shared" si="38"/>
        <v>0</v>
      </c>
      <c r="AT15" s="17">
        <f t="shared" si="9"/>
        <v>0</v>
      </c>
      <c r="AU15" s="178">
        <f>SUM(AU16:AU17)</f>
        <v>0</v>
      </c>
      <c r="AV15" s="199">
        <f t="shared" si="27"/>
        <v>0</v>
      </c>
      <c r="AW15" s="80">
        <f t="shared" si="28"/>
        <v>0</v>
      </c>
      <c r="AX15" s="81">
        <f t="shared" si="29"/>
        <v>0</v>
      </c>
      <c r="AY15" s="189">
        <f aca="true" t="shared" si="39" ref="AY15:BW15">SUM(AY16:AY17)</f>
        <v>13357</v>
      </c>
      <c r="AZ15" s="112">
        <f t="shared" si="39"/>
        <v>0</v>
      </c>
      <c r="BA15" s="112">
        <f t="shared" si="39"/>
        <v>0</v>
      </c>
      <c r="BB15" s="112">
        <f t="shared" si="39"/>
        <v>0</v>
      </c>
      <c r="BC15" s="112">
        <f t="shared" si="39"/>
        <v>0</v>
      </c>
      <c r="BD15" s="112">
        <f t="shared" si="39"/>
        <v>0</v>
      </c>
      <c r="BE15" s="112">
        <f t="shared" si="39"/>
        <v>0</v>
      </c>
      <c r="BF15" s="112">
        <f t="shared" si="39"/>
        <v>0</v>
      </c>
      <c r="BG15" s="112">
        <f t="shared" si="39"/>
        <v>0</v>
      </c>
      <c r="BH15" s="112">
        <f t="shared" si="39"/>
        <v>0</v>
      </c>
      <c r="BI15" s="112">
        <f t="shared" si="39"/>
        <v>0</v>
      </c>
      <c r="BJ15" s="112">
        <f t="shared" si="39"/>
        <v>0</v>
      </c>
      <c r="BK15" s="112">
        <f t="shared" si="39"/>
        <v>0</v>
      </c>
      <c r="BL15" s="112">
        <f t="shared" si="39"/>
        <v>0</v>
      </c>
      <c r="BM15" s="112">
        <f t="shared" si="39"/>
        <v>0</v>
      </c>
      <c r="BN15" s="112">
        <f t="shared" si="39"/>
        <v>0</v>
      </c>
      <c r="BO15" s="112">
        <f t="shared" si="39"/>
        <v>0</v>
      </c>
      <c r="BP15" s="112">
        <f t="shared" si="39"/>
        <v>0</v>
      </c>
      <c r="BQ15" s="112">
        <f t="shared" si="39"/>
        <v>0</v>
      </c>
      <c r="BR15" s="112">
        <f t="shared" si="39"/>
        <v>0</v>
      </c>
      <c r="BS15" s="112">
        <f t="shared" si="39"/>
        <v>0</v>
      </c>
      <c r="BT15" s="112">
        <f t="shared" si="39"/>
        <v>0</v>
      </c>
      <c r="BU15" s="112">
        <f t="shared" si="39"/>
        <v>0</v>
      </c>
      <c r="BV15" s="112">
        <f t="shared" si="39"/>
        <v>0</v>
      </c>
      <c r="BW15" s="112">
        <f t="shared" si="39"/>
        <v>0</v>
      </c>
      <c r="BX15" s="82">
        <f t="shared" si="15"/>
        <v>13357</v>
      </c>
      <c r="BY15" s="18">
        <f>SUM(BY16:BY17)</f>
        <v>0</v>
      </c>
      <c r="BZ15" s="82">
        <f t="shared" si="30"/>
        <v>13357</v>
      </c>
      <c r="CA15" s="82">
        <f t="shared" si="17"/>
        <v>13357</v>
      </c>
      <c r="CB15" s="155">
        <f t="shared" si="31"/>
        <v>0</v>
      </c>
      <c r="CC15" s="167">
        <f t="shared" si="32"/>
        <v>13357</v>
      </c>
      <c r="CD15" s="19">
        <f t="shared" si="32"/>
        <v>13357</v>
      </c>
      <c r="CE15" s="20">
        <f t="shared" si="33"/>
        <v>0</v>
      </c>
    </row>
    <row r="16" spans="1:83" s="14" customFormat="1" ht="18" customHeight="1">
      <c r="A16" s="97" t="s">
        <v>28</v>
      </c>
      <c r="B16" s="125"/>
      <c r="C16" s="125"/>
      <c r="D16" s="125"/>
      <c r="E16" s="125"/>
      <c r="F16" s="125"/>
      <c r="G16" s="125"/>
      <c r="H16" s="125"/>
      <c r="I16" s="125"/>
      <c r="J16" s="125">
        <f t="shared" si="1"/>
        <v>0</v>
      </c>
      <c r="K16" s="126">
        <f>J16-B16</f>
        <v>0</v>
      </c>
      <c r="L16" s="140"/>
      <c r="M16" s="125"/>
      <c r="N16" s="125"/>
      <c r="O16" s="125"/>
      <c r="P16" s="125"/>
      <c r="Q16" s="125"/>
      <c r="R16" s="125"/>
      <c r="S16" s="125"/>
      <c r="T16" s="125"/>
      <c r="U16" s="125">
        <f t="shared" si="3"/>
        <v>0</v>
      </c>
      <c r="V16" s="126">
        <f>U16-L16</f>
        <v>0</v>
      </c>
      <c r="W16" s="15"/>
      <c r="X16" s="125"/>
      <c r="Y16" s="125"/>
      <c r="Z16" s="125"/>
      <c r="AA16" s="125"/>
      <c r="AB16" s="125"/>
      <c r="AC16" s="125"/>
      <c r="AD16" s="15">
        <f t="shared" si="5"/>
        <v>0</v>
      </c>
      <c r="AE16" s="16">
        <f>AD16-W16</f>
        <v>0</v>
      </c>
      <c r="AF16" s="15"/>
      <c r="AG16" s="111"/>
      <c r="AH16" s="111"/>
      <c r="AI16" s="111"/>
      <c r="AJ16" s="111"/>
      <c r="AK16" s="111"/>
      <c r="AL16" s="15">
        <f t="shared" si="7"/>
        <v>0</v>
      </c>
      <c r="AM16" s="16">
        <f>AL16-AF16</f>
        <v>0</v>
      </c>
      <c r="AN16" s="15"/>
      <c r="AO16" s="111"/>
      <c r="AP16" s="111"/>
      <c r="AQ16" s="111"/>
      <c r="AR16" s="111"/>
      <c r="AS16" s="111"/>
      <c r="AT16" s="15">
        <f t="shared" si="9"/>
        <v>0</v>
      </c>
      <c r="AU16" s="177">
        <f>AT16-AN16</f>
        <v>0</v>
      </c>
      <c r="AV16" s="199">
        <f t="shared" si="27"/>
        <v>0</v>
      </c>
      <c r="AW16" s="80">
        <f t="shared" si="28"/>
        <v>0</v>
      </c>
      <c r="AX16" s="81">
        <f t="shared" si="29"/>
        <v>0</v>
      </c>
      <c r="AY16" s="188">
        <v>13357</v>
      </c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82">
        <f t="shared" si="15"/>
        <v>13357</v>
      </c>
      <c r="BY16" s="16">
        <f>BX16-AY16</f>
        <v>0</v>
      </c>
      <c r="BZ16" s="82">
        <f t="shared" si="30"/>
        <v>13357</v>
      </c>
      <c r="CA16" s="80">
        <f t="shared" si="17"/>
        <v>13357</v>
      </c>
      <c r="CB16" s="154">
        <f t="shared" si="31"/>
        <v>0</v>
      </c>
      <c r="CC16" s="166">
        <f t="shared" si="32"/>
        <v>13357</v>
      </c>
      <c r="CD16" s="15">
        <f t="shared" si="32"/>
        <v>13357</v>
      </c>
      <c r="CE16" s="16">
        <f t="shared" si="33"/>
        <v>0</v>
      </c>
    </row>
    <row r="17" spans="1:83" s="14" customFormat="1" ht="18" customHeight="1" thickBot="1">
      <c r="A17" s="97" t="s">
        <v>29</v>
      </c>
      <c r="B17" s="127"/>
      <c r="C17" s="127"/>
      <c r="D17" s="127"/>
      <c r="E17" s="127"/>
      <c r="F17" s="127"/>
      <c r="G17" s="127"/>
      <c r="H17" s="127"/>
      <c r="I17" s="127"/>
      <c r="J17" s="127">
        <f t="shared" si="1"/>
        <v>0</v>
      </c>
      <c r="K17" s="131">
        <f>J17-B17</f>
        <v>0</v>
      </c>
      <c r="L17" s="145"/>
      <c r="M17" s="127"/>
      <c r="N17" s="127"/>
      <c r="O17" s="127"/>
      <c r="P17" s="127"/>
      <c r="Q17" s="127"/>
      <c r="R17" s="127"/>
      <c r="S17" s="127"/>
      <c r="T17" s="127"/>
      <c r="U17" s="127">
        <f t="shared" si="3"/>
        <v>0</v>
      </c>
      <c r="V17" s="131">
        <f>U17-L17</f>
        <v>0</v>
      </c>
      <c r="W17" s="37"/>
      <c r="X17" s="127"/>
      <c r="Y17" s="127"/>
      <c r="Z17" s="127"/>
      <c r="AA17" s="127"/>
      <c r="AB17" s="127"/>
      <c r="AC17" s="127"/>
      <c r="AD17" s="37">
        <f t="shared" si="5"/>
        <v>0</v>
      </c>
      <c r="AE17" s="38">
        <f>AD17-W17</f>
        <v>0</v>
      </c>
      <c r="AF17" s="37"/>
      <c r="AG17" s="117"/>
      <c r="AH17" s="117"/>
      <c r="AI17" s="117"/>
      <c r="AJ17" s="117"/>
      <c r="AK17" s="117"/>
      <c r="AL17" s="37">
        <f t="shared" si="7"/>
        <v>0</v>
      </c>
      <c r="AM17" s="38">
        <f>AL17-AF17</f>
        <v>0</v>
      </c>
      <c r="AN17" s="37"/>
      <c r="AO17" s="117"/>
      <c r="AP17" s="117"/>
      <c r="AQ17" s="117"/>
      <c r="AR17" s="117"/>
      <c r="AS17" s="117"/>
      <c r="AT17" s="37">
        <f t="shared" si="9"/>
        <v>0</v>
      </c>
      <c r="AU17" s="183">
        <f>AT17-AN17</f>
        <v>0</v>
      </c>
      <c r="AV17" s="199">
        <f t="shared" si="27"/>
        <v>0</v>
      </c>
      <c r="AW17" s="86">
        <f t="shared" si="28"/>
        <v>0</v>
      </c>
      <c r="AX17" s="87">
        <f t="shared" si="29"/>
        <v>0</v>
      </c>
      <c r="AY17" s="194">
        <v>0</v>
      </c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88">
        <f t="shared" si="15"/>
        <v>0</v>
      </c>
      <c r="BY17" s="38">
        <f>BX17-AY17</f>
        <v>0</v>
      </c>
      <c r="BZ17" s="88">
        <f t="shared" si="30"/>
        <v>0</v>
      </c>
      <c r="CA17" s="86">
        <f t="shared" si="17"/>
        <v>0</v>
      </c>
      <c r="CB17" s="160">
        <f t="shared" si="31"/>
        <v>0</v>
      </c>
      <c r="CC17" s="171">
        <f t="shared" si="32"/>
        <v>0</v>
      </c>
      <c r="CD17" s="37">
        <f t="shared" si="32"/>
        <v>0</v>
      </c>
      <c r="CE17" s="38">
        <f t="shared" si="33"/>
        <v>0</v>
      </c>
    </row>
    <row r="18" spans="1:83" s="30" customFormat="1" ht="18" customHeight="1" thickBot="1">
      <c r="A18" s="89" t="s">
        <v>30</v>
      </c>
      <c r="B18" s="25">
        <f aca="true" t="shared" si="40" ref="B18:I18">B15+B14+B12</f>
        <v>0</v>
      </c>
      <c r="C18" s="128">
        <f t="shared" si="40"/>
        <v>0</v>
      </c>
      <c r="D18" s="128">
        <f t="shared" si="40"/>
        <v>0</v>
      </c>
      <c r="E18" s="128">
        <f t="shared" si="40"/>
        <v>0</v>
      </c>
      <c r="F18" s="128">
        <f t="shared" si="40"/>
        <v>0</v>
      </c>
      <c r="G18" s="128">
        <f t="shared" si="40"/>
        <v>0</v>
      </c>
      <c r="H18" s="128">
        <f t="shared" si="40"/>
        <v>0</v>
      </c>
      <c r="I18" s="128">
        <f t="shared" si="40"/>
        <v>0</v>
      </c>
      <c r="J18" s="25">
        <f t="shared" si="1"/>
        <v>0</v>
      </c>
      <c r="K18" s="26">
        <f aca="true" t="shared" si="41" ref="K18:T18">K15+K14+K12</f>
        <v>0</v>
      </c>
      <c r="L18" s="29">
        <f t="shared" si="41"/>
        <v>0</v>
      </c>
      <c r="M18" s="25">
        <f t="shared" si="41"/>
        <v>0</v>
      </c>
      <c r="N18" s="25">
        <f t="shared" si="41"/>
        <v>0</v>
      </c>
      <c r="O18" s="25">
        <f t="shared" si="41"/>
        <v>0</v>
      </c>
      <c r="P18" s="25">
        <f t="shared" si="41"/>
        <v>0</v>
      </c>
      <c r="Q18" s="25">
        <f t="shared" si="41"/>
        <v>0</v>
      </c>
      <c r="R18" s="25">
        <f t="shared" si="41"/>
        <v>0</v>
      </c>
      <c r="S18" s="25">
        <f t="shared" si="41"/>
        <v>0</v>
      </c>
      <c r="T18" s="25">
        <f t="shared" si="41"/>
        <v>0</v>
      </c>
      <c r="U18" s="25">
        <f t="shared" si="3"/>
        <v>0</v>
      </c>
      <c r="V18" s="26">
        <f aca="true" t="shared" si="42" ref="V18:AC18">V15+V14+V12</f>
        <v>0</v>
      </c>
      <c r="W18" s="25">
        <f t="shared" si="42"/>
        <v>0</v>
      </c>
      <c r="X18" s="25">
        <f t="shared" si="42"/>
        <v>0</v>
      </c>
      <c r="Y18" s="25">
        <f t="shared" si="42"/>
        <v>0</v>
      </c>
      <c r="Z18" s="25">
        <f t="shared" si="42"/>
        <v>0</v>
      </c>
      <c r="AA18" s="25">
        <f t="shared" si="42"/>
        <v>0</v>
      </c>
      <c r="AB18" s="25">
        <f t="shared" si="42"/>
        <v>0</v>
      </c>
      <c r="AC18" s="25">
        <f t="shared" si="42"/>
        <v>0</v>
      </c>
      <c r="AD18" s="25">
        <f t="shared" si="5"/>
        <v>0</v>
      </c>
      <c r="AE18" s="26">
        <f aca="true" t="shared" si="43" ref="AE18:AK18">AE15+AE14+AE12</f>
        <v>0</v>
      </c>
      <c r="AF18" s="25">
        <f t="shared" si="43"/>
        <v>0</v>
      </c>
      <c r="AG18" s="114">
        <f t="shared" si="43"/>
        <v>0</v>
      </c>
      <c r="AH18" s="114">
        <f t="shared" si="43"/>
        <v>0</v>
      </c>
      <c r="AI18" s="114">
        <f t="shared" si="43"/>
        <v>0</v>
      </c>
      <c r="AJ18" s="114">
        <f t="shared" si="43"/>
        <v>0</v>
      </c>
      <c r="AK18" s="114">
        <f t="shared" si="43"/>
        <v>0</v>
      </c>
      <c r="AL18" s="25">
        <f t="shared" si="7"/>
        <v>0</v>
      </c>
      <c r="AM18" s="26">
        <f aca="true" t="shared" si="44" ref="AM18:AS18">AM15+AM14+AM12</f>
        <v>0</v>
      </c>
      <c r="AN18" s="25">
        <f t="shared" si="44"/>
        <v>0</v>
      </c>
      <c r="AO18" s="114">
        <f t="shared" si="44"/>
        <v>0</v>
      </c>
      <c r="AP18" s="114">
        <f t="shared" si="44"/>
        <v>0</v>
      </c>
      <c r="AQ18" s="114">
        <f t="shared" si="44"/>
        <v>0</v>
      </c>
      <c r="AR18" s="114">
        <f t="shared" si="44"/>
        <v>0</v>
      </c>
      <c r="AS18" s="114">
        <f t="shared" si="44"/>
        <v>0</v>
      </c>
      <c r="AT18" s="25">
        <f t="shared" si="9"/>
        <v>0</v>
      </c>
      <c r="AU18" s="180">
        <f aca="true" t="shared" si="45" ref="AU18:BW18">AU15+AU14+AU12</f>
        <v>0</v>
      </c>
      <c r="AV18" s="200">
        <f t="shared" si="45"/>
        <v>0</v>
      </c>
      <c r="AW18" s="90">
        <f t="shared" si="45"/>
        <v>0</v>
      </c>
      <c r="AX18" s="91">
        <f t="shared" si="45"/>
        <v>0</v>
      </c>
      <c r="AY18" s="191">
        <f t="shared" si="45"/>
        <v>222138</v>
      </c>
      <c r="AZ18" s="114">
        <f t="shared" si="45"/>
        <v>0</v>
      </c>
      <c r="BA18" s="114">
        <f t="shared" si="45"/>
        <v>2160</v>
      </c>
      <c r="BB18" s="114">
        <f t="shared" si="45"/>
        <v>0</v>
      </c>
      <c r="BC18" s="114">
        <f t="shared" si="45"/>
        <v>0</v>
      </c>
      <c r="BD18" s="114">
        <f t="shared" si="45"/>
        <v>0</v>
      </c>
      <c r="BE18" s="114">
        <f t="shared" si="45"/>
        <v>0</v>
      </c>
      <c r="BF18" s="114">
        <f t="shared" si="45"/>
        <v>0</v>
      </c>
      <c r="BG18" s="114">
        <f t="shared" si="45"/>
        <v>0</v>
      </c>
      <c r="BH18" s="114">
        <f t="shared" si="45"/>
        <v>0</v>
      </c>
      <c r="BI18" s="114">
        <f t="shared" si="45"/>
        <v>0</v>
      </c>
      <c r="BJ18" s="114">
        <f t="shared" si="45"/>
        <v>0</v>
      </c>
      <c r="BK18" s="114">
        <f t="shared" si="45"/>
        <v>0</v>
      </c>
      <c r="BL18" s="114">
        <f t="shared" si="45"/>
        <v>0</v>
      </c>
      <c r="BM18" s="114">
        <f t="shared" si="45"/>
        <v>0</v>
      </c>
      <c r="BN18" s="114">
        <f t="shared" si="45"/>
        <v>0</v>
      </c>
      <c r="BO18" s="114">
        <f t="shared" si="45"/>
        <v>93000</v>
      </c>
      <c r="BP18" s="114">
        <f t="shared" si="45"/>
        <v>142504</v>
      </c>
      <c r="BQ18" s="114">
        <f t="shared" si="45"/>
        <v>59138</v>
      </c>
      <c r="BR18" s="114">
        <f t="shared" si="45"/>
        <v>84309</v>
      </c>
      <c r="BS18" s="114">
        <f t="shared" si="45"/>
        <v>290000</v>
      </c>
      <c r="BT18" s="114">
        <f t="shared" si="45"/>
        <v>0</v>
      </c>
      <c r="BU18" s="114">
        <f t="shared" si="45"/>
        <v>0</v>
      </c>
      <c r="BV18" s="114">
        <f t="shared" si="45"/>
        <v>0</v>
      </c>
      <c r="BW18" s="114">
        <f t="shared" si="45"/>
        <v>0</v>
      </c>
      <c r="BX18" s="27">
        <f t="shared" si="15"/>
        <v>893249</v>
      </c>
      <c r="BY18" s="26">
        <f>BY15+BY14+BY12</f>
        <v>671111</v>
      </c>
      <c r="BZ18" s="27">
        <f>BZ15+BZ14+BZ12</f>
        <v>222138</v>
      </c>
      <c r="CA18" s="27">
        <f t="shared" si="17"/>
        <v>893249</v>
      </c>
      <c r="CB18" s="157">
        <f>CB15+CB14+CB12</f>
        <v>671111</v>
      </c>
      <c r="CC18" s="29">
        <f>CC15+CC14+CC12</f>
        <v>222138</v>
      </c>
      <c r="CD18" s="27">
        <f>CD15+CD14+CD12</f>
        <v>893249</v>
      </c>
      <c r="CE18" s="28">
        <f>CE15+CE14+CE12</f>
        <v>671111</v>
      </c>
    </row>
    <row r="19" spans="1:83" s="30" customFormat="1" ht="18" customHeight="1" thickBot="1">
      <c r="A19" s="98" t="s">
        <v>31</v>
      </c>
      <c r="B19" s="39">
        <f aca="true" t="shared" si="46" ref="B19:I19">B18+B11</f>
        <v>2080</v>
      </c>
      <c r="C19" s="132">
        <f t="shared" si="46"/>
        <v>0</v>
      </c>
      <c r="D19" s="132">
        <f t="shared" si="46"/>
        <v>0</v>
      </c>
      <c r="E19" s="132">
        <f t="shared" si="46"/>
        <v>860</v>
      </c>
      <c r="F19" s="132">
        <f t="shared" si="46"/>
        <v>0</v>
      </c>
      <c r="G19" s="132">
        <f t="shared" si="46"/>
        <v>0</v>
      </c>
      <c r="H19" s="132">
        <f t="shared" si="46"/>
        <v>0</v>
      </c>
      <c r="I19" s="132">
        <f t="shared" si="46"/>
        <v>0</v>
      </c>
      <c r="J19" s="39">
        <f t="shared" si="1"/>
        <v>2940</v>
      </c>
      <c r="K19" s="40">
        <f aca="true" t="shared" si="47" ref="K19:T19">K18+K11</f>
        <v>860</v>
      </c>
      <c r="L19" s="146">
        <f t="shared" si="47"/>
        <v>73500</v>
      </c>
      <c r="M19" s="39">
        <f t="shared" si="47"/>
        <v>0</v>
      </c>
      <c r="N19" s="39">
        <f t="shared" si="47"/>
        <v>0</v>
      </c>
      <c r="O19" s="39">
        <f t="shared" si="47"/>
        <v>300</v>
      </c>
      <c r="P19" s="39">
        <f t="shared" si="47"/>
        <v>800</v>
      </c>
      <c r="Q19" s="39">
        <f t="shared" si="47"/>
        <v>559</v>
      </c>
      <c r="R19" s="39">
        <f t="shared" si="47"/>
        <v>1252</v>
      </c>
      <c r="S19" s="39">
        <f t="shared" si="47"/>
        <v>0</v>
      </c>
      <c r="T19" s="39">
        <f t="shared" si="47"/>
        <v>0</v>
      </c>
      <c r="U19" s="39">
        <f t="shared" si="3"/>
        <v>76411</v>
      </c>
      <c r="V19" s="40">
        <f aca="true" t="shared" si="48" ref="V19:AC19">V18+V11</f>
        <v>2911</v>
      </c>
      <c r="W19" s="39">
        <f t="shared" si="48"/>
        <v>4000</v>
      </c>
      <c r="X19" s="39">
        <f t="shared" si="48"/>
        <v>0</v>
      </c>
      <c r="Y19" s="39">
        <f t="shared" si="48"/>
        <v>0</v>
      </c>
      <c r="Z19" s="39">
        <f t="shared" si="48"/>
        <v>352</v>
      </c>
      <c r="AA19" s="39">
        <f t="shared" si="48"/>
        <v>600</v>
      </c>
      <c r="AB19" s="39">
        <f t="shared" si="48"/>
        <v>0</v>
      </c>
      <c r="AC19" s="39">
        <f t="shared" si="48"/>
        <v>0</v>
      </c>
      <c r="AD19" s="39">
        <f t="shared" si="5"/>
        <v>4952</v>
      </c>
      <c r="AE19" s="40">
        <f aca="true" t="shared" si="49" ref="AE19:AK19">AE18+AE11</f>
        <v>952</v>
      </c>
      <c r="AF19" s="39">
        <f t="shared" si="49"/>
        <v>2160</v>
      </c>
      <c r="AG19" s="118">
        <f t="shared" si="49"/>
        <v>0</v>
      </c>
      <c r="AH19" s="118">
        <f t="shared" si="49"/>
        <v>0</v>
      </c>
      <c r="AI19" s="118">
        <f t="shared" si="49"/>
        <v>491</v>
      </c>
      <c r="AJ19" s="118">
        <f t="shared" si="49"/>
        <v>0</v>
      </c>
      <c r="AK19" s="118">
        <f t="shared" si="49"/>
        <v>0</v>
      </c>
      <c r="AL19" s="39">
        <f t="shared" si="7"/>
        <v>2651</v>
      </c>
      <c r="AM19" s="40">
        <f aca="true" t="shared" si="50" ref="AM19:AS19">AM18+AM11</f>
        <v>491</v>
      </c>
      <c r="AN19" s="39">
        <f t="shared" si="50"/>
        <v>102215</v>
      </c>
      <c r="AO19" s="118">
        <f t="shared" si="50"/>
        <v>0</v>
      </c>
      <c r="AP19" s="118">
        <f t="shared" si="50"/>
        <v>155</v>
      </c>
      <c r="AQ19" s="118">
        <f t="shared" si="50"/>
        <v>0</v>
      </c>
      <c r="AR19" s="118">
        <f t="shared" si="50"/>
        <v>0</v>
      </c>
      <c r="AS19" s="118">
        <f t="shared" si="50"/>
        <v>0</v>
      </c>
      <c r="AT19" s="39">
        <f t="shared" si="9"/>
        <v>102370</v>
      </c>
      <c r="AU19" s="184">
        <f aca="true" t="shared" si="51" ref="AU19:BW19">AU18+AU11</f>
        <v>155</v>
      </c>
      <c r="AV19" s="202">
        <f t="shared" si="51"/>
        <v>183955</v>
      </c>
      <c r="AW19" s="99">
        <f t="shared" si="51"/>
        <v>189324</v>
      </c>
      <c r="AX19" s="203">
        <f t="shared" si="51"/>
        <v>5369</v>
      </c>
      <c r="AY19" s="195">
        <f t="shared" si="51"/>
        <v>1687669</v>
      </c>
      <c r="AZ19" s="118">
        <f t="shared" si="51"/>
        <v>33214</v>
      </c>
      <c r="BA19" s="118">
        <f t="shared" si="51"/>
        <v>9000</v>
      </c>
      <c r="BB19" s="118">
        <f t="shared" si="51"/>
        <v>0</v>
      </c>
      <c r="BC19" s="118">
        <f t="shared" si="51"/>
        <v>0</v>
      </c>
      <c r="BD19" s="118">
        <f t="shared" si="51"/>
        <v>332</v>
      </c>
      <c r="BE19" s="118">
        <f t="shared" si="51"/>
        <v>0</v>
      </c>
      <c r="BF19" s="118">
        <f t="shared" si="51"/>
        <v>0</v>
      </c>
      <c r="BG19" s="118">
        <f t="shared" si="51"/>
        <v>222</v>
      </c>
      <c r="BH19" s="118">
        <f t="shared" si="51"/>
        <v>9000</v>
      </c>
      <c r="BI19" s="118">
        <f t="shared" si="51"/>
        <v>0</v>
      </c>
      <c r="BJ19" s="118">
        <f t="shared" si="51"/>
        <v>0</v>
      </c>
      <c r="BK19" s="118">
        <f t="shared" si="51"/>
        <v>0</v>
      </c>
      <c r="BL19" s="118">
        <f t="shared" si="51"/>
        <v>300</v>
      </c>
      <c r="BM19" s="118">
        <f t="shared" si="51"/>
        <v>6688</v>
      </c>
      <c r="BN19" s="118">
        <f t="shared" si="51"/>
        <v>0</v>
      </c>
      <c r="BO19" s="118">
        <f t="shared" si="51"/>
        <v>93000</v>
      </c>
      <c r="BP19" s="118">
        <f t="shared" si="51"/>
        <v>142504</v>
      </c>
      <c r="BQ19" s="118">
        <f t="shared" si="51"/>
        <v>59138</v>
      </c>
      <c r="BR19" s="118">
        <f t="shared" si="51"/>
        <v>84309</v>
      </c>
      <c r="BS19" s="118">
        <f t="shared" si="51"/>
        <v>290000</v>
      </c>
      <c r="BT19" s="118">
        <f t="shared" si="51"/>
        <v>0</v>
      </c>
      <c r="BU19" s="118">
        <f t="shared" si="51"/>
        <v>0</v>
      </c>
      <c r="BV19" s="118">
        <f t="shared" si="51"/>
        <v>0</v>
      </c>
      <c r="BW19" s="118">
        <f t="shared" si="51"/>
        <v>0</v>
      </c>
      <c r="BX19" s="41">
        <f t="shared" si="15"/>
        <v>2415376</v>
      </c>
      <c r="BY19" s="40">
        <f>BY18+BY11</f>
        <v>727707</v>
      </c>
      <c r="BZ19" s="41">
        <f>BZ18+BZ11</f>
        <v>1871624</v>
      </c>
      <c r="CA19" s="41">
        <f t="shared" si="17"/>
        <v>2604700</v>
      </c>
      <c r="CB19" s="161">
        <f>CB18+CB11</f>
        <v>733076</v>
      </c>
      <c r="CC19" s="146">
        <f>CC18+CC11</f>
        <v>1871624</v>
      </c>
      <c r="CD19" s="41">
        <f>CD18+CD11</f>
        <v>2604700</v>
      </c>
      <c r="CE19" s="42">
        <f>CE18+CE11</f>
        <v>733076</v>
      </c>
    </row>
    <row r="20" spans="1:83" s="14" customFormat="1" ht="18" customHeight="1">
      <c r="A20" s="100" t="s">
        <v>4</v>
      </c>
      <c r="B20" s="10">
        <f aca="true" t="shared" si="52" ref="B20:I20">SUM(B21:B22)</f>
        <v>0</v>
      </c>
      <c r="C20" s="124">
        <f t="shared" si="52"/>
        <v>0</v>
      </c>
      <c r="D20" s="124">
        <f t="shared" si="52"/>
        <v>1463</v>
      </c>
      <c r="E20" s="124">
        <f t="shared" si="52"/>
        <v>0</v>
      </c>
      <c r="F20" s="124">
        <f t="shared" si="52"/>
        <v>0</v>
      </c>
      <c r="G20" s="124">
        <f t="shared" si="52"/>
        <v>0</v>
      </c>
      <c r="H20" s="124">
        <f t="shared" si="52"/>
        <v>0</v>
      </c>
      <c r="I20" s="124">
        <f t="shared" si="52"/>
        <v>0</v>
      </c>
      <c r="J20" s="10">
        <f t="shared" si="1"/>
        <v>1463</v>
      </c>
      <c r="K20" s="11">
        <f>J20-B20</f>
        <v>1463</v>
      </c>
      <c r="L20" s="139">
        <f aca="true" t="shared" si="53" ref="L20:T20">SUM(L21:L22)</f>
        <v>0</v>
      </c>
      <c r="M20" s="10">
        <f t="shared" si="53"/>
        <v>0</v>
      </c>
      <c r="N20" s="10">
        <f t="shared" si="53"/>
        <v>7217</v>
      </c>
      <c r="O20" s="10">
        <f t="shared" si="53"/>
        <v>0</v>
      </c>
      <c r="P20" s="10">
        <f t="shared" si="53"/>
        <v>0</v>
      </c>
      <c r="Q20" s="10">
        <f t="shared" si="53"/>
        <v>0</v>
      </c>
      <c r="R20" s="10">
        <f t="shared" si="53"/>
        <v>0</v>
      </c>
      <c r="S20" s="10">
        <f t="shared" si="53"/>
        <v>0</v>
      </c>
      <c r="T20" s="10">
        <f t="shared" si="53"/>
        <v>0</v>
      </c>
      <c r="U20" s="10">
        <f t="shared" si="3"/>
        <v>7217</v>
      </c>
      <c r="V20" s="11">
        <f>U20-L20</f>
        <v>7217</v>
      </c>
      <c r="W20" s="10">
        <f aca="true" t="shared" si="54" ref="W20:AC20">SUM(W21:W22)</f>
        <v>0</v>
      </c>
      <c r="X20" s="10">
        <f t="shared" si="54"/>
        <v>0</v>
      </c>
      <c r="Y20" s="10">
        <f t="shared" si="54"/>
        <v>9360</v>
      </c>
      <c r="Z20" s="10">
        <f t="shared" si="54"/>
        <v>0</v>
      </c>
      <c r="AA20" s="10">
        <f t="shared" si="54"/>
        <v>0</v>
      </c>
      <c r="AB20" s="10">
        <f t="shared" si="54"/>
        <v>0</v>
      </c>
      <c r="AC20" s="10">
        <f t="shared" si="54"/>
        <v>0</v>
      </c>
      <c r="AD20" s="10">
        <f t="shared" si="5"/>
        <v>9360</v>
      </c>
      <c r="AE20" s="11">
        <f>AD20-W20</f>
        <v>9360</v>
      </c>
      <c r="AF20" s="10">
        <f aca="true" t="shared" si="55" ref="AF20:AK20">SUM(AF21:AF22)</f>
        <v>0</v>
      </c>
      <c r="AG20" s="61">
        <f t="shared" si="55"/>
        <v>0</v>
      </c>
      <c r="AH20" s="61">
        <f t="shared" si="55"/>
        <v>17168</v>
      </c>
      <c r="AI20" s="61">
        <f t="shared" si="55"/>
        <v>0</v>
      </c>
      <c r="AJ20" s="61">
        <f t="shared" si="55"/>
        <v>0</v>
      </c>
      <c r="AK20" s="61">
        <f t="shared" si="55"/>
        <v>0</v>
      </c>
      <c r="AL20" s="10">
        <f t="shared" si="7"/>
        <v>17168</v>
      </c>
      <c r="AM20" s="11">
        <f>AL20-AF20</f>
        <v>17168</v>
      </c>
      <c r="AN20" s="10">
        <f aca="true" t="shared" si="56" ref="AN20:AS20">SUM(AN21:AN22)</f>
        <v>0</v>
      </c>
      <c r="AO20" s="61">
        <f t="shared" si="56"/>
        <v>0</v>
      </c>
      <c r="AP20" s="61">
        <f t="shared" si="56"/>
        <v>6868</v>
      </c>
      <c r="AQ20" s="61">
        <f t="shared" si="56"/>
        <v>0</v>
      </c>
      <c r="AR20" s="61">
        <f t="shared" si="56"/>
        <v>0</v>
      </c>
      <c r="AS20" s="61">
        <f t="shared" si="56"/>
        <v>0</v>
      </c>
      <c r="AT20" s="10">
        <f t="shared" si="9"/>
        <v>6868</v>
      </c>
      <c r="AU20" s="176">
        <f>AT20-AN20</f>
        <v>6868</v>
      </c>
      <c r="AV20" s="198">
        <f>B20+L20+W20+AF20+AN20</f>
        <v>0</v>
      </c>
      <c r="AW20" s="76">
        <f>J20+U20+AD20+AL20+AT20</f>
        <v>42076</v>
      </c>
      <c r="AX20" s="77">
        <f>AW20-AV20</f>
        <v>42076</v>
      </c>
      <c r="AY20" s="187">
        <f aca="true" t="shared" si="57" ref="AY20:BW20">SUM(AY21:AY22)</f>
        <v>105275</v>
      </c>
      <c r="AZ20" s="61">
        <f t="shared" si="57"/>
        <v>0</v>
      </c>
      <c r="BA20" s="61">
        <f t="shared" si="57"/>
        <v>0</v>
      </c>
      <c r="BB20" s="61">
        <f t="shared" si="57"/>
        <v>0</v>
      </c>
      <c r="BC20" s="61">
        <f t="shared" si="57"/>
        <v>12896</v>
      </c>
      <c r="BD20" s="61">
        <f t="shared" si="57"/>
        <v>0</v>
      </c>
      <c r="BE20" s="61">
        <f t="shared" si="57"/>
        <v>0</v>
      </c>
      <c r="BF20" s="61">
        <f t="shared" si="57"/>
        <v>0</v>
      </c>
      <c r="BG20" s="61">
        <f t="shared" si="57"/>
        <v>0</v>
      </c>
      <c r="BH20" s="61">
        <f t="shared" si="57"/>
        <v>0</v>
      </c>
      <c r="BI20" s="61">
        <f t="shared" si="57"/>
        <v>0</v>
      </c>
      <c r="BJ20" s="61">
        <f t="shared" si="57"/>
        <v>0</v>
      </c>
      <c r="BK20" s="61">
        <f t="shared" si="57"/>
        <v>0</v>
      </c>
      <c r="BL20" s="61">
        <f t="shared" si="57"/>
        <v>0</v>
      </c>
      <c r="BM20" s="61">
        <f t="shared" si="57"/>
        <v>0</v>
      </c>
      <c r="BN20" s="61">
        <f t="shared" si="57"/>
        <v>0</v>
      </c>
      <c r="BO20" s="61">
        <f t="shared" si="57"/>
        <v>0</v>
      </c>
      <c r="BP20" s="61">
        <f t="shared" si="57"/>
        <v>0</v>
      </c>
      <c r="BQ20" s="61">
        <f t="shared" si="57"/>
        <v>0</v>
      </c>
      <c r="BR20" s="61">
        <f t="shared" si="57"/>
        <v>0</v>
      </c>
      <c r="BS20" s="61">
        <f t="shared" si="57"/>
        <v>0</v>
      </c>
      <c r="BT20" s="61">
        <f t="shared" si="57"/>
        <v>0</v>
      </c>
      <c r="BU20" s="61">
        <f t="shared" si="57"/>
        <v>0</v>
      </c>
      <c r="BV20" s="61">
        <f t="shared" si="57"/>
        <v>0</v>
      </c>
      <c r="BW20" s="61">
        <f t="shared" si="57"/>
        <v>0</v>
      </c>
      <c r="BX20" s="78">
        <f t="shared" si="15"/>
        <v>118171</v>
      </c>
      <c r="BY20" s="11">
        <f>BX20-AY20</f>
        <v>12896</v>
      </c>
      <c r="BZ20" s="78">
        <f>AV20+AY20</f>
        <v>105275</v>
      </c>
      <c r="CA20" s="78">
        <f t="shared" si="17"/>
        <v>160247</v>
      </c>
      <c r="CB20" s="153">
        <f>CA20-BZ20</f>
        <v>54972</v>
      </c>
      <c r="CC20" s="165">
        <f aca="true" t="shared" si="58" ref="CC20:CD22">BZ20</f>
        <v>105275</v>
      </c>
      <c r="CD20" s="12">
        <f t="shared" si="58"/>
        <v>160247</v>
      </c>
      <c r="CE20" s="13">
        <f>CD20-CC20</f>
        <v>54972</v>
      </c>
    </row>
    <row r="21" spans="1:83" s="14" customFormat="1" ht="18" customHeight="1">
      <c r="A21" s="96" t="s">
        <v>32</v>
      </c>
      <c r="B21" s="125"/>
      <c r="C21" s="125"/>
      <c r="D21" s="125">
        <v>1463</v>
      </c>
      <c r="E21" s="125"/>
      <c r="F21" s="125"/>
      <c r="G21" s="125"/>
      <c r="H21" s="125"/>
      <c r="I21" s="125"/>
      <c r="J21" s="125">
        <f t="shared" si="1"/>
        <v>1463</v>
      </c>
      <c r="K21" s="126">
        <f>J21-B21</f>
        <v>1463</v>
      </c>
      <c r="L21" s="140"/>
      <c r="M21" s="125"/>
      <c r="N21" s="125">
        <v>7217</v>
      </c>
      <c r="O21" s="125"/>
      <c r="P21" s="125"/>
      <c r="Q21" s="125"/>
      <c r="R21" s="125"/>
      <c r="S21" s="125"/>
      <c r="T21" s="125"/>
      <c r="U21" s="125">
        <f t="shared" si="3"/>
        <v>7217</v>
      </c>
      <c r="V21" s="126">
        <f>U21-L21</f>
        <v>7217</v>
      </c>
      <c r="W21" s="15"/>
      <c r="X21" s="125"/>
      <c r="Y21" s="125">
        <v>9360</v>
      </c>
      <c r="Z21" s="125"/>
      <c r="AA21" s="125"/>
      <c r="AB21" s="125"/>
      <c r="AC21" s="125"/>
      <c r="AD21" s="15">
        <f t="shared" si="5"/>
        <v>9360</v>
      </c>
      <c r="AE21" s="16">
        <f>AD21-W21</f>
        <v>9360</v>
      </c>
      <c r="AF21" s="15"/>
      <c r="AG21" s="111"/>
      <c r="AH21" s="111">
        <v>17168</v>
      </c>
      <c r="AI21" s="111"/>
      <c r="AJ21" s="111"/>
      <c r="AK21" s="111"/>
      <c r="AL21" s="15">
        <f t="shared" si="7"/>
        <v>17168</v>
      </c>
      <c r="AM21" s="16">
        <f>AL21-AF21</f>
        <v>17168</v>
      </c>
      <c r="AN21" s="15"/>
      <c r="AO21" s="111"/>
      <c r="AP21" s="111">
        <v>6868</v>
      </c>
      <c r="AQ21" s="111"/>
      <c r="AR21" s="111"/>
      <c r="AS21" s="111"/>
      <c r="AT21" s="15">
        <f t="shared" si="9"/>
        <v>6868</v>
      </c>
      <c r="AU21" s="177">
        <f>AT21-AN21</f>
        <v>6868</v>
      </c>
      <c r="AV21" s="199">
        <f>B21+L21+W21+AF21+AN21</f>
        <v>0</v>
      </c>
      <c r="AW21" s="80">
        <f>J21+U21+AD21+AL21+AT21</f>
        <v>42076</v>
      </c>
      <c r="AX21" s="81">
        <f>AW21-AV21</f>
        <v>42076</v>
      </c>
      <c r="AY21" s="188">
        <v>85000</v>
      </c>
      <c r="AZ21" s="111"/>
      <c r="BA21" s="111"/>
      <c r="BB21" s="111"/>
      <c r="BC21" s="111">
        <v>12896</v>
      </c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82">
        <f t="shared" si="15"/>
        <v>97896</v>
      </c>
      <c r="BY21" s="16">
        <f>BX21-AY21</f>
        <v>12896</v>
      </c>
      <c r="BZ21" s="82">
        <f>AV21+AY21</f>
        <v>85000</v>
      </c>
      <c r="CA21" s="80">
        <f t="shared" si="17"/>
        <v>139972</v>
      </c>
      <c r="CB21" s="154">
        <f>CA21-BZ21</f>
        <v>54972</v>
      </c>
      <c r="CC21" s="166">
        <f t="shared" si="58"/>
        <v>85000</v>
      </c>
      <c r="CD21" s="15">
        <f t="shared" si="58"/>
        <v>139972</v>
      </c>
      <c r="CE21" s="16">
        <f>CD21-CC21</f>
        <v>54972</v>
      </c>
    </row>
    <row r="22" spans="1:83" s="14" customFormat="1" ht="18" customHeight="1">
      <c r="A22" s="101" t="s">
        <v>33</v>
      </c>
      <c r="B22" s="127"/>
      <c r="C22" s="127"/>
      <c r="D22" s="127"/>
      <c r="E22" s="127"/>
      <c r="F22" s="127"/>
      <c r="G22" s="127"/>
      <c r="H22" s="127"/>
      <c r="I22" s="127"/>
      <c r="J22" s="127">
        <f t="shared" si="1"/>
        <v>0</v>
      </c>
      <c r="K22" s="131">
        <f>J22-B22</f>
        <v>0</v>
      </c>
      <c r="L22" s="145"/>
      <c r="M22" s="127"/>
      <c r="N22" s="127"/>
      <c r="O22" s="127"/>
      <c r="P22" s="127"/>
      <c r="Q22" s="127"/>
      <c r="R22" s="127"/>
      <c r="S22" s="127"/>
      <c r="T22" s="127"/>
      <c r="U22" s="127">
        <f t="shared" si="3"/>
        <v>0</v>
      </c>
      <c r="V22" s="131">
        <f>U22-L22</f>
        <v>0</v>
      </c>
      <c r="W22" s="37"/>
      <c r="X22" s="127"/>
      <c r="Y22" s="127"/>
      <c r="Z22" s="127"/>
      <c r="AA22" s="127"/>
      <c r="AB22" s="127"/>
      <c r="AC22" s="127"/>
      <c r="AD22" s="37">
        <f t="shared" si="5"/>
        <v>0</v>
      </c>
      <c r="AE22" s="38">
        <f>AD22-W22</f>
        <v>0</v>
      </c>
      <c r="AF22" s="37"/>
      <c r="AG22" s="117"/>
      <c r="AH22" s="117"/>
      <c r="AI22" s="117"/>
      <c r="AJ22" s="117"/>
      <c r="AK22" s="117"/>
      <c r="AL22" s="37">
        <f t="shared" si="7"/>
        <v>0</v>
      </c>
      <c r="AM22" s="38">
        <f>AL22-AF22</f>
        <v>0</v>
      </c>
      <c r="AN22" s="37"/>
      <c r="AO22" s="117"/>
      <c r="AP22" s="117"/>
      <c r="AQ22" s="117"/>
      <c r="AR22" s="117"/>
      <c r="AS22" s="117"/>
      <c r="AT22" s="37">
        <f t="shared" si="9"/>
        <v>0</v>
      </c>
      <c r="AU22" s="183">
        <f>AT22-AN22</f>
        <v>0</v>
      </c>
      <c r="AV22" s="204">
        <f>B22+L22+W22+AF22+AN22</f>
        <v>0</v>
      </c>
      <c r="AW22" s="86">
        <f>J22+U22+AD22+AL22+AT22</f>
        <v>0</v>
      </c>
      <c r="AX22" s="87">
        <f>AW22-AV22</f>
        <v>0</v>
      </c>
      <c r="AY22" s="194">
        <v>20275</v>
      </c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88">
        <f t="shared" si="15"/>
        <v>20275</v>
      </c>
      <c r="BY22" s="38">
        <f>BX22-AY22</f>
        <v>0</v>
      </c>
      <c r="BZ22" s="88">
        <f>AV22+AY22</f>
        <v>20275</v>
      </c>
      <c r="CA22" s="86">
        <f t="shared" si="17"/>
        <v>20275</v>
      </c>
      <c r="CB22" s="160">
        <f>CA22-BZ22</f>
        <v>0</v>
      </c>
      <c r="CC22" s="171">
        <f t="shared" si="58"/>
        <v>20275</v>
      </c>
      <c r="CD22" s="37">
        <f t="shared" si="58"/>
        <v>20275</v>
      </c>
      <c r="CE22" s="38">
        <f>CD22-CC22</f>
        <v>0</v>
      </c>
    </row>
    <row r="23" spans="1:83" s="14" customFormat="1" ht="18" customHeight="1" thickBot="1">
      <c r="A23" s="102" t="s">
        <v>34</v>
      </c>
      <c r="B23" s="43">
        <v>33911</v>
      </c>
      <c r="C23" s="133">
        <f>259+936</f>
        <v>1195</v>
      </c>
      <c r="D23" s="133"/>
      <c r="E23" s="133"/>
      <c r="F23" s="133">
        <v>1244</v>
      </c>
      <c r="G23" s="133"/>
      <c r="H23" s="133"/>
      <c r="I23" s="133"/>
      <c r="J23" s="43">
        <f t="shared" si="1"/>
        <v>36350</v>
      </c>
      <c r="K23" s="44">
        <f>J23-B23</f>
        <v>2439</v>
      </c>
      <c r="L23" s="147">
        <v>41653</v>
      </c>
      <c r="M23" s="43">
        <f>65+1259</f>
        <v>1324</v>
      </c>
      <c r="N23" s="43"/>
      <c r="O23" s="43"/>
      <c r="P23" s="43"/>
      <c r="Q23" s="43"/>
      <c r="R23" s="43"/>
      <c r="S23" s="43"/>
      <c r="T23" s="43"/>
      <c r="U23" s="43">
        <f t="shared" si="3"/>
        <v>42977</v>
      </c>
      <c r="V23" s="44">
        <f>U23-L23</f>
        <v>1324</v>
      </c>
      <c r="W23" s="43">
        <v>40455</v>
      </c>
      <c r="X23" s="43">
        <f>186+925</f>
        <v>1111</v>
      </c>
      <c r="Y23" s="43"/>
      <c r="Z23" s="43"/>
      <c r="AA23" s="43"/>
      <c r="AB23" s="43">
        <v>488</v>
      </c>
      <c r="AC23" s="43"/>
      <c r="AD23" s="43">
        <f t="shared" si="5"/>
        <v>42054</v>
      </c>
      <c r="AE23" s="44">
        <f>AD23-W23</f>
        <v>1599</v>
      </c>
      <c r="AF23" s="43">
        <v>297184</v>
      </c>
      <c r="AG23" s="119">
        <v>989</v>
      </c>
      <c r="AH23" s="119">
        <v>-10667</v>
      </c>
      <c r="AI23" s="119"/>
      <c r="AJ23" s="119"/>
      <c r="AK23" s="119"/>
      <c r="AL23" s="43">
        <f t="shared" si="7"/>
        <v>287506</v>
      </c>
      <c r="AM23" s="44">
        <f>AL23-AF23</f>
        <v>-9678</v>
      </c>
      <c r="AN23" s="43">
        <v>131335</v>
      </c>
      <c r="AO23" s="119">
        <f>10483+1811</f>
        <v>12294</v>
      </c>
      <c r="AP23" s="119">
        <v>548</v>
      </c>
      <c r="AQ23" s="119"/>
      <c r="AR23" s="119"/>
      <c r="AS23" s="119"/>
      <c r="AT23" s="43">
        <f t="shared" si="9"/>
        <v>144177</v>
      </c>
      <c r="AU23" s="185">
        <f>AT23-AN23</f>
        <v>12842</v>
      </c>
      <c r="AV23" s="205">
        <f>B23+L23+W23+AF23+AN23</f>
        <v>544538</v>
      </c>
      <c r="AW23" s="103">
        <f>J23+U23+AD23+AL23+AT23</f>
        <v>553064</v>
      </c>
      <c r="AX23" s="104">
        <f>AW23-AV23</f>
        <v>8526</v>
      </c>
      <c r="AY23" s="196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05">
        <f t="shared" si="15"/>
        <v>0</v>
      </c>
      <c r="BY23" s="44">
        <f>BX23-AY23</f>
        <v>0</v>
      </c>
      <c r="BZ23" s="105">
        <f>AV23+AY23</f>
        <v>544538</v>
      </c>
      <c r="CA23" s="105">
        <f t="shared" si="17"/>
        <v>553064</v>
      </c>
      <c r="CB23" s="162">
        <f>CA23-BZ23</f>
        <v>8526</v>
      </c>
      <c r="CC23" s="172">
        <f>BZ23-AV23</f>
        <v>0</v>
      </c>
      <c r="CD23" s="45">
        <f>CA23-AW23</f>
        <v>0</v>
      </c>
      <c r="CE23" s="46">
        <f>CD23-CC23</f>
        <v>0</v>
      </c>
    </row>
    <row r="24" spans="1:83" s="30" customFormat="1" ht="18" customHeight="1" thickBot="1">
      <c r="A24" s="89" t="s">
        <v>35</v>
      </c>
      <c r="B24" s="25">
        <f aca="true" t="shared" si="59" ref="B24:I24">SUM(B20+B23)</f>
        <v>33911</v>
      </c>
      <c r="C24" s="128">
        <f t="shared" si="59"/>
        <v>1195</v>
      </c>
      <c r="D24" s="128">
        <f t="shared" si="59"/>
        <v>1463</v>
      </c>
      <c r="E24" s="128">
        <f t="shared" si="59"/>
        <v>0</v>
      </c>
      <c r="F24" s="128">
        <f t="shared" si="59"/>
        <v>1244</v>
      </c>
      <c r="G24" s="128">
        <f t="shared" si="59"/>
        <v>0</v>
      </c>
      <c r="H24" s="128">
        <f t="shared" si="59"/>
        <v>0</v>
      </c>
      <c r="I24" s="128">
        <f t="shared" si="59"/>
        <v>0</v>
      </c>
      <c r="J24" s="25">
        <f t="shared" si="1"/>
        <v>37813</v>
      </c>
      <c r="K24" s="26">
        <f aca="true" t="shared" si="60" ref="K24:T24">SUM(K20+K23)</f>
        <v>3902</v>
      </c>
      <c r="L24" s="29">
        <f t="shared" si="60"/>
        <v>41653</v>
      </c>
      <c r="M24" s="25">
        <f t="shared" si="60"/>
        <v>1324</v>
      </c>
      <c r="N24" s="25">
        <f t="shared" si="60"/>
        <v>7217</v>
      </c>
      <c r="O24" s="25">
        <f t="shared" si="60"/>
        <v>0</v>
      </c>
      <c r="P24" s="25">
        <f t="shared" si="60"/>
        <v>0</v>
      </c>
      <c r="Q24" s="25">
        <f t="shared" si="60"/>
        <v>0</v>
      </c>
      <c r="R24" s="25">
        <f t="shared" si="60"/>
        <v>0</v>
      </c>
      <c r="S24" s="25">
        <f t="shared" si="60"/>
        <v>0</v>
      </c>
      <c r="T24" s="25">
        <f t="shared" si="60"/>
        <v>0</v>
      </c>
      <c r="U24" s="25">
        <f t="shared" si="3"/>
        <v>50194</v>
      </c>
      <c r="V24" s="26">
        <f aca="true" t="shared" si="61" ref="V24:AC24">SUM(V20+V23)</f>
        <v>8541</v>
      </c>
      <c r="W24" s="25">
        <f t="shared" si="61"/>
        <v>40455</v>
      </c>
      <c r="X24" s="25">
        <f t="shared" si="61"/>
        <v>1111</v>
      </c>
      <c r="Y24" s="25">
        <f t="shared" si="61"/>
        <v>9360</v>
      </c>
      <c r="Z24" s="25">
        <f t="shared" si="61"/>
        <v>0</v>
      </c>
      <c r="AA24" s="25">
        <f t="shared" si="61"/>
        <v>0</v>
      </c>
      <c r="AB24" s="25">
        <f t="shared" si="61"/>
        <v>488</v>
      </c>
      <c r="AC24" s="25">
        <f t="shared" si="61"/>
        <v>0</v>
      </c>
      <c r="AD24" s="25">
        <f t="shared" si="5"/>
        <v>51414</v>
      </c>
      <c r="AE24" s="26">
        <f aca="true" t="shared" si="62" ref="AE24:AK24">SUM(AE20+AE23)</f>
        <v>10959</v>
      </c>
      <c r="AF24" s="25">
        <f t="shared" si="62"/>
        <v>297184</v>
      </c>
      <c r="AG24" s="114">
        <f t="shared" si="62"/>
        <v>989</v>
      </c>
      <c r="AH24" s="114">
        <f t="shared" si="62"/>
        <v>6501</v>
      </c>
      <c r="AI24" s="114">
        <f t="shared" si="62"/>
        <v>0</v>
      </c>
      <c r="AJ24" s="114">
        <f t="shared" si="62"/>
        <v>0</v>
      </c>
      <c r="AK24" s="114">
        <f t="shared" si="62"/>
        <v>0</v>
      </c>
      <c r="AL24" s="25">
        <f t="shared" si="7"/>
        <v>304674</v>
      </c>
      <c r="AM24" s="26">
        <f aca="true" t="shared" si="63" ref="AM24:AS24">SUM(AM20+AM23)</f>
        <v>7490</v>
      </c>
      <c r="AN24" s="25">
        <f t="shared" si="63"/>
        <v>131335</v>
      </c>
      <c r="AO24" s="114">
        <f t="shared" si="63"/>
        <v>12294</v>
      </c>
      <c r="AP24" s="114">
        <f t="shared" si="63"/>
        <v>7416</v>
      </c>
      <c r="AQ24" s="114">
        <f t="shared" si="63"/>
        <v>0</v>
      </c>
      <c r="AR24" s="114">
        <f t="shared" si="63"/>
        <v>0</v>
      </c>
      <c r="AS24" s="114">
        <f t="shared" si="63"/>
        <v>0</v>
      </c>
      <c r="AT24" s="25">
        <f t="shared" si="9"/>
        <v>151045</v>
      </c>
      <c r="AU24" s="180">
        <f aca="true" t="shared" si="64" ref="AU24:BW24">SUM(AU20+AU23)</f>
        <v>19710</v>
      </c>
      <c r="AV24" s="200">
        <f t="shared" si="64"/>
        <v>544538</v>
      </c>
      <c r="AW24" s="90">
        <f t="shared" si="64"/>
        <v>595140</v>
      </c>
      <c r="AX24" s="91">
        <f t="shared" si="64"/>
        <v>50602</v>
      </c>
      <c r="AY24" s="191">
        <f t="shared" si="64"/>
        <v>105275</v>
      </c>
      <c r="AZ24" s="114">
        <f t="shared" si="64"/>
        <v>0</v>
      </c>
      <c r="BA24" s="114">
        <f t="shared" si="64"/>
        <v>0</v>
      </c>
      <c r="BB24" s="114">
        <f t="shared" si="64"/>
        <v>0</v>
      </c>
      <c r="BC24" s="114">
        <f t="shared" si="64"/>
        <v>12896</v>
      </c>
      <c r="BD24" s="114">
        <f t="shared" si="64"/>
        <v>0</v>
      </c>
      <c r="BE24" s="114">
        <f t="shared" si="64"/>
        <v>0</v>
      </c>
      <c r="BF24" s="114">
        <f t="shared" si="64"/>
        <v>0</v>
      </c>
      <c r="BG24" s="114">
        <f t="shared" si="64"/>
        <v>0</v>
      </c>
      <c r="BH24" s="114">
        <f t="shared" si="64"/>
        <v>0</v>
      </c>
      <c r="BI24" s="114">
        <f t="shared" si="64"/>
        <v>0</v>
      </c>
      <c r="BJ24" s="114">
        <f t="shared" si="64"/>
        <v>0</v>
      </c>
      <c r="BK24" s="114">
        <f t="shared" si="64"/>
        <v>0</v>
      </c>
      <c r="BL24" s="114">
        <f t="shared" si="64"/>
        <v>0</v>
      </c>
      <c r="BM24" s="114">
        <f t="shared" si="64"/>
        <v>0</v>
      </c>
      <c r="BN24" s="114">
        <f t="shared" si="64"/>
        <v>0</v>
      </c>
      <c r="BO24" s="114">
        <f t="shared" si="64"/>
        <v>0</v>
      </c>
      <c r="BP24" s="114">
        <f t="shared" si="64"/>
        <v>0</v>
      </c>
      <c r="BQ24" s="114">
        <f t="shared" si="64"/>
        <v>0</v>
      </c>
      <c r="BR24" s="114">
        <f t="shared" si="64"/>
        <v>0</v>
      </c>
      <c r="BS24" s="114">
        <f t="shared" si="64"/>
        <v>0</v>
      </c>
      <c r="BT24" s="114">
        <f t="shared" si="64"/>
        <v>0</v>
      </c>
      <c r="BU24" s="114">
        <f t="shared" si="64"/>
        <v>0</v>
      </c>
      <c r="BV24" s="114">
        <f t="shared" si="64"/>
        <v>0</v>
      </c>
      <c r="BW24" s="114">
        <f t="shared" si="64"/>
        <v>0</v>
      </c>
      <c r="BX24" s="27">
        <f t="shared" si="15"/>
        <v>118171</v>
      </c>
      <c r="BY24" s="26">
        <f>SUM(BY20+BY23)</f>
        <v>12896</v>
      </c>
      <c r="BZ24" s="27">
        <f>SUM(BZ20+BZ23)</f>
        <v>649813</v>
      </c>
      <c r="CA24" s="27">
        <f t="shared" si="17"/>
        <v>713311</v>
      </c>
      <c r="CB24" s="157">
        <f>SUM(CB20+CB23)</f>
        <v>63498</v>
      </c>
      <c r="CC24" s="29">
        <f>SUM(CC20+CC23)</f>
        <v>105275</v>
      </c>
      <c r="CD24" s="27">
        <f>SUM(CD20+CD23)</f>
        <v>160247</v>
      </c>
      <c r="CE24" s="28">
        <f>SUM(CE20+CE23)</f>
        <v>54972</v>
      </c>
    </row>
    <row r="25" spans="1:83" s="30" customFormat="1" ht="18" customHeight="1" thickBot="1">
      <c r="A25" s="107" t="s">
        <v>36</v>
      </c>
      <c r="B25" s="47">
        <f aca="true" t="shared" si="65" ref="B25:I25">B11+B18+B24</f>
        <v>35991</v>
      </c>
      <c r="C25" s="134">
        <f t="shared" si="65"/>
        <v>1195</v>
      </c>
      <c r="D25" s="134">
        <f t="shared" si="65"/>
        <v>1463</v>
      </c>
      <c r="E25" s="134">
        <f t="shared" si="65"/>
        <v>860</v>
      </c>
      <c r="F25" s="134">
        <f t="shared" si="65"/>
        <v>1244</v>
      </c>
      <c r="G25" s="134">
        <f t="shared" si="65"/>
        <v>0</v>
      </c>
      <c r="H25" s="134">
        <f t="shared" si="65"/>
        <v>0</v>
      </c>
      <c r="I25" s="134">
        <f t="shared" si="65"/>
        <v>0</v>
      </c>
      <c r="J25" s="47">
        <f t="shared" si="1"/>
        <v>40753</v>
      </c>
      <c r="K25" s="48">
        <f aca="true" t="shared" si="66" ref="K25:T25">K11+K18+K24</f>
        <v>4762</v>
      </c>
      <c r="L25" s="148">
        <f t="shared" si="66"/>
        <v>115153</v>
      </c>
      <c r="M25" s="47">
        <f t="shared" si="66"/>
        <v>1324</v>
      </c>
      <c r="N25" s="47">
        <f t="shared" si="66"/>
        <v>7217</v>
      </c>
      <c r="O25" s="47">
        <f t="shared" si="66"/>
        <v>300</v>
      </c>
      <c r="P25" s="47">
        <f t="shared" si="66"/>
        <v>800</v>
      </c>
      <c r="Q25" s="47">
        <f t="shared" si="66"/>
        <v>559</v>
      </c>
      <c r="R25" s="47">
        <f t="shared" si="66"/>
        <v>1252</v>
      </c>
      <c r="S25" s="47">
        <f t="shared" si="66"/>
        <v>0</v>
      </c>
      <c r="T25" s="47">
        <f t="shared" si="66"/>
        <v>0</v>
      </c>
      <c r="U25" s="47">
        <f t="shared" si="3"/>
        <v>126605</v>
      </c>
      <c r="V25" s="48">
        <f aca="true" t="shared" si="67" ref="V25:AC25">V11+V18+V24</f>
        <v>11452</v>
      </c>
      <c r="W25" s="47">
        <f t="shared" si="67"/>
        <v>44455</v>
      </c>
      <c r="X25" s="47">
        <f t="shared" si="67"/>
        <v>1111</v>
      </c>
      <c r="Y25" s="47">
        <f t="shared" si="67"/>
        <v>9360</v>
      </c>
      <c r="Z25" s="47">
        <f t="shared" si="67"/>
        <v>352</v>
      </c>
      <c r="AA25" s="47">
        <f t="shared" si="67"/>
        <v>600</v>
      </c>
      <c r="AB25" s="47">
        <f t="shared" si="67"/>
        <v>488</v>
      </c>
      <c r="AC25" s="47">
        <f t="shared" si="67"/>
        <v>0</v>
      </c>
      <c r="AD25" s="47">
        <f t="shared" si="5"/>
        <v>56366</v>
      </c>
      <c r="AE25" s="48">
        <f aca="true" t="shared" si="68" ref="AE25:AK25">AE11+AE18+AE24</f>
        <v>11911</v>
      </c>
      <c r="AF25" s="47">
        <f t="shared" si="68"/>
        <v>299344</v>
      </c>
      <c r="AG25" s="120">
        <f t="shared" si="68"/>
        <v>989</v>
      </c>
      <c r="AH25" s="120">
        <f t="shared" si="68"/>
        <v>6501</v>
      </c>
      <c r="AI25" s="120">
        <f t="shared" si="68"/>
        <v>491</v>
      </c>
      <c r="AJ25" s="120">
        <f t="shared" si="68"/>
        <v>0</v>
      </c>
      <c r="AK25" s="120">
        <f t="shared" si="68"/>
        <v>0</v>
      </c>
      <c r="AL25" s="47">
        <f t="shared" si="7"/>
        <v>307325</v>
      </c>
      <c r="AM25" s="48">
        <f aca="true" t="shared" si="69" ref="AM25:AS25">AM11+AM18+AM24</f>
        <v>7981</v>
      </c>
      <c r="AN25" s="47">
        <f t="shared" si="69"/>
        <v>233550</v>
      </c>
      <c r="AO25" s="120">
        <f t="shared" si="69"/>
        <v>12294</v>
      </c>
      <c r="AP25" s="120">
        <f t="shared" si="69"/>
        <v>7571</v>
      </c>
      <c r="AQ25" s="120">
        <f t="shared" si="69"/>
        <v>0</v>
      </c>
      <c r="AR25" s="120">
        <f t="shared" si="69"/>
        <v>0</v>
      </c>
      <c r="AS25" s="120">
        <f t="shared" si="69"/>
        <v>0</v>
      </c>
      <c r="AT25" s="47">
        <f t="shared" si="9"/>
        <v>253415</v>
      </c>
      <c r="AU25" s="186">
        <f aca="true" t="shared" si="70" ref="AU25:BW25">AU11+AU18+AU24</f>
        <v>19865</v>
      </c>
      <c r="AV25" s="206">
        <f t="shared" si="70"/>
        <v>728493</v>
      </c>
      <c r="AW25" s="108">
        <f t="shared" si="70"/>
        <v>784464</v>
      </c>
      <c r="AX25" s="207">
        <f t="shared" si="70"/>
        <v>55971</v>
      </c>
      <c r="AY25" s="197">
        <f t="shared" si="70"/>
        <v>1792944</v>
      </c>
      <c r="AZ25" s="120">
        <f t="shared" si="70"/>
        <v>33214</v>
      </c>
      <c r="BA25" s="120">
        <f t="shared" si="70"/>
        <v>9000</v>
      </c>
      <c r="BB25" s="120">
        <f t="shared" si="70"/>
        <v>0</v>
      </c>
      <c r="BC25" s="120">
        <f t="shared" si="70"/>
        <v>12896</v>
      </c>
      <c r="BD25" s="120">
        <f t="shared" si="70"/>
        <v>332</v>
      </c>
      <c r="BE25" s="120">
        <f t="shared" si="70"/>
        <v>0</v>
      </c>
      <c r="BF25" s="120">
        <f t="shared" si="70"/>
        <v>0</v>
      </c>
      <c r="BG25" s="120">
        <f t="shared" si="70"/>
        <v>222</v>
      </c>
      <c r="BH25" s="120">
        <f t="shared" si="70"/>
        <v>9000</v>
      </c>
      <c r="BI25" s="120">
        <f t="shared" si="70"/>
        <v>0</v>
      </c>
      <c r="BJ25" s="120">
        <f t="shared" si="70"/>
        <v>0</v>
      </c>
      <c r="BK25" s="120">
        <f t="shared" si="70"/>
        <v>0</v>
      </c>
      <c r="BL25" s="120">
        <f t="shared" si="70"/>
        <v>300</v>
      </c>
      <c r="BM25" s="120">
        <f t="shared" si="70"/>
        <v>6688</v>
      </c>
      <c r="BN25" s="120">
        <f t="shared" si="70"/>
        <v>0</v>
      </c>
      <c r="BO25" s="120">
        <f t="shared" si="70"/>
        <v>93000</v>
      </c>
      <c r="BP25" s="120">
        <f t="shared" si="70"/>
        <v>142504</v>
      </c>
      <c r="BQ25" s="120">
        <f t="shared" si="70"/>
        <v>59138</v>
      </c>
      <c r="BR25" s="120">
        <f t="shared" si="70"/>
        <v>84309</v>
      </c>
      <c r="BS25" s="120">
        <f t="shared" si="70"/>
        <v>290000</v>
      </c>
      <c r="BT25" s="120">
        <f t="shared" si="70"/>
        <v>0</v>
      </c>
      <c r="BU25" s="120">
        <f t="shared" si="70"/>
        <v>0</v>
      </c>
      <c r="BV25" s="120">
        <f t="shared" si="70"/>
        <v>0</v>
      </c>
      <c r="BW25" s="120">
        <f t="shared" si="70"/>
        <v>0</v>
      </c>
      <c r="BX25" s="49">
        <f t="shared" si="15"/>
        <v>2533547</v>
      </c>
      <c r="BY25" s="48">
        <f>BY11+BY18+BY24</f>
        <v>740603</v>
      </c>
      <c r="BZ25" s="49">
        <f>BZ11+BZ18+BZ24</f>
        <v>2521437</v>
      </c>
      <c r="CA25" s="49">
        <f t="shared" si="17"/>
        <v>3318011</v>
      </c>
      <c r="CB25" s="163">
        <f>CB11+CB18+CB24</f>
        <v>796574</v>
      </c>
      <c r="CC25" s="148">
        <f>CC11+CC18+CC24</f>
        <v>1976899</v>
      </c>
      <c r="CD25" s="49">
        <f>CD11+CD18+CD24</f>
        <v>2764947</v>
      </c>
      <c r="CE25" s="50">
        <f>CE11+CE18+CE24</f>
        <v>788048</v>
      </c>
    </row>
    <row r="26" spans="48:83" s="52" customFormat="1" ht="14.25" thickBot="1">
      <c r="AV26" s="51"/>
      <c r="AW26" s="51"/>
      <c r="AX26" s="51"/>
      <c r="BX26" s="53"/>
      <c r="BZ26" s="53"/>
      <c r="CA26" s="53"/>
      <c r="CB26" s="53"/>
      <c r="CD26" s="53"/>
      <c r="CE26" s="53"/>
    </row>
    <row r="27" spans="1:83" s="14" customFormat="1" ht="38.25" customHeight="1" thickBot="1">
      <c r="A27" s="65" t="s">
        <v>37</v>
      </c>
      <c r="B27" s="220" t="s">
        <v>11</v>
      </c>
      <c r="C27" s="221"/>
      <c r="D27" s="221"/>
      <c r="E27" s="221"/>
      <c r="F27" s="221"/>
      <c r="G27" s="221"/>
      <c r="H27" s="221"/>
      <c r="I27" s="221"/>
      <c r="J27" s="222"/>
      <c r="K27" s="223"/>
      <c r="L27" s="218" t="s">
        <v>12</v>
      </c>
      <c r="M27" s="212"/>
      <c r="N27" s="212"/>
      <c r="O27" s="212"/>
      <c r="P27" s="212"/>
      <c r="Q27" s="212"/>
      <c r="R27" s="212"/>
      <c r="S27" s="212"/>
      <c r="T27" s="212"/>
      <c r="U27" s="212"/>
      <c r="V27" s="219"/>
      <c r="W27" s="227" t="s">
        <v>13</v>
      </c>
      <c r="X27" s="228"/>
      <c r="Y27" s="228"/>
      <c r="Z27" s="228"/>
      <c r="AA27" s="228"/>
      <c r="AB27" s="228"/>
      <c r="AC27" s="228"/>
      <c r="AD27" s="228"/>
      <c r="AE27" s="229"/>
      <c r="AF27" s="218" t="s">
        <v>14</v>
      </c>
      <c r="AG27" s="212"/>
      <c r="AH27" s="212"/>
      <c r="AI27" s="212"/>
      <c r="AJ27" s="212"/>
      <c r="AK27" s="212"/>
      <c r="AL27" s="212"/>
      <c r="AM27" s="213"/>
      <c r="AN27" s="218" t="s">
        <v>71</v>
      </c>
      <c r="AO27" s="212"/>
      <c r="AP27" s="212"/>
      <c r="AQ27" s="212"/>
      <c r="AR27" s="212"/>
      <c r="AS27" s="212"/>
      <c r="AT27" s="212"/>
      <c r="AU27" s="212"/>
      <c r="AV27" s="224" t="s">
        <v>9</v>
      </c>
      <c r="AW27" s="225"/>
      <c r="AX27" s="226"/>
      <c r="AY27" s="212" t="s">
        <v>15</v>
      </c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3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218" t="s">
        <v>16</v>
      </c>
      <c r="CA27" s="212"/>
      <c r="CB27" s="219"/>
      <c r="CC27" s="214" t="s">
        <v>17</v>
      </c>
      <c r="CD27" s="215"/>
      <c r="CE27" s="217"/>
    </row>
    <row r="28" spans="1:83" s="9" customFormat="1" ht="96" customHeight="1" thickBot="1">
      <c r="A28" s="65"/>
      <c r="B28" s="66" t="s">
        <v>18</v>
      </c>
      <c r="C28" s="123" t="s">
        <v>63</v>
      </c>
      <c r="D28" s="123" t="s">
        <v>62</v>
      </c>
      <c r="E28" s="123" t="s">
        <v>64</v>
      </c>
      <c r="F28" s="123" t="s">
        <v>56</v>
      </c>
      <c r="G28" s="123" t="s">
        <v>58</v>
      </c>
      <c r="H28" s="123"/>
      <c r="I28" s="123"/>
      <c r="J28" s="67" t="s">
        <v>19</v>
      </c>
      <c r="K28" s="68" t="s">
        <v>20</v>
      </c>
      <c r="L28" s="66" t="s">
        <v>18</v>
      </c>
      <c r="M28" s="123" t="s">
        <v>63</v>
      </c>
      <c r="N28" s="123" t="s">
        <v>62</v>
      </c>
      <c r="O28" s="123" t="s">
        <v>65</v>
      </c>
      <c r="P28" s="123" t="s">
        <v>66</v>
      </c>
      <c r="Q28" s="123" t="s">
        <v>67</v>
      </c>
      <c r="R28" s="123" t="s">
        <v>68</v>
      </c>
      <c r="S28" s="123" t="s">
        <v>58</v>
      </c>
      <c r="T28" s="123"/>
      <c r="U28" s="67" t="s">
        <v>19</v>
      </c>
      <c r="V28" s="68" t="s">
        <v>20</v>
      </c>
      <c r="W28" s="66" t="s">
        <v>18</v>
      </c>
      <c r="X28" s="123" t="s">
        <v>63</v>
      </c>
      <c r="Y28" s="123" t="s">
        <v>62</v>
      </c>
      <c r="Z28" s="123" t="s">
        <v>64</v>
      </c>
      <c r="AA28" s="123" t="s">
        <v>69</v>
      </c>
      <c r="AB28" s="123" t="s">
        <v>70</v>
      </c>
      <c r="AC28" s="123" t="s">
        <v>58</v>
      </c>
      <c r="AD28" s="67" t="s">
        <v>19</v>
      </c>
      <c r="AE28" s="68" t="s">
        <v>20</v>
      </c>
      <c r="AF28" s="66" t="s">
        <v>18</v>
      </c>
      <c r="AG28" s="121" t="s">
        <v>54</v>
      </c>
      <c r="AH28" s="123" t="s">
        <v>62</v>
      </c>
      <c r="AI28" s="123" t="s">
        <v>64</v>
      </c>
      <c r="AJ28" s="121"/>
      <c r="AK28" s="121"/>
      <c r="AL28" s="67" t="s">
        <v>19</v>
      </c>
      <c r="AM28" s="68" t="s">
        <v>20</v>
      </c>
      <c r="AN28" s="66" t="s">
        <v>18</v>
      </c>
      <c r="AO28" s="121" t="s">
        <v>72</v>
      </c>
      <c r="AP28" s="123" t="s">
        <v>62</v>
      </c>
      <c r="AQ28" s="123" t="s">
        <v>58</v>
      </c>
      <c r="AR28" s="121"/>
      <c r="AS28" s="121"/>
      <c r="AT28" s="67" t="s">
        <v>19</v>
      </c>
      <c r="AU28" s="208" t="s">
        <v>20</v>
      </c>
      <c r="AV28" s="73" t="s">
        <v>18</v>
      </c>
      <c r="AW28" s="69" t="s">
        <v>19</v>
      </c>
      <c r="AX28" s="74" t="s">
        <v>20</v>
      </c>
      <c r="AY28" s="151" t="s">
        <v>18</v>
      </c>
      <c r="AZ28" s="121" t="s">
        <v>73</v>
      </c>
      <c r="BA28" s="121" t="s">
        <v>74</v>
      </c>
      <c r="BB28" s="121" t="s">
        <v>76</v>
      </c>
      <c r="BC28" s="121" t="s">
        <v>75</v>
      </c>
      <c r="BD28" s="121" t="s">
        <v>77</v>
      </c>
      <c r="BE28" s="121" t="s">
        <v>78</v>
      </c>
      <c r="BF28" s="121" t="s">
        <v>79</v>
      </c>
      <c r="BG28" s="121" t="s">
        <v>67</v>
      </c>
      <c r="BH28" s="121" t="s">
        <v>80</v>
      </c>
      <c r="BI28" s="121" t="s">
        <v>81</v>
      </c>
      <c r="BJ28" s="121" t="s">
        <v>82</v>
      </c>
      <c r="BK28" s="121" t="s">
        <v>83</v>
      </c>
      <c r="BL28" s="121" t="s">
        <v>84</v>
      </c>
      <c r="BM28" s="121" t="s">
        <v>85</v>
      </c>
      <c r="BN28" s="121" t="s">
        <v>59</v>
      </c>
      <c r="BO28" s="121" t="s">
        <v>86</v>
      </c>
      <c r="BP28" s="121" t="s">
        <v>87</v>
      </c>
      <c r="BQ28" s="121" t="s">
        <v>88</v>
      </c>
      <c r="BR28" s="121" t="s">
        <v>89</v>
      </c>
      <c r="BS28" s="121" t="s">
        <v>90</v>
      </c>
      <c r="BT28" s="121" t="s">
        <v>91</v>
      </c>
      <c r="BU28" s="121" t="s">
        <v>93</v>
      </c>
      <c r="BV28" s="121" t="s">
        <v>94</v>
      </c>
      <c r="BW28" s="121" t="s">
        <v>95</v>
      </c>
      <c r="BX28" s="4" t="s">
        <v>19</v>
      </c>
      <c r="BY28" s="68" t="s">
        <v>20</v>
      </c>
      <c r="BZ28" s="54" t="s">
        <v>18</v>
      </c>
      <c r="CA28" s="4" t="s">
        <v>19</v>
      </c>
      <c r="CB28" s="5" t="s">
        <v>20</v>
      </c>
      <c r="CC28" s="54" t="s">
        <v>18</v>
      </c>
      <c r="CD28" s="4" t="s">
        <v>19</v>
      </c>
      <c r="CE28" s="5" t="s">
        <v>20</v>
      </c>
    </row>
    <row r="29" spans="1:83" s="14" customFormat="1" ht="18" customHeight="1">
      <c r="A29" s="75" t="s">
        <v>5</v>
      </c>
      <c r="B29" s="31">
        <v>18678</v>
      </c>
      <c r="C29" s="129">
        <f>217+767</f>
        <v>984</v>
      </c>
      <c r="D29" s="129"/>
      <c r="E29" s="129">
        <v>772</v>
      </c>
      <c r="F29" s="129"/>
      <c r="G29" s="129"/>
      <c r="H29" s="129"/>
      <c r="I29" s="129"/>
      <c r="J29" s="31">
        <f aca="true" t="shared" si="71" ref="J29:J48">SUM(B29:I29)</f>
        <v>20434</v>
      </c>
      <c r="K29" s="32">
        <f>J29-B29</f>
        <v>1756</v>
      </c>
      <c r="L29" s="143">
        <v>36448</v>
      </c>
      <c r="M29" s="31">
        <f>55+1032</f>
        <v>1087</v>
      </c>
      <c r="N29" s="31"/>
      <c r="O29" s="31"/>
      <c r="P29" s="31"/>
      <c r="Q29" s="31">
        <f>405</f>
        <v>405</v>
      </c>
      <c r="R29" s="31"/>
      <c r="S29" s="31">
        <v>-293</v>
      </c>
      <c r="T29" s="31"/>
      <c r="U29" s="31">
        <f aca="true" t="shared" si="72" ref="U29:U48">SUM(L29:T29)</f>
        <v>37647</v>
      </c>
      <c r="V29" s="32">
        <f>U29-L29</f>
        <v>1199</v>
      </c>
      <c r="W29" s="31">
        <v>28125</v>
      </c>
      <c r="X29" s="31">
        <f>154+758</f>
        <v>912</v>
      </c>
      <c r="Y29" s="31">
        <v>300</v>
      </c>
      <c r="Z29" s="31">
        <v>315</v>
      </c>
      <c r="AA29" s="31"/>
      <c r="AB29" s="31">
        <v>400</v>
      </c>
      <c r="AC29" s="31"/>
      <c r="AD29" s="31">
        <f aca="true" t="shared" si="73" ref="AD29:AD48">SUM(W29:AC29)</f>
        <v>30052</v>
      </c>
      <c r="AE29" s="32">
        <f>AD29-W29</f>
        <v>1927</v>
      </c>
      <c r="AF29" s="31">
        <v>186960</v>
      </c>
      <c r="AG29" s="31">
        <v>821</v>
      </c>
      <c r="AH29" s="31">
        <v>1640</v>
      </c>
      <c r="AI29" s="31">
        <v>441</v>
      </c>
      <c r="AJ29" s="31"/>
      <c r="AK29" s="31"/>
      <c r="AL29" s="31">
        <f aca="true" t="shared" si="74" ref="AL29:AL48">SUM(AF29:AK29)</f>
        <v>189862</v>
      </c>
      <c r="AM29" s="32">
        <f>AL29-AF29</f>
        <v>2902</v>
      </c>
      <c r="AN29" s="31">
        <v>124451</v>
      </c>
      <c r="AO29" s="31">
        <f>8551+1506</f>
        <v>10057</v>
      </c>
      <c r="AP29" s="31">
        <v>5992</v>
      </c>
      <c r="AQ29" s="31"/>
      <c r="AR29" s="31"/>
      <c r="AS29" s="31"/>
      <c r="AT29" s="31">
        <f aca="true" t="shared" si="75" ref="AT29:AT48">SUM(AN29:AS29)</f>
        <v>140500</v>
      </c>
      <c r="AU29" s="181">
        <f>AT29-AN29</f>
        <v>16049</v>
      </c>
      <c r="AV29" s="201">
        <f aca="true" t="shared" si="76" ref="AV29:AV37">B29+L29+W29+AF29+AN29</f>
        <v>394662</v>
      </c>
      <c r="AW29" s="92">
        <f aca="true" t="shared" si="77" ref="AW29:AW37">J29+U29+AD29+AL29+AT29</f>
        <v>418495</v>
      </c>
      <c r="AX29" s="93">
        <f>AW29-AV29</f>
        <v>23833</v>
      </c>
      <c r="AY29" s="192">
        <v>40334</v>
      </c>
      <c r="AZ29" s="31"/>
      <c r="BA29" s="31">
        <v>1000</v>
      </c>
      <c r="BB29" s="31"/>
      <c r="BC29" s="31"/>
      <c r="BD29" s="31"/>
      <c r="BE29" s="31"/>
      <c r="BF29" s="31"/>
      <c r="BG29" s="31">
        <f>82+118</f>
        <v>200</v>
      </c>
      <c r="BH29" s="31">
        <v>1102</v>
      </c>
      <c r="BI29" s="31"/>
      <c r="BJ29" s="31"/>
      <c r="BK29" s="31"/>
      <c r="BL29" s="31">
        <v>100</v>
      </c>
      <c r="BM29" s="31"/>
      <c r="BN29" s="31"/>
      <c r="BO29" s="31"/>
      <c r="BP29" s="31"/>
      <c r="BQ29" s="31"/>
      <c r="BR29" s="31"/>
      <c r="BS29" s="31"/>
      <c r="BT29" s="31">
        <v>520</v>
      </c>
      <c r="BU29" s="31"/>
      <c r="BV29" s="31"/>
      <c r="BW29" s="31">
        <v>13</v>
      </c>
      <c r="BX29" s="78">
        <f aca="true" t="shared" si="78" ref="BX29:BX48">SUM(AY29:BW29)</f>
        <v>43269</v>
      </c>
      <c r="BY29" s="32">
        <f>BX29-AY29</f>
        <v>2935</v>
      </c>
      <c r="BZ29" s="94">
        <f>AV29+AY29</f>
        <v>434996</v>
      </c>
      <c r="CA29" s="94">
        <f aca="true" t="shared" si="79" ref="CA29:CA48">BX29+AW29</f>
        <v>461764</v>
      </c>
      <c r="CB29" s="95">
        <f>CA29-BZ29</f>
        <v>26768</v>
      </c>
      <c r="CC29" s="169">
        <f aca="true" t="shared" si="80" ref="CC29:CD32">BZ29</f>
        <v>434996</v>
      </c>
      <c r="CD29" s="33">
        <f t="shared" si="80"/>
        <v>461764</v>
      </c>
      <c r="CE29" s="34">
        <f>CD29-CC29</f>
        <v>26768</v>
      </c>
    </row>
    <row r="30" spans="1:83" s="14" customFormat="1" ht="18" customHeight="1">
      <c r="A30" s="83" t="s">
        <v>6</v>
      </c>
      <c r="B30" s="17">
        <v>4128</v>
      </c>
      <c r="C30" s="125">
        <f>42+169</f>
        <v>211</v>
      </c>
      <c r="D30" s="125"/>
      <c r="E30" s="125">
        <v>88</v>
      </c>
      <c r="F30" s="125"/>
      <c r="G30" s="125"/>
      <c r="H30" s="125"/>
      <c r="I30" s="125"/>
      <c r="J30" s="17">
        <f t="shared" si="71"/>
        <v>4427</v>
      </c>
      <c r="K30" s="18">
        <f>J30-B30</f>
        <v>299</v>
      </c>
      <c r="L30" s="141">
        <v>8381</v>
      </c>
      <c r="M30" s="17">
        <f>10+227</f>
        <v>237</v>
      </c>
      <c r="N30" s="17"/>
      <c r="O30" s="17"/>
      <c r="P30" s="17"/>
      <c r="Q30" s="17">
        <v>47</v>
      </c>
      <c r="R30" s="17"/>
      <c r="S30" s="17">
        <v>293</v>
      </c>
      <c r="T30" s="17"/>
      <c r="U30" s="17">
        <f t="shared" si="72"/>
        <v>8958</v>
      </c>
      <c r="V30" s="18">
        <f>U30-L30</f>
        <v>577</v>
      </c>
      <c r="W30" s="17">
        <v>6105</v>
      </c>
      <c r="X30" s="17">
        <f>32+167</f>
        <v>199</v>
      </c>
      <c r="Y30" s="17">
        <v>81</v>
      </c>
      <c r="Z30" s="17">
        <v>37</v>
      </c>
      <c r="AA30" s="17"/>
      <c r="AB30" s="17">
        <v>88</v>
      </c>
      <c r="AC30" s="17"/>
      <c r="AD30" s="17">
        <f t="shared" si="73"/>
        <v>6510</v>
      </c>
      <c r="AE30" s="18">
        <f>AD30-W30</f>
        <v>405</v>
      </c>
      <c r="AF30" s="17">
        <v>46284</v>
      </c>
      <c r="AG30" s="17">
        <f>168</f>
        <v>168</v>
      </c>
      <c r="AH30" s="17">
        <v>360</v>
      </c>
      <c r="AI30" s="17">
        <v>50</v>
      </c>
      <c r="AJ30" s="17"/>
      <c r="AK30" s="17"/>
      <c r="AL30" s="17">
        <f t="shared" si="74"/>
        <v>46862</v>
      </c>
      <c r="AM30" s="18">
        <f>AL30-AF30</f>
        <v>578</v>
      </c>
      <c r="AN30" s="17">
        <v>29639</v>
      </c>
      <c r="AO30" s="17">
        <f>1932+305</f>
        <v>2237</v>
      </c>
      <c r="AP30" s="17"/>
      <c r="AQ30" s="17"/>
      <c r="AR30" s="17"/>
      <c r="AS30" s="17"/>
      <c r="AT30" s="17">
        <f t="shared" si="75"/>
        <v>31876</v>
      </c>
      <c r="AU30" s="178">
        <f>AT30-AN30</f>
        <v>2237</v>
      </c>
      <c r="AV30" s="201">
        <f t="shared" si="76"/>
        <v>94537</v>
      </c>
      <c r="AW30" s="80">
        <f t="shared" si="77"/>
        <v>98633</v>
      </c>
      <c r="AX30" s="81">
        <f>AW30-AV30</f>
        <v>4096</v>
      </c>
      <c r="AY30" s="189">
        <v>9519</v>
      </c>
      <c r="AZ30" s="17"/>
      <c r="BA30" s="17">
        <v>220</v>
      </c>
      <c r="BB30" s="17"/>
      <c r="BC30" s="17"/>
      <c r="BD30" s="17"/>
      <c r="BE30" s="17"/>
      <c r="BF30" s="17"/>
      <c r="BG30" s="17">
        <f>9+13</f>
        <v>22</v>
      </c>
      <c r="BH30" s="17"/>
      <c r="BI30" s="17"/>
      <c r="BJ30" s="17"/>
      <c r="BK30" s="17"/>
      <c r="BL30" s="17">
        <v>43</v>
      </c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>
        <v>-13</v>
      </c>
      <c r="BX30" s="82">
        <f t="shared" si="78"/>
        <v>9791</v>
      </c>
      <c r="BY30" s="18">
        <f>BX30-AY30</f>
        <v>272</v>
      </c>
      <c r="BZ30" s="82">
        <f>AV30+AY30</f>
        <v>104056</v>
      </c>
      <c r="CA30" s="82">
        <f t="shared" si="79"/>
        <v>108424</v>
      </c>
      <c r="CB30" s="84">
        <f>CA30-BZ30</f>
        <v>4368</v>
      </c>
      <c r="CC30" s="167">
        <f t="shared" si="80"/>
        <v>104056</v>
      </c>
      <c r="CD30" s="19">
        <f t="shared" si="80"/>
        <v>108424</v>
      </c>
      <c r="CE30" s="20">
        <f>CD30-CC30</f>
        <v>4368</v>
      </c>
    </row>
    <row r="31" spans="1:83" s="14" customFormat="1" ht="18" customHeight="1">
      <c r="A31" s="83" t="s">
        <v>7</v>
      </c>
      <c r="B31" s="17">
        <v>13185</v>
      </c>
      <c r="C31" s="125"/>
      <c r="D31" s="125">
        <v>1398</v>
      </c>
      <c r="E31" s="125"/>
      <c r="F31" s="125">
        <v>978</v>
      </c>
      <c r="G31" s="125">
        <f>-287</f>
        <v>-287</v>
      </c>
      <c r="H31" s="125"/>
      <c r="I31" s="125"/>
      <c r="J31" s="17">
        <f t="shared" si="71"/>
        <v>15274</v>
      </c>
      <c r="K31" s="18">
        <f>J31-B31</f>
        <v>2089</v>
      </c>
      <c r="L31" s="141">
        <v>69324</v>
      </c>
      <c r="M31" s="17"/>
      <c r="N31" s="17">
        <v>7217</v>
      </c>
      <c r="O31" s="17">
        <v>300</v>
      </c>
      <c r="P31" s="17">
        <v>800</v>
      </c>
      <c r="Q31" s="17">
        <v>32</v>
      </c>
      <c r="R31" s="17">
        <v>1252</v>
      </c>
      <c r="S31" s="17"/>
      <c r="T31" s="17"/>
      <c r="U31" s="17">
        <f t="shared" si="72"/>
        <v>78925</v>
      </c>
      <c r="V31" s="18">
        <f>U31-L31</f>
        <v>9601</v>
      </c>
      <c r="W31" s="17">
        <v>10225</v>
      </c>
      <c r="X31" s="17"/>
      <c r="Y31" s="17">
        <v>4002</v>
      </c>
      <c r="Z31" s="17"/>
      <c r="AA31" s="17">
        <v>600</v>
      </c>
      <c r="AB31" s="17"/>
      <c r="AC31" s="17">
        <v>-200</v>
      </c>
      <c r="AD31" s="17">
        <f t="shared" si="73"/>
        <v>14627</v>
      </c>
      <c r="AE31" s="18">
        <f>AD31-W31</f>
        <v>4402</v>
      </c>
      <c r="AF31" s="17">
        <v>65100</v>
      </c>
      <c r="AG31" s="17"/>
      <c r="AH31" s="17">
        <v>1000</v>
      </c>
      <c r="AI31" s="17"/>
      <c r="AJ31" s="17"/>
      <c r="AK31" s="17"/>
      <c r="AL31" s="17">
        <f t="shared" si="74"/>
        <v>66100</v>
      </c>
      <c r="AM31" s="18">
        <f>AL31-AF31</f>
        <v>1000</v>
      </c>
      <c r="AN31" s="17">
        <v>79460</v>
      </c>
      <c r="AO31" s="17"/>
      <c r="AP31" s="17"/>
      <c r="AQ31" s="17">
        <v>-699</v>
      </c>
      <c r="AR31" s="17"/>
      <c r="AS31" s="17"/>
      <c r="AT31" s="17">
        <f t="shared" si="75"/>
        <v>78761</v>
      </c>
      <c r="AU31" s="178">
        <f>AT31-AN31</f>
        <v>-699</v>
      </c>
      <c r="AV31" s="201">
        <f t="shared" si="76"/>
        <v>237294</v>
      </c>
      <c r="AW31" s="80">
        <f t="shared" si="77"/>
        <v>253687</v>
      </c>
      <c r="AX31" s="81">
        <f>AW31-AV31</f>
        <v>16393</v>
      </c>
      <c r="AY31" s="189">
        <v>507323</v>
      </c>
      <c r="AZ31" s="17"/>
      <c r="BA31" s="17">
        <v>5620</v>
      </c>
      <c r="BB31" s="17">
        <v>4522</v>
      </c>
      <c r="BC31" s="17">
        <f>3500+1577</f>
        <v>5077</v>
      </c>
      <c r="BD31" s="17">
        <v>-1032</v>
      </c>
      <c r="BE31" s="17"/>
      <c r="BF31" s="17"/>
      <c r="BG31" s="17"/>
      <c r="BH31" s="17">
        <v>7898</v>
      </c>
      <c r="BI31" s="17">
        <v>379</v>
      </c>
      <c r="BJ31" s="17"/>
      <c r="BK31" s="17"/>
      <c r="BL31" s="17">
        <v>541</v>
      </c>
      <c r="BM31" s="17"/>
      <c r="BN31" s="17"/>
      <c r="BO31" s="17">
        <v>1616</v>
      </c>
      <c r="BP31" s="17"/>
      <c r="BQ31" s="17"/>
      <c r="BR31" s="17"/>
      <c r="BS31" s="17"/>
      <c r="BT31" s="17"/>
      <c r="BU31" s="17">
        <v>2850</v>
      </c>
      <c r="BV31" s="17">
        <v>208</v>
      </c>
      <c r="BW31" s="17">
        <v>-235</v>
      </c>
      <c r="BX31" s="82">
        <f t="shared" si="78"/>
        <v>534767</v>
      </c>
      <c r="BY31" s="18">
        <f>BX31-AY31</f>
        <v>27444</v>
      </c>
      <c r="BZ31" s="82">
        <f>AV31+AY31</f>
        <v>744617</v>
      </c>
      <c r="CA31" s="82">
        <f t="shared" si="79"/>
        <v>788454</v>
      </c>
      <c r="CB31" s="84">
        <f>CA31-BZ31</f>
        <v>43837</v>
      </c>
      <c r="CC31" s="167">
        <f t="shared" si="80"/>
        <v>744617</v>
      </c>
      <c r="CD31" s="19">
        <f t="shared" si="80"/>
        <v>788454</v>
      </c>
      <c r="CE31" s="20">
        <f>CD31-CC31</f>
        <v>43837</v>
      </c>
    </row>
    <row r="32" spans="1:83" s="14" customFormat="1" ht="18" customHeight="1">
      <c r="A32" s="83" t="s">
        <v>8</v>
      </c>
      <c r="B32" s="17"/>
      <c r="C32" s="125"/>
      <c r="D32" s="125"/>
      <c r="E32" s="125"/>
      <c r="F32" s="125"/>
      <c r="G32" s="125"/>
      <c r="H32" s="125"/>
      <c r="I32" s="125"/>
      <c r="J32" s="17">
        <f t="shared" si="71"/>
        <v>0</v>
      </c>
      <c r="K32" s="18">
        <f>J32-B32</f>
        <v>0</v>
      </c>
      <c r="L32" s="141"/>
      <c r="M32" s="17"/>
      <c r="N32" s="17"/>
      <c r="O32" s="17"/>
      <c r="P32" s="17"/>
      <c r="Q32" s="17"/>
      <c r="R32" s="17"/>
      <c r="S32" s="17"/>
      <c r="T32" s="17"/>
      <c r="U32" s="17">
        <f t="shared" si="72"/>
        <v>0</v>
      </c>
      <c r="V32" s="18">
        <f>U32-L32</f>
        <v>0</v>
      </c>
      <c r="W32" s="17"/>
      <c r="X32" s="17"/>
      <c r="Y32" s="17"/>
      <c r="Z32" s="17"/>
      <c r="AA32" s="17"/>
      <c r="AB32" s="17"/>
      <c r="AC32" s="17"/>
      <c r="AD32" s="17">
        <f t="shared" si="73"/>
        <v>0</v>
      </c>
      <c r="AE32" s="18">
        <f>AD32-W32</f>
        <v>0</v>
      </c>
      <c r="AF32" s="17"/>
      <c r="AG32" s="17"/>
      <c r="AH32" s="17"/>
      <c r="AI32" s="17"/>
      <c r="AJ32" s="17"/>
      <c r="AK32" s="17"/>
      <c r="AL32" s="17">
        <f t="shared" si="74"/>
        <v>0</v>
      </c>
      <c r="AM32" s="18">
        <f>AL32-AF32</f>
        <v>0</v>
      </c>
      <c r="AN32" s="17"/>
      <c r="AO32" s="17"/>
      <c r="AP32" s="17"/>
      <c r="AQ32" s="17"/>
      <c r="AR32" s="17"/>
      <c r="AS32" s="17"/>
      <c r="AT32" s="17">
        <f t="shared" si="75"/>
        <v>0</v>
      </c>
      <c r="AU32" s="178">
        <f>AT32-AN32</f>
        <v>0</v>
      </c>
      <c r="AV32" s="201">
        <f t="shared" si="76"/>
        <v>0</v>
      </c>
      <c r="AW32" s="80">
        <f t="shared" si="77"/>
        <v>0</v>
      </c>
      <c r="AX32" s="81">
        <f>AW32-AV32</f>
        <v>0</v>
      </c>
      <c r="AY32" s="189">
        <v>26800</v>
      </c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82">
        <f t="shared" si="78"/>
        <v>26800</v>
      </c>
      <c r="BY32" s="18">
        <f>BX32-AY32</f>
        <v>0</v>
      </c>
      <c r="BZ32" s="82">
        <f>AV32+AY32</f>
        <v>26800</v>
      </c>
      <c r="CA32" s="82">
        <f t="shared" si="79"/>
        <v>26800</v>
      </c>
      <c r="CB32" s="84">
        <f>CA32-BZ32</f>
        <v>0</v>
      </c>
      <c r="CC32" s="167">
        <f t="shared" si="80"/>
        <v>26800</v>
      </c>
      <c r="CD32" s="19">
        <f t="shared" si="80"/>
        <v>26800</v>
      </c>
      <c r="CE32" s="20">
        <f>CD32-CC32</f>
        <v>0</v>
      </c>
    </row>
    <row r="33" spans="1:83" s="14" customFormat="1" ht="18" customHeight="1">
      <c r="A33" s="83" t="s">
        <v>38</v>
      </c>
      <c r="B33" s="17">
        <f aca="true" t="shared" si="81" ref="B33:I33">SUM(B34:B37)</f>
        <v>0</v>
      </c>
      <c r="C33" s="125">
        <f t="shared" si="81"/>
        <v>0</v>
      </c>
      <c r="D33" s="125">
        <f t="shared" si="81"/>
        <v>0</v>
      </c>
      <c r="E33" s="125">
        <f t="shared" si="81"/>
        <v>0</v>
      </c>
      <c r="F33" s="125">
        <f t="shared" si="81"/>
        <v>0</v>
      </c>
      <c r="G33" s="125">
        <f t="shared" si="81"/>
        <v>0</v>
      </c>
      <c r="H33" s="125">
        <f t="shared" si="81"/>
        <v>0</v>
      </c>
      <c r="I33" s="125">
        <f t="shared" si="81"/>
        <v>0</v>
      </c>
      <c r="J33" s="17">
        <f t="shared" si="71"/>
        <v>0</v>
      </c>
      <c r="K33" s="18">
        <f aca="true" t="shared" si="82" ref="K33:T33">SUM(K34:K37)</f>
        <v>0</v>
      </c>
      <c r="L33" s="141">
        <f t="shared" si="82"/>
        <v>0</v>
      </c>
      <c r="M33" s="17">
        <f t="shared" si="82"/>
        <v>0</v>
      </c>
      <c r="N33" s="17">
        <f t="shared" si="82"/>
        <v>0</v>
      </c>
      <c r="O33" s="17">
        <f t="shared" si="82"/>
        <v>0</v>
      </c>
      <c r="P33" s="17">
        <f t="shared" si="82"/>
        <v>0</v>
      </c>
      <c r="Q33" s="17">
        <f t="shared" si="82"/>
        <v>0</v>
      </c>
      <c r="R33" s="17">
        <f t="shared" si="82"/>
        <v>0</v>
      </c>
      <c r="S33" s="17">
        <f t="shared" si="82"/>
        <v>0</v>
      </c>
      <c r="T33" s="17">
        <f t="shared" si="82"/>
        <v>0</v>
      </c>
      <c r="U33" s="17">
        <f t="shared" si="72"/>
        <v>0</v>
      </c>
      <c r="V33" s="18">
        <f aca="true" t="shared" si="83" ref="V33:AC33">SUM(V34:V37)</f>
        <v>0</v>
      </c>
      <c r="W33" s="17">
        <f t="shared" si="83"/>
        <v>0</v>
      </c>
      <c r="X33" s="17">
        <f t="shared" si="83"/>
        <v>0</v>
      </c>
      <c r="Y33" s="17">
        <f t="shared" si="83"/>
        <v>0</v>
      </c>
      <c r="Z33" s="17">
        <f t="shared" si="83"/>
        <v>0</v>
      </c>
      <c r="AA33" s="17">
        <f t="shared" si="83"/>
        <v>0</v>
      </c>
      <c r="AB33" s="17">
        <f t="shared" si="83"/>
        <v>0</v>
      </c>
      <c r="AC33" s="17">
        <f t="shared" si="83"/>
        <v>0</v>
      </c>
      <c r="AD33" s="17">
        <f t="shared" si="73"/>
        <v>0</v>
      </c>
      <c r="AE33" s="18">
        <f aca="true" t="shared" si="84" ref="AE33:AK33">SUM(AE34:AE37)</f>
        <v>0</v>
      </c>
      <c r="AF33" s="17">
        <f t="shared" si="84"/>
        <v>0</v>
      </c>
      <c r="AG33" s="17">
        <f t="shared" si="84"/>
        <v>0</v>
      </c>
      <c r="AH33" s="17">
        <f t="shared" si="84"/>
        <v>1001</v>
      </c>
      <c r="AI33" s="17">
        <f t="shared" si="84"/>
        <v>0</v>
      </c>
      <c r="AJ33" s="17">
        <f t="shared" si="84"/>
        <v>0</v>
      </c>
      <c r="AK33" s="17">
        <f t="shared" si="84"/>
        <v>0</v>
      </c>
      <c r="AL33" s="17">
        <f t="shared" si="74"/>
        <v>1001</v>
      </c>
      <c r="AM33" s="18">
        <f aca="true" t="shared" si="85" ref="AM33:AS33">SUM(AM34:AM37)</f>
        <v>1001</v>
      </c>
      <c r="AN33" s="17">
        <f t="shared" si="85"/>
        <v>0</v>
      </c>
      <c r="AO33" s="17">
        <f t="shared" si="85"/>
        <v>0</v>
      </c>
      <c r="AP33" s="17">
        <f t="shared" si="85"/>
        <v>1579</v>
      </c>
      <c r="AQ33" s="17">
        <f t="shared" si="85"/>
        <v>0</v>
      </c>
      <c r="AR33" s="17">
        <f t="shared" si="85"/>
        <v>0</v>
      </c>
      <c r="AS33" s="17">
        <f t="shared" si="85"/>
        <v>0</v>
      </c>
      <c r="AT33" s="17">
        <f t="shared" si="75"/>
        <v>1579</v>
      </c>
      <c r="AU33" s="178">
        <f>SUM(AU34:AU37)</f>
        <v>1579</v>
      </c>
      <c r="AV33" s="199">
        <f t="shared" si="76"/>
        <v>0</v>
      </c>
      <c r="AW33" s="80">
        <f t="shared" si="77"/>
        <v>2580</v>
      </c>
      <c r="AX33" s="81">
        <f aca="true" t="shared" si="86" ref="AX33:BW33">SUM(AX34:AX37)</f>
        <v>2580</v>
      </c>
      <c r="AY33" s="189">
        <f t="shared" si="86"/>
        <v>394949</v>
      </c>
      <c r="AZ33" s="17">
        <f t="shared" si="86"/>
        <v>15057</v>
      </c>
      <c r="BA33" s="17">
        <f t="shared" si="86"/>
        <v>0</v>
      </c>
      <c r="BB33" s="17">
        <f t="shared" si="86"/>
        <v>0</v>
      </c>
      <c r="BC33" s="17">
        <f t="shared" si="86"/>
        <v>10067</v>
      </c>
      <c r="BD33" s="17">
        <f t="shared" si="86"/>
        <v>1364</v>
      </c>
      <c r="BE33" s="17">
        <f t="shared" si="86"/>
        <v>0</v>
      </c>
      <c r="BF33" s="17">
        <f t="shared" si="86"/>
        <v>-1200</v>
      </c>
      <c r="BG33" s="17">
        <f t="shared" si="86"/>
        <v>0</v>
      </c>
      <c r="BH33" s="17">
        <f t="shared" si="86"/>
        <v>0</v>
      </c>
      <c r="BI33" s="17">
        <f t="shared" si="86"/>
        <v>0</v>
      </c>
      <c r="BJ33" s="17">
        <f t="shared" si="86"/>
        <v>-488</v>
      </c>
      <c r="BK33" s="17">
        <f t="shared" si="86"/>
        <v>-4480</v>
      </c>
      <c r="BL33" s="17">
        <f t="shared" si="86"/>
        <v>-384</v>
      </c>
      <c r="BM33" s="17">
        <f t="shared" si="86"/>
        <v>0</v>
      </c>
      <c r="BN33" s="17">
        <f t="shared" si="86"/>
        <v>0</v>
      </c>
      <c r="BO33" s="17">
        <f t="shared" si="86"/>
        <v>0</v>
      </c>
      <c r="BP33" s="17">
        <f t="shared" si="86"/>
        <v>0</v>
      </c>
      <c r="BQ33" s="17">
        <f t="shared" si="86"/>
        <v>0</v>
      </c>
      <c r="BR33" s="17">
        <f t="shared" si="86"/>
        <v>0</v>
      </c>
      <c r="BS33" s="17">
        <f t="shared" si="86"/>
        <v>0</v>
      </c>
      <c r="BT33" s="17">
        <f t="shared" si="86"/>
        <v>-520</v>
      </c>
      <c r="BU33" s="17">
        <f t="shared" si="86"/>
        <v>0</v>
      </c>
      <c r="BV33" s="17">
        <f t="shared" si="86"/>
        <v>-208</v>
      </c>
      <c r="BW33" s="17">
        <f t="shared" si="86"/>
        <v>235</v>
      </c>
      <c r="BX33" s="82">
        <f t="shared" si="78"/>
        <v>414392</v>
      </c>
      <c r="BY33" s="18">
        <f>SUM(BY34:BY37)</f>
        <v>19443</v>
      </c>
      <c r="BZ33" s="82">
        <f>SUM(BZ34:BZ37)</f>
        <v>394949</v>
      </c>
      <c r="CA33" s="82">
        <f t="shared" si="79"/>
        <v>416972</v>
      </c>
      <c r="CB33" s="84">
        <f>SUM(CB34:CB37)</f>
        <v>22023</v>
      </c>
      <c r="CC33" s="167">
        <f>SUM(CC34:CC37)</f>
        <v>394949</v>
      </c>
      <c r="CD33" s="19">
        <f>SUM(CD34:CD37)</f>
        <v>416972</v>
      </c>
      <c r="CE33" s="20">
        <f>SUM(CE34:CE37)</f>
        <v>22023</v>
      </c>
    </row>
    <row r="34" spans="1:83" s="14" customFormat="1" ht="18" customHeight="1">
      <c r="A34" s="96" t="s">
        <v>39</v>
      </c>
      <c r="B34" s="125"/>
      <c r="C34" s="125"/>
      <c r="D34" s="125"/>
      <c r="E34" s="125"/>
      <c r="F34" s="125"/>
      <c r="G34" s="125"/>
      <c r="H34" s="125"/>
      <c r="I34" s="125"/>
      <c r="J34" s="125">
        <f t="shared" si="71"/>
        <v>0</v>
      </c>
      <c r="K34" s="126">
        <f>J34-B34</f>
        <v>0</v>
      </c>
      <c r="L34" s="140"/>
      <c r="M34" s="125"/>
      <c r="N34" s="125"/>
      <c r="O34" s="125"/>
      <c r="P34" s="125"/>
      <c r="Q34" s="125"/>
      <c r="R34" s="125"/>
      <c r="S34" s="125"/>
      <c r="T34" s="125"/>
      <c r="U34" s="125">
        <f t="shared" si="72"/>
        <v>0</v>
      </c>
      <c r="V34" s="126">
        <f>U34-L34</f>
        <v>0</v>
      </c>
      <c r="W34" s="15"/>
      <c r="X34" s="125"/>
      <c r="Y34" s="125"/>
      <c r="Z34" s="125"/>
      <c r="AA34" s="125"/>
      <c r="AB34" s="125"/>
      <c r="AC34" s="125"/>
      <c r="AD34" s="15">
        <f t="shared" si="73"/>
        <v>0</v>
      </c>
      <c r="AE34" s="16">
        <f>AD34-W34</f>
        <v>0</v>
      </c>
      <c r="AF34" s="15"/>
      <c r="AG34" s="15"/>
      <c r="AH34" s="15"/>
      <c r="AI34" s="15"/>
      <c r="AJ34" s="15"/>
      <c r="AK34" s="15"/>
      <c r="AL34" s="15">
        <f t="shared" si="74"/>
        <v>0</v>
      </c>
      <c r="AM34" s="16">
        <f>AL34-AF34</f>
        <v>0</v>
      </c>
      <c r="AN34" s="15"/>
      <c r="AO34" s="15"/>
      <c r="AP34" s="15"/>
      <c r="AQ34" s="15"/>
      <c r="AR34" s="15"/>
      <c r="AS34" s="15"/>
      <c r="AT34" s="15">
        <f t="shared" si="75"/>
        <v>0</v>
      </c>
      <c r="AU34" s="177">
        <f>AT34-AN34</f>
        <v>0</v>
      </c>
      <c r="AV34" s="199">
        <f t="shared" si="76"/>
        <v>0</v>
      </c>
      <c r="AW34" s="80">
        <f t="shared" si="77"/>
        <v>0</v>
      </c>
      <c r="AX34" s="81">
        <f>AW34-AV34</f>
        <v>0</v>
      </c>
      <c r="AY34" s="188">
        <v>0</v>
      </c>
      <c r="AZ34" s="15"/>
      <c r="BA34" s="15"/>
      <c r="BB34" s="15"/>
      <c r="BC34" s="15">
        <v>240</v>
      </c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>
        <f>10+235</f>
        <v>245</v>
      </c>
      <c r="BX34" s="82">
        <f t="shared" si="78"/>
        <v>485</v>
      </c>
      <c r="BY34" s="16">
        <f>BX34-AY34</f>
        <v>485</v>
      </c>
      <c r="BZ34" s="82">
        <f>AV34+AY34</f>
        <v>0</v>
      </c>
      <c r="CA34" s="80">
        <f t="shared" si="79"/>
        <v>485</v>
      </c>
      <c r="CB34" s="81">
        <f>CA34-BZ34</f>
        <v>485</v>
      </c>
      <c r="CC34" s="166">
        <f aca="true" t="shared" si="87" ref="CC34:CD37">BZ34</f>
        <v>0</v>
      </c>
      <c r="CD34" s="15">
        <f t="shared" si="87"/>
        <v>485</v>
      </c>
      <c r="CE34" s="16">
        <f>CD34-CC34</f>
        <v>485</v>
      </c>
    </row>
    <row r="35" spans="1:83" s="14" customFormat="1" ht="18" customHeight="1">
      <c r="A35" s="96" t="s">
        <v>40</v>
      </c>
      <c r="B35" s="125"/>
      <c r="C35" s="125"/>
      <c r="D35" s="125"/>
      <c r="E35" s="125"/>
      <c r="F35" s="125"/>
      <c r="G35" s="125"/>
      <c r="H35" s="125"/>
      <c r="I35" s="125"/>
      <c r="J35" s="125">
        <f t="shared" si="71"/>
        <v>0</v>
      </c>
      <c r="K35" s="126">
        <f>J35-B35</f>
        <v>0</v>
      </c>
      <c r="L35" s="140"/>
      <c r="M35" s="125"/>
      <c r="N35" s="125"/>
      <c r="O35" s="125"/>
      <c r="P35" s="125"/>
      <c r="Q35" s="125"/>
      <c r="R35" s="125"/>
      <c r="S35" s="125"/>
      <c r="T35" s="125"/>
      <c r="U35" s="125">
        <f t="shared" si="72"/>
        <v>0</v>
      </c>
      <c r="V35" s="126">
        <f>U35-L35</f>
        <v>0</v>
      </c>
      <c r="W35" s="15"/>
      <c r="X35" s="125"/>
      <c r="Y35" s="125"/>
      <c r="Z35" s="125"/>
      <c r="AA35" s="125"/>
      <c r="AB35" s="125"/>
      <c r="AC35" s="125"/>
      <c r="AD35" s="15">
        <f t="shared" si="73"/>
        <v>0</v>
      </c>
      <c r="AE35" s="16">
        <f>AD35-W35</f>
        <v>0</v>
      </c>
      <c r="AF35" s="15"/>
      <c r="AG35" s="15"/>
      <c r="AH35" s="15">
        <v>1001</v>
      </c>
      <c r="AI35" s="15"/>
      <c r="AJ35" s="15"/>
      <c r="AK35" s="15"/>
      <c r="AL35" s="15">
        <f t="shared" si="74"/>
        <v>1001</v>
      </c>
      <c r="AM35" s="16">
        <f>AL35-AF35</f>
        <v>1001</v>
      </c>
      <c r="AN35" s="15"/>
      <c r="AO35" s="15"/>
      <c r="AP35" s="15">
        <v>1579</v>
      </c>
      <c r="AQ35" s="15"/>
      <c r="AR35" s="15"/>
      <c r="AS35" s="15"/>
      <c r="AT35" s="15">
        <f t="shared" si="75"/>
        <v>1579</v>
      </c>
      <c r="AU35" s="177">
        <f>AT35-AN35</f>
        <v>1579</v>
      </c>
      <c r="AV35" s="199">
        <f t="shared" si="76"/>
        <v>0</v>
      </c>
      <c r="AW35" s="80">
        <f t="shared" si="77"/>
        <v>2580</v>
      </c>
      <c r="AX35" s="81">
        <f>AW35-AV35</f>
        <v>2580</v>
      </c>
      <c r="AY35" s="188">
        <v>316206</v>
      </c>
      <c r="AZ35" s="15">
        <f>62+992+579</f>
        <v>1633</v>
      </c>
      <c r="BA35" s="15"/>
      <c r="BB35" s="15"/>
      <c r="BC35" s="15"/>
      <c r="BD35" s="15">
        <v>1364</v>
      </c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82">
        <f t="shared" si="78"/>
        <v>319203</v>
      </c>
      <c r="BY35" s="16">
        <f>BX35-AY35</f>
        <v>2997</v>
      </c>
      <c r="BZ35" s="82">
        <f>AV35+AY35</f>
        <v>316206</v>
      </c>
      <c r="CA35" s="80">
        <f t="shared" si="79"/>
        <v>321783</v>
      </c>
      <c r="CB35" s="81">
        <f>CA35-BZ35</f>
        <v>5577</v>
      </c>
      <c r="CC35" s="166">
        <f t="shared" si="87"/>
        <v>316206</v>
      </c>
      <c r="CD35" s="15">
        <f t="shared" si="87"/>
        <v>321783</v>
      </c>
      <c r="CE35" s="16">
        <f>CD35-CC35</f>
        <v>5577</v>
      </c>
    </row>
    <row r="36" spans="1:83" s="14" customFormat="1" ht="18" customHeight="1">
      <c r="A36" s="96" t="s">
        <v>41</v>
      </c>
      <c r="B36" s="125"/>
      <c r="C36" s="125"/>
      <c r="D36" s="125"/>
      <c r="E36" s="125"/>
      <c r="F36" s="125"/>
      <c r="G36" s="125"/>
      <c r="H36" s="125"/>
      <c r="I36" s="125"/>
      <c r="J36" s="125">
        <f t="shared" si="71"/>
        <v>0</v>
      </c>
      <c r="K36" s="126">
        <f>J36-B36</f>
        <v>0</v>
      </c>
      <c r="L36" s="140"/>
      <c r="M36" s="125"/>
      <c r="N36" s="125"/>
      <c r="O36" s="125"/>
      <c r="P36" s="125"/>
      <c r="Q36" s="125"/>
      <c r="R36" s="125"/>
      <c r="S36" s="125"/>
      <c r="T36" s="125"/>
      <c r="U36" s="125">
        <f t="shared" si="72"/>
        <v>0</v>
      </c>
      <c r="V36" s="126">
        <f>U36-L36</f>
        <v>0</v>
      </c>
      <c r="W36" s="15"/>
      <c r="X36" s="125"/>
      <c r="Y36" s="125"/>
      <c r="Z36" s="125"/>
      <c r="AA36" s="125"/>
      <c r="AB36" s="125"/>
      <c r="AC36" s="125"/>
      <c r="AD36" s="15">
        <f t="shared" si="73"/>
        <v>0</v>
      </c>
      <c r="AE36" s="16">
        <f>AD36-W36</f>
        <v>0</v>
      </c>
      <c r="AF36" s="15"/>
      <c r="AG36" s="15"/>
      <c r="AH36" s="15"/>
      <c r="AI36" s="15"/>
      <c r="AJ36" s="15"/>
      <c r="AK36" s="15"/>
      <c r="AL36" s="15">
        <f t="shared" si="74"/>
        <v>0</v>
      </c>
      <c r="AM36" s="16">
        <f>AL36-AF36</f>
        <v>0</v>
      </c>
      <c r="AN36" s="15"/>
      <c r="AO36" s="15"/>
      <c r="AP36" s="15"/>
      <c r="AQ36" s="15"/>
      <c r="AR36" s="15"/>
      <c r="AS36" s="15"/>
      <c r="AT36" s="15">
        <f t="shared" si="75"/>
        <v>0</v>
      </c>
      <c r="AU36" s="177">
        <f>AT36-AN36</f>
        <v>0</v>
      </c>
      <c r="AV36" s="199">
        <f t="shared" si="76"/>
        <v>0</v>
      </c>
      <c r="AW36" s="80">
        <f t="shared" si="77"/>
        <v>0</v>
      </c>
      <c r="AX36" s="81">
        <f>AW36-AV36</f>
        <v>0</v>
      </c>
      <c r="AY36" s="188">
        <v>43579</v>
      </c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>
        <v>-384</v>
      </c>
      <c r="BM36" s="15"/>
      <c r="BN36" s="15"/>
      <c r="BO36" s="15"/>
      <c r="BP36" s="15"/>
      <c r="BQ36" s="15"/>
      <c r="BR36" s="15"/>
      <c r="BS36" s="15"/>
      <c r="BT36" s="15"/>
      <c r="BU36" s="15"/>
      <c r="BV36" s="15">
        <v>-208</v>
      </c>
      <c r="BW36" s="15"/>
      <c r="BX36" s="82">
        <f t="shared" si="78"/>
        <v>42987</v>
      </c>
      <c r="BY36" s="16">
        <f>BX36-AY36</f>
        <v>-592</v>
      </c>
      <c r="BZ36" s="82">
        <f>AV36+AY36</f>
        <v>43579</v>
      </c>
      <c r="CA36" s="80">
        <f t="shared" si="79"/>
        <v>42987</v>
      </c>
      <c r="CB36" s="81">
        <f>CA36-BZ36</f>
        <v>-592</v>
      </c>
      <c r="CC36" s="166">
        <f t="shared" si="87"/>
        <v>43579</v>
      </c>
      <c r="CD36" s="15">
        <f t="shared" si="87"/>
        <v>42987</v>
      </c>
      <c r="CE36" s="16">
        <f>CD36-CC36</f>
        <v>-592</v>
      </c>
    </row>
    <row r="37" spans="1:83" s="14" customFormat="1" ht="18" customHeight="1" thickBot="1">
      <c r="A37" s="96" t="s">
        <v>42</v>
      </c>
      <c r="B37" s="43"/>
      <c r="C37" s="133"/>
      <c r="D37" s="133"/>
      <c r="E37" s="133"/>
      <c r="F37" s="133"/>
      <c r="G37" s="133"/>
      <c r="H37" s="133"/>
      <c r="I37" s="133"/>
      <c r="J37" s="43">
        <f t="shared" si="71"/>
        <v>0</v>
      </c>
      <c r="K37" s="44">
        <f>J37-B37</f>
        <v>0</v>
      </c>
      <c r="L37" s="147"/>
      <c r="M37" s="43"/>
      <c r="N37" s="43"/>
      <c r="O37" s="43"/>
      <c r="P37" s="43"/>
      <c r="Q37" s="43"/>
      <c r="R37" s="43"/>
      <c r="S37" s="43"/>
      <c r="T37" s="43"/>
      <c r="U37" s="43">
        <f t="shared" si="72"/>
        <v>0</v>
      </c>
      <c r="V37" s="44">
        <f>U37-L37</f>
        <v>0</v>
      </c>
      <c r="W37" s="43"/>
      <c r="X37" s="43"/>
      <c r="Y37" s="43"/>
      <c r="Z37" s="43"/>
      <c r="AA37" s="43"/>
      <c r="AB37" s="43"/>
      <c r="AC37" s="43"/>
      <c r="AD37" s="43">
        <f t="shared" si="73"/>
        <v>0</v>
      </c>
      <c r="AE37" s="44">
        <f>AD37-W37</f>
        <v>0</v>
      </c>
      <c r="AF37" s="43"/>
      <c r="AG37" s="43"/>
      <c r="AH37" s="43"/>
      <c r="AI37" s="43"/>
      <c r="AJ37" s="43"/>
      <c r="AK37" s="43"/>
      <c r="AL37" s="43">
        <f t="shared" si="74"/>
        <v>0</v>
      </c>
      <c r="AM37" s="44">
        <f>AL37-AF37</f>
        <v>0</v>
      </c>
      <c r="AN37" s="43"/>
      <c r="AO37" s="43"/>
      <c r="AP37" s="43"/>
      <c r="AQ37" s="43"/>
      <c r="AR37" s="43"/>
      <c r="AS37" s="43"/>
      <c r="AT37" s="43">
        <f t="shared" si="75"/>
        <v>0</v>
      </c>
      <c r="AU37" s="185">
        <f>AT37-AN37</f>
        <v>0</v>
      </c>
      <c r="AV37" s="199">
        <f t="shared" si="76"/>
        <v>0</v>
      </c>
      <c r="AW37" s="103">
        <f t="shared" si="77"/>
        <v>0</v>
      </c>
      <c r="AX37" s="104">
        <f>AW37-AV37</f>
        <v>0</v>
      </c>
      <c r="AY37" s="196">
        <v>35164</v>
      </c>
      <c r="AZ37" s="43">
        <f>8729+3200+1495</f>
        <v>13424</v>
      </c>
      <c r="BA37" s="43"/>
      <c r="BB37" s="43"/>
      <c r="BC37" s="43">
        <f>4068+5759</f>
        <v>9827</v>
      </c>
      <c r="BD37" s="43"/>
      <c r="BE37" s="43"/>
      <c r="BF37" s="43">
        <v>-1200</v>
      </c>
      <c r="BG37" s="43"/>
      <c r="BH37" s="43"/>
      <c r="BI37" s="43"/>
      <c r="BJ37" s="43">
        <v>-488</v>
      </c>
      <c r="BK37" s="43">
        <v>-4480</v>
      </c>
      <c r="BL37" s="43"/>
      <c r="BM37" s="43"/>
      <c r="BN37" s="43"/>
      <c r="BO37" s="43"/>
      <c r="BP37" s="43"/>
      <c r="BQ37" s="43"/>
      <c r="BR37" s="43"/>
      <c r="BS37" s="43"/>
      <c r="BT37" s="43">
        <v>-520</v>
      </c>
      <c r="BU37" s="43"/>
      <c r="BV37" s="43"/>
      <c r="BW37" s="43">
        <f>-10</f>
        <v>-10</v>
      </c>
      <c r="BX37" s="105">
        <f t="shared" si="78"/>
        <v>51717</v>
      </c>
      <c r="BY37" s="44">
        <f>BX37-AY37</f>
        <v>16553</v>
      </c>
      <c r="BZ37" s="105">
        <f>AV37+AY37</f>
        <v>35164</v>
      </c>
      <c r="CA37" s="105">
        <f t="shared" si="79"/>
        <v>51717</v>
      </c>
      <c r="CB37" s="106">
        <f>CA37-BZ37</f>
        <v>16553</v>
      </c>
      <c r="CC37" s="172">
        <f t="shared" si="87"/>
        <v>35164</v>
      </c>
      <c r="CD37" s="45">
        <f t="shared" si="87"/>
        <v>51717</v>
      </c>
      <c r="CE37" s="46">
        <f>CD37-CC37</f>
        <v>16553</v>
      </c>
    </row>
    <row r="38" spans="1:83" s="14" customFormat="1" ht="18" customHeight="1" thickBot="1">
      <c r="A38" s="89" t="s">
        <v>43</v>
      </c>
      <c r="B38" s="25">
        <f aca="true" t="shared" si="88" ref="B38:I38">B29+B30+B31+B32+B33</f>
        <v>35991</v>
      </c>
      <c r="C38" s="128">
        <f t="shared" si="88"/>
        <v>1195</v>
      </c>
      <c r="D38" s="128">
        <f t="shared" si="88"/>
        <v>1398</v>
      </c>
      <c r="E38" s="128">
        <f t="shared" si="88"/>
        <v>860</v>
      </c>
      <c r="F38" s="128">
        <f t="shared" si="88"/>
        <v>978</v>
      </c>
      <c r="G38" s="128">
        <f t="shared" si="88"/>
        <v>-287</v>
      </c>
      <c r="H38" s="128">
        <f t="shared" si="88"/>
        <v>0</v>
      </c>
      <c r="I38" s="128">
        <f t="shared" si="88"/>
        <v>0</v>
      </c>
      <c r="J38" s="25">
        <f t="shared" si="71"/>
        <v>40135</v>
      </c>
      <c r="K38" s="26">
        <f aca="true" t="shared" si="89" ref="K38:T38">K29+K30+K31+K32+K33</f>
        <v>4144</v>
      </c>
      <c r="L38" s="29">
        <f t="shared" si="89"/>
        <v>114153</v>
      </c>
      <c r="M38" s="25">
        <f t="shared" si="89"/>
        <v>1324</v>
      </c>
      <c r="N38" s="25">
        <f t="shared" si="89"/>
        <v>7217</v>
      </c>
      <c r="O38" s="25">
        <f t="shared" si="89"/>
        <v>300</v>
      </c>
      <c r="P38" s="25">
        <f t="shared" si="89"/>
        <v>800</v>
      </c>
      <c r="Q38" s="25">
        <f t="shared" si="89"/>
        <v>484</v>
      </c>
      <c r="R38" s="25">
        <f t="shared" si="89"/>
        <v>1252</v>
      </c>
      <c r="S38" s="25">
        <f t="shared" si="89"/>
        <v>0</v>
      </c>
      <c r="T38" s="25">
        <f t="shared" si="89"/>
        <v>0</v>
      </c>
      <c r="U38" s="25">
        <f t="shared" si="72"/>
        <v>125530</v>
      </c>
      <c r="V38" s="26">
        <f aca="true" t="shared" si="90" ref="V38:AC38">V29+V30+V31+V32+V33</f>
        <v>11377</v>
      </c>
      <c r="W38" s="25">
        <f t="shared" si="90"/>
        <v>44455</v>
      </c>
      <c r="X38" s="25">
        <f t="shared" si="90"/>
        <v>1111</v>
      </c>
      <c r="Y38" s="25">
        <f t="shared" si="90"/>
        <v>4383</v>
      </c>
      <c r="Z38" s="25">
        <f t="shared" si="90"/>
        <v>352</v>
      </c>
      <c r="AA38" s="25">
        <f t="shared" si="90"/>
        <v>600</v>
      </c>
      <c r="AB38" s="25">
        <f t="shared" si="90"/>
        <v>488</v>
      </c>
      <c r="AC38" s="25">
        <f t="shared" si="90"/>
        <v>-200</v>
      </c>
      <c r="AD38" s="25">
        <f t="shared" si="73"/>
        <v>51189</v>
      </c>
      <c r="AE38" s="26">
        <f aca="true" t="shared" si="91" ref="AE38:AK38">AE29+AE30+AE31+AE32+AE33</f>
        <v>6734</v>
      </c>
      <c r="AF38" s="25">
        <f t="shared" si="91"/>
        <v>298344</v>
      </c>
      <c r="AG38" s="25">
        <f t="shared" si="91"/>
        <v>989</v>
      </c>
      <c r="AH38" s="25">
        <f t="shared" si="91"/>
        <v>4001</v>
      </c>
      <c r="AI38" s="25">
        <f t="shared" si="91"/>
        <v>491</v>
      </c>
      <c r="AJ38" s="25">
        <f t="shared" si="91"/>
        <v>0</v>
      </c>
      <c r="AK38" s="25">
        <f t="shared" si="91"/>
        <v>0</v>
      </c>
      <c r="AL38" s="25">
        <f t="shared" si="74"/>
        <v>303825</v>
      </c>
      <c r="AM38" s="26">
        <f aca="true" t="shared" si="92" ref="AM38:AS38">AM29+AM30+AM31+AM32+AM33</f>
        <v>5481</v>
      </c>
      <c r="AN38" s="25">
        <f t="shared" si="92"/>
        <v>233550</v>
      </c>
      <c r="AO38" s="25">
        <f t="shared" si="92"/>
        <v>12294</v>
      </c>
      <c r="AP38" s="25">
        <f t="shared" si="92"/>
        <v>7571</v>
      </c>
      <c r="AQ38" s="25">
        <f t="shared" si="92"/>
        <v>-699</v>
      </c>
      <c r="AR38" s="25">
        <f t="shared" si="92"/>
        <v>0</v>
      </c>
      <c r="AS38" s="25">
        <f t="shared" si="92"/>
        <v>0</v>
      </c>
      <c r="AT38" s="25">
        <f t="shared" si="75"/>
        <v>252716</v>
      </c>
      <c r="AU38" s="180">
        <f aca="true" t="shared" si="93" ref="AU38:BW38">AU29+AU30+AU31+AU32+AU33</f>
        <v>19166</v>
      </c>
      <c r="AV38" s="200">
        <f t="shared" si="93"/>
        <v>726493</v>
      </c>
      <c r="AW38" s="90">
        <f t="shared" si="93"/>
        <v>773395</v>
      </c>
      <c r="AX38" s="91">
        <f t="shared" si="93"/>
        <v>46902</v>
      </c>
      <c r="AY38" s="191">
        <f t="shared" si="93"/>
        <v>978925</v>
      </c>
      <c r="AZ38" s="25">
        <f t="shared" si="93"/>
        <v>15057</v>
      </c>
      <c r="BA38" s="25">
        <f t="shared" si="93"/>
        <v>6840</v>
      </c>
      <c r="BB38" s="25">
        <f t="shared" si="93"/>
        <v>4522</v>
      </c>
      <c r="BC38" s="25">
        <f t="shared" si="93"/>
        <v>15144</v>
      </c>
      <c r="BD38" s="25">
        <f t="shared" si="93"/>
        <v>332</v>
      </c>
      <c r="BE38" s="25">
        <f t="shared" si="93"/>
        <v>0</v>
      </c>
      <c r="BF38" s="25">
        <f t="shared" si="93"/>
        <v>-1200</v>
      </c>
      <c r="BG38" s="25">
        <f t="shared" si="93"/>
        <v>222</v>
      </c>
      <c r="BH38" s="25">
        <f t="shared" si="93"/>
        <v>9000</v>
      </c>
      <c r="BI38" s="25">
        <f t="shared" si="93"/>
        <v>379</v>
      </c>
      <c r="BJ38" s="25">
        <f t="shared" si="93"/>
        <v>-488</v>
      </c>
      <c r="BK38" s="25">
        <f t="shared" si="93"/>
        <v>-4480</v>
      </c>
      <c r="BL38" s="25">
        <f t="shared" si="93"/>
        <v>300</v>
      </c>
      <c r="BM38" s="25">
        <f t="shared" si="93"/>
        <v>0</v>
      </c>
      <c r="BN38" s="25">
        <f t="shared" si="93"/>
        <v>0</v>
      </c>
      <c r="BO38" s="25">
        <f t="shared" si="93"/>
        <v>1616</v>
      </c>
      <c r="BP38" s="25">
        <f t="shared" si="93"/>
        <v>0</v>
      </c>
      <c r="BQ38" s="25">
        <f t="shared" si="93"/>
        <v>0</v>
      </c>
      <c r="BR38" s="25">
        <f t="shared" si="93"/>
        <v>0</v>
      </c>
      <c r="BS38" s="25">
        <f t="shared" si="93"/>
        <v>0</v>
      </c>
      <c r="BT38" s="25">
        <f t="shared" si="93"/>
        <v>0</v>
      </c>
      <c r="BU38" s="25">
        <f t="shared" si="93"/>
        <v>2850</v>
      </c>
      <c r="BV38" s="25">
        <f t="shared" si="93"/>
        <v>0</v>
      </c>
      <c r="BW38" s="25">
        <f t="shared" si="93"/>
        <v>0</v>
      </c>
      <c r="BX38" s="78">
        <f t="shared" si="78"/>
        <v>1029019</v>
      </c>
      <c r="BY38" s="26">
        <f>BY29+BY30+BY31+BY32+BY33</f>
        <v>50094</v>
      </c>
      <c r="BZ38" s="27">
        <f>BZ29+BZ30+BZ31+BZ32+BZ33</f>
        <v>1705418</v>
      </c>
      <c r="CA38" s="27">
        <f t="shared" si="79"/>
        <v>1802414</v>
      </c>
      <c r="CB38" s="28">
        <f>CB29+CB30+CB31+CB32+CB33</f>
        <v>96996</v>
      </c>
      <c r="CC38" s="29">
        <f>CC29+CC30+CC31+CC32+CC33</f>
        <v>1705418</v>
      </c>
      <c r="CD38" s="27">
        <f>CD29+CD30+CD31+CD32+CD33</f>
        <v>1802414</v>
      </c>
      <c r="CE38" s="28">
        <f>CE29+CE30+CE31+CE32+CE33</f>
        <v>96996</v>
      </c>
    </row>
    <row r="39" spans="1:83" s="14" customFormat="1" ht="18" customHeight="1">
      <c r="A39" s="75" t="s">
        <v>44</v>
      </c>
      <c r="B39" s="17"/>
      <c r="C39" s="125"/>
      <c r="D39" s="125">
        <v>65</v>
      </c>
      <c r="E39" s="125"/>
      <c r="F39" s="125">
        <v>266</v>
      </c>
      <c r="G39" s="125">
        <v>287</v>
      </c>
      <c r="H39" s="125"/>
      <c r="I39" s="125"/>
      <c r="J39" s="17">
        <f t="shared" si="71"/>
        <v>618</v>
      </c>
      <c r="K39" s="18">
        <f>J39-B39</f>
        <v>618</v>
      </c>
      <c r="L39" s="141">
        <v>1000</v>
      </c>
      <c r="M39" s="17"/>
      <c r="N39" s="17"/>
      <c r="O39" s="17"/>
      <c r="P39" s="17"/>
      <c r="Q39" s="17">
        <v>75</v>
      </c>
      <c r="R39" s="17"/>
      <c r="S39" s="17"/>
      <c r="T39" s="17"/>
      <c r="U39" s="17">
        <f t="shared" si="72"/>
        <v>1075</v>
      </c>
      <c r="V39" s="18">
        <f>U39-L39</f>
        <v>75</v>
      </c>
      <c r="W39" s="17"/>
      <c r="X39" s="17"/>
      <c r="Y39" s="17">
        <v>4977</v>
      </c>
      <c r="Z39" s="17"/>
      <c r="AA39" s="17"/>
      <c r="AB39" s="17"/>
      <c r="AC39" s="17">
        <v>200</v>
      </c>
      <c r="AD39" s="17">
        <f t="shared" si="73"/>
        <v>5177</v>
      </c>
      <c r="AE39" s="18">
        <f>AD39-W39</f>
        <v>5177</v>
      </c>
      <c r="AF39" s="17">
        <v>1000</v>
      </c>
      <c r="AG39" s="17"/>
      <c r="AH39" s="17">
        <v>2500</v>
      </c>
      <c r="AI39" s="17"/>
      <c r="AJ39" s="17"/>
      <c r="AK39" s="17"/>
      <c r="AL39" s="17">
        <f t="shared" si="74"/>
        <v>3500</v>
      </c>
      <c r="AM39" s="18">
        <f>AL39-AF39</f>
        <v>2500</v>
      </c>
      <c r="AN39" s="17"/>
      <c r="AO39" s="17"/>
      <c r="AP39" s="17"/>
      <c r="AQ39" s="17">
        <v>699</v>
      </c>
      <c r="AR39" s="17"/>
      <c r="AS39" s="17"/>
      <c r="AT39" s="17">
        <f t="shared" si="75"/>
        <v>699</v>
      </c>
      <c r="AU39" s="178">
        <f>AT39-AN39</f>
        <v>699</v>
      </c>
      <c r="AV39" s="199">
        <f aca="true" t="shared" si="94" ref="AV39:AV44">B39+L39+W39+AF39+AN39</f>
        <v>2000</v>
      </c>
      <c r="AW39" s="80">
        <f aca="true" t="shared" si="95" ref="AW39:AW44">J39+U39+AD39+AL39+AT39</f>
        <v>11069</v>
      </c>
      <c r="AX39" s="81">
        <f aca="true" t="shared" si="96" ref="AX39:AX44">AW39-AV39</f>
        <v>9069</v>
      </c>
      <c r="AY39" s="189">
        <v>158180</v>
      </c>
      <c r="AZ39" s="17"/>
      <c r="BA39" s="17">
        <v>2160</v>
      </c>
      <c r="BB39" s="17">
        <v>-4522</v>
      </c>
      <c r="BC39" s="17">
        <v>4522</v>
      </c>
      <c r="BD39" s="17"/>
      <c r="BE39" s="17">
        <f>-3500</f>
        <v>-3500</v>
      </c>
      <c r="BF39" s="17"/>
      <c r="BG39" s="17"/>
      <c r="BH39" s="17"/>
      <c r="BI39" s="17">
        <v>-379</v>
      </c>
      <c r="BJ39" s="17"/>
      <c r="BK39" s="17"/>
      <c r="BL39" s="17"/>
      <c r="BM39" s="17"/>
      <c r="BN39" s="17"/>
      <c r="BO39" s="17"/>
      <c r="BP39" s="17">
        <v>142504</v>
      </c>
      <c r="BQ39" s="17"/>
      <c r="BR39" s="17"/>
      <c r="BS39" s="17">
        <v>290000</v>
      </c>
      <c r="BT39" s="17"/>
      <c r="BU39" s="17"/>
      <c r="BV39" s="17"/>
      <c r="BW39" s="17"/>
      <c r="BX39" s="78">
        <f t="shared" si="78"/>
        <v>588965</v>
      </c>
      <c r="BY39" s="18">
        <f>BX39-AY39</f>
        <v>430785</v>
      </c>
      <c r="BZ39" s="82">
        <f aca="true" t="shared" si="97" ref="BZ39:BZ44">AV39+AY39</f>
        <v>160180</v>
      </c>
      <c r="CA39" s="82">
        <f t="shared" si="79"/>
        <v>600034</v>
      </c>
      <c r="CB39" s="84">
        <f aca="true" t="shared" si="98" ref="CB39:CB44">CA39-BZ39</f>
        <v>439854</v>
      </c>
      <c r="CC39" s="167">
        <f>BZ39</f>
        <v>160180</v>
      </c>
      <c r="CD39" s="19">
        <f>CA39</f>
        <v>600034</v>
      </c>
      <c r="CE39" s="20">
        <f aca="true" t="shared" si="99" ref="CE39:CE44">CD39-CC39</f>
        <v>439854</v>
      </c>
    </row>
    <row r="40" spans="1:83" s="14" customFormat="1" ht="18" customHeight="1">
      <c r="A40" s="109" t="s">
        <v>45</v>
      </c>
      <c r="B40" s="31"/>
      <c r="C40" s="129"/>
      <c r="D40" s="129"/>
      <c r="E40" s="129"/>
      <c r="F40" s="129"/>
      <c r="G40" s="129"/>
      <c r="H40" s="129"/>
      <c r="I40" s="129"/>
      <c r="J40" s="31">
        <f t="shared" si="71"/>
        <v>0</v>
      </c>
      <c r="K40" s="32">
        <f>J40-B40</f>
        <v>0</v>
      </c>
      <c r="L40" s="143"/>
      <c r="M40" s="31"/>
      <c r="N40" s="31"/>
      <c r="O40" s="31"/>
      <c r="P40" s="31"/>
      <c r="Q40" s="31"/>
      <c r="R40" s="31"/>
      <c r="S40" s="31"/>
      <c r="T40" s="31"/>
      <c r="U40" s="31">
        <f t="shared" si="72"/>
        <v>0</v>
      </c>
      <c r="V40" s="32">
        <f>U40-L40</f>
        <v>0</v>
      </c>
      <c r="W40" s="31"/>
      <c r="X40" s="31"/>
      <c r="Y40" s="31"/>
      <c r="Z40" s="31"/>
      <c r="AA40" s="31"/>
      <c r="AB40" s="31"/>
      <c r="AC40" s="31"/>
      <c r="AD40" s="31">
        <f t="shared" si="73"/>
        <v>0</v>
      </c>
      <c r="AE40" s="32">
        <f>AD40-W40</f>
        <v>0</v>
      </c>
      <c r="AF40" s="31"/>
      <c r="AG40" s="31"/>
      <c r="AH40" s="31"/>
      <c r="AI40" s="31"/>
      <c r="AJ40" s="31"/>
      <c r="AK40" s="31"/>
      <c r="AL40" s="31">
        <f t="shared" si="74"/>
        <v>0</v>
      </c>
      <c r="AM40" s="32">
        <f>AL40-AF40</f>
        <v>0</v>
      </c>
      <c r="AN40" s="31"/>
      <c r="AO40" s="31"/>
      <c r="AP40" s="31"/>
      <c r="AQ40" s="31"/>
      <c r="AR40" s="31"/>
      <c r="AS40" s="31"/>
      <c r="AT40" s="31">
        <f t="shared" si="75"/>
        <v>0</v>
      </c>
      <c r="AU40" s="181">
        <f>AT40-AN40</f>
        <v>0</v>
      </c>
      <c r="AV40" s="199">
        <f t="shared" si="94"/>
        <v>0</v>
      </c>
      <c r="AW40" s="92">
        <f t="shared" si="95"/>
        <v>0</v>
      </c>
      <c r="AX40" s="93">
        <f t="shared" si="96"/>
        <v>0</v>
      </c>
      <c r="AY40" s="192">
        <v>73253</v>
      </c>
      <c r="AZ40" s="31"/>
      <c r="BA40" s="31"/>
      <c r="BB40" s="31"/>
      <c r="BC40" s="31"/>
      <c r="BD40" s="31"/>
      <c r="BE40" s="31">
        <v>-3800</v>
      </c>
      <c r="BF40" s="31"/>
      <c r="BG40" s="31"/>
      <c r="BH40" s="31"/>
      <c r="BI40" s="31"/>
      <c r="BJ40" s="31"/>
      <c r="BK40" s="31">
        <v>4480</v>
      </c>
      <c r="BL40" s="31"/>
      <c r="BM40" s="31">
        <v>6688</v>
      </c>
      <c r="BN40" s="31"/>
      <c r="BO40" s="31">
        <v>91384</v>
      </c>
      <c r="BP40" s="31"/>
      <c r="BQ40" s="31">
        <v>59138</v>
      </c>
      <c r="BR40" s="31">
        <v>84309</v>
      </c>
      <c r="BS40" s="31"/>
      <c r="BT40" s="31"/>
      <c r="BU40" s="31">
        <v>-2850</v>
      </c>
      <c r="BV40" s="31"/>
      <c r="BW40" s="31"/>
      <c r="BX40" s="82">
        <f t="shared" si="78"/>
        <v>312602</v>
      </c>
      <c r="BY40" s="32">
        <f>BX40-AY40</f>
        <v>239349</v>
      </c>
      <c r="BZ40" s="94">
        <f t="shared" si="97"/>
        <v>73253</v>
      </c>
      <c r="CA40" s="94">
        <f t="shared" si="79"/>
        <v>312602</v>
      </c>
      <c r="CB40" s="95">
        <f t="shared" si="98"/>
        <v>239349</v>
      </c>
      <c r="CC40" s="169">
        <f>BZ40</f>
        <v>73253</v>
      </c>
      <c r="CD40" s="33">
        <f>CA40</f>
        <v>312602</v>
      </c>
      <c r="CE40" s="34">
        <f t="shared" si="99"/>
        <v>239349</v>
      </c>
    </row>
    <row r="41" spans="1:83" s="14" customFormat="1" ht="18" customHeight="1">
      <c r="A41" s="83" t="s">
        <v>46</v>
      </c>
      <c r="B41" s="17">
        <f aca="true" t="shared" si="100" ref="B41:I41">SUM(B42:B44)</f>
        <v>0</v>
      </c>
      <c r="C41" s="125">
        <f t="shared" si="100"/>
        <v>0</v>
      </c>
      <c r="D41" s="125">
        <f t="shared" si="100"/>
        <v>0</v>
      </c>
      <c r="E41" s="125">
        <f t="shared" si="100"/>
        <v>0</v>
      </c>
      <c r="F41" s="125">
        <f t="shared" si="100"/>
        <v>0</v>
      </c>
      <c r="G41" s="125">
        <f t="shared" si="100"/>
        <v>0</v>
      </c>
      <c r="H41" s="125">
        <f t="shared" si="100"/>
        <v>0</v>
      </c>
      <c r="I41" s="125">
        <f t="shared" si="100"/>
        <v>0</v>
      </c>
      <c r="J41" s="17">
        <f t="shared" si="71"/>
        <v>0</v>
      </c>
      <c r="K41" s="18">
        <f aca="true" t="shared" si="101" ref="K41:T41">SUM(K42:K44)</f>
        <v>0</v>
      </c>
      <c r="L41" s="141">
        <f t="shared" si="101"/>
        <v>0</v>
      </c>
      <c r="M41" s="17">
        <f t="shared" si="101"/>
        <v>0</v>
      </c>
      <c r="N41" s="17">
        <f t="shared" si="101"/>
        <v>0</v>
      </c>
      <c r="O41" s="17">
        <f t="shared" si="101"/>
        <v>0</v>
      </c>
      <c r="P41" s="17">
        <f t="shared" si="101"/>
        <v>0</v>
      </c>
      <c r="Q41" s="17">
        <f t="shared" si="101"/>
        <v>0</v>
      </c>
      <c r="R41" s="17">
        <f t="shared" si="101"/>
        <v>0</v>
      </c>
      <c r="S41" s="17">
        <f t="shared" si="101"/>
        <v>0</v>
      </c>
      <c r="T41" s="17">
        <f t="shared" si="101"/>
        <v>0</v>
      </c>
      <c r="U41" s="17">
        <f t="shared" si="72"/>
        <v>0</v>
      </c>
      <c r="V41" s="18">
        <f aca="true" t="shared" si="102" ref="V41:AC41">SUM(V42:V44)</f>
        <v>0</v>
      </c>
      <c r="W41" s="17">
        <f t="shared" si="102"/>
        <v>0</v>
      </c>
      <c r="X41" s="17">
        <f t="shared" si="102"/>
        <v>0</v>
      </c>
      <c r="Y41" s="17">
        <f t="shared" si="102"/>
        <v>0</v>
      </c>
      <c r="Z41" s="17">
        <f t="shared" si="102"/>
        <v>0</v>
      </c>
      <c r="AA41" s="17">
        <f t="shared" si="102"/>
        <v>0</v>
      </c>
      <c r="AB41" s="17">
        <f t="shared" si="102"/>
        <v>0</v>
      </c>
      <c r="AC41" s="17">
        <f t="shared" si="102"/>
        <v>0</v>
      </c>
      <c r="AD41" s="17">
        <f t="shared" si="73"/>
        <v>0</v>
      </c>
      <c r="AE41" s="18">
        <f aca="true" t="shared" si="103" ref="AE41:AK41">SUM(AE42:AE44)</f>
        <v>0</v>
      </c>
      <c r="AF41" s="17">
        <f t="shared" si="103"/>
        <v>0</v>
      </c>
      <c r="AG41" s="17">
        <f t="shared" si="103"/>
        <v>0</v>
      </c>
      <c r="AH41" s="17">
        <f t="shared" si="103"/>
        <v>0</v>
      </c>
      <c r="AI41" s="17">
        <f t="shared" si="103"/>
        <v>0</v>
      </c>
      <c r="AJ41" s="17">
        <f t="shared" si="103"/>
        <v>0</v>
      </c>
      <c r="AK41" s="17">
        <f t="shared" si="103"/>
        <v>0</v>
      </c>
      <c r="AL41" s="17">
        <f t="shared" si="74"/>
        <v>0</v>
      </c>
      <c r="AM41" s="18">
        <f aca="true" t="shared" si="104" ref="AM41:AS41">SUM(AM42:AM44)</f>
        <v>0</v>
      </c>
      <c r="AN41" s="17">
        <f t="shared" si="104"/>
        <v>0</v>
      </c>
      <c r="AO41" s="17">
        <f t="shared" si="104"/>
        <v>0</v>
      </c>
      <c r="AP41" s="17">
        <f t="shared" si="104"/>
        <v>0</v>
      </c>
      <c r="AQ41" s="17">
        <f t="shared" si="104"/>
        <v>0</v>
      </c>
      <c r="AR41" s="17">
        <f t="shared" si="104"/>
        <v>0</v>
      </c>
      <c r="AS41" s="17">
        <f t="shared" si="104"/>
        <v>0</v>
      </c>
      <c r="AT41" s="17">
        <f t="shared" si="75"/>
        <v>0</v>
      </c>
      <c r="AU41" s="178">
        <f>SUM(AU42:AU44)</f>
        <v>0</v>
      </c>
      <c r="AV41" s="199">
        <f t="shared" si="94"/>
        <v>0</v>
      </c>
      <c r="AW41" s="80">
        <f t="shared" si="95"/>
        <v>0</v>
      </c>
      <c r="AX41" s="81">
        <f t="shared" si="96"/>
        <v>0</v>
      </c>
      <c r="AY41" s="189">
        <f aca="true" t="shared" si="105" ref="AY41:BW41">SUM(AY42:AY44)</f>
        <v>8980</v>
      </c>
      <c r="AZ41" s="17">
        <f t="shared" si="105"/>
        <v>0</v>
      </c>
      <c r="BA41" s="17">
        <f t="shared" si="105"/>
        <v>0</v>
      </c>
      <c r="BB41" s="17">
        <f t="shared" si="105"/>
        <v>0</v>
      </c>
      <c r="BC41" s="17">
        <f t="shared" si="105"/>
        <v>3349</v>
      </c>
      <c r="BD41" s="17">
        <f t="shared" si="105"/>
        <v>0</v>
      </c>
      <c r="BE41" s="17">
        <f t="shared" si="105"/>
        <v>7300</v>
      </c>
      <c r="BF41" s="17">
        <f t="shared" si="105"/>
        <v>1200</v>
      </c>
      <c r="BG41" s="17">
        <f t="shared" si="105"/>
        <v>0</v>
      </c>
      <c r="BH41" s="17">
        <f t="shared" si="105"/>
        <v>0</v>
      </c>
      <c r="BI41" s="17">
        <f t="shared" si="105"/>
        <v>0</v>
      </c>
      <c r="BJ41" s="17">
        <f t="shared" si="105"/>
        <v>0</v>
      </c>
      <c r="BK41" s="17">
        <f t="shared" si="105"/>
        <v>0</v>
      </c>
      <c r="BL41" s="17">
        <f t="shared" si="105"/>
        <v>0</v>
      </c>
      <c r="BM41" s="17">
        <f t="shared" si="105"/>
        <v>0</v>
      </c>
      <c r="BN41" s="17">
        <f t="shared" si="105"/>
        <v>0</v>
      </c>
      <c r="BO41" s="17">
        <f t="shared" si="105"/>
        <v>0</v>
      </c>
      <c r="BP41" s="17">
        <f t="shared" si="105"/>
        <v>0</v>
      </c>
      <c r="BQ41" s="17">
        <f t="shared" si="105"/>
        <v>0</v>
      </c>
      <c r="BR41" s="17">
        <f t="shared" si="105"/>
        <v>0</v>
      </c>
      <c r="BS41" s="17">
        <f t="shared" si="105"/>
        <v>0</v>
      </c>
      <c r="BT41" s="17">
        <f t="shared" si="105"/>
        <v>0</v>
      </c>
      <c r="BU41" s="17">
        <f t="shared" si="105"/>
        <v>0</v>
      </c>
      <c r="BV41" s="17">
        <f t="shared" si="105"/>
        <v>0</v>
      </c>
      <c r="BW41" s="17">
        <f t="shared" si="105"/>
        <v>0</v>
      </c>
      <c r="BX41" s="82">
        <f t="shared" si="78"/>
        <v>20829</v>
      </c>
      <c r="BY41" s="18">
        <f>SUM(BY42:BY44)</f>
        <v>11849</v>
      </c>
      <c r="BZ41" s="82">
        <f t="shared" si="97"/>
        <v>8980</v>
      </c>
      <c r="CA41" s="82">
        <f t="shared" si="79"/>
        <v>20829</v>
      </c>
      <c r="CB41" s="84">
        <f t="shared" si="98"/>
        <v>11849</v>
      </c>
      <c r="CC41" s="167">
        <f>SUM(CC42:CC44)</f>
        <v>8980</v>
      </c>
      <c r="CD41" s="19">
        <f>SUM(CD42:CD44)</f>
        <v>20829</v>
      </c>
      <c r="CE41" s="20">
        <f t="shared" si="99"/>
        <v>11849</v>
      </c>
    </row>
    <row r="42" spans="1:83" s="14" customFormat="1" ht="18" customHeight="1">
      <c r="A42" s="96" t="s">
        <v>47</v>
      </c>
      <c r="B42" s="125"/>
      <c r="C42" s="125"/>
      <c r="D42" s="125"/>
      <c r="E42" s="125"/>
      <c r="F42" s="125"/>
      <c r="G42" s="125"/>
      <c r="H42" s="125"/>
      <c r="I42" s="125"/>
      <c r="J42" s="125">
        <f t="shared" si="71"/>
        <v>0</v>
      </c>
      <c r="K42" s="126">
        <f>J42-B42</f>
        <v>0</v>
      </c>
      <c r="L42" s="140"/>
      <c r="M42" s="125"/>
      <c r="N42" s="125"/>
      <c r="O42" s="125"/>
      <c r="P42" s="125"/>
      <c r="Q42" s="125"/>
      <c r="R42" s="125"/>
      <c r="S42" s="125"/>
      <c r="T42" s="125"/>
      <c r="U42" s="125">
        <f t="shared" si="72"/>
        <v>0</v>
      </c>
      <c r="V42" s="126">
        <f>U42-L42</f>
        <v>0</v>
      </c>
      <c r="W42" s="15"/>
      <c r="X42" s="125"/>
      <c r="Y42" s="125"/>
      <c r="Z42" s="125"/>
      <c r="AA42" s="125"/>
      <c r="AB42" s="125"/>
      <c r="AC42" s="125"/>
      <c r="AD42" s="15">
        <f t="shared" si="73"/>
        <v>0</v>
      </c>
      <c r="AE42" s="16">
        <f>AD42-W42</f>
        <v>0</v>
      </c>
      <c r="AF42" s="15"/>
      <c r="AG42" s="15"/>
      <c r="AH42" s="15"/>
      <c r="AI42" s="15"/>
      <c r="AJ42" s="15"/>
      <c r="AK42" s="15"/>
      <c r="AL42" s="15">
        <f t="shared" si="74"/>
        <v>0</v>
      </c>
      <c r="AM42" s="16">
        <f>AL42-AF42</f>
        <v>0</v>
      </c>
      <c r="AN42" s="15"/>
      <c r="AO42" s="15"/>
      <c r="AP42" s="15"/>
      <c r="AQ42" s="15"/>
      <c r="AR42" s="15"/>
      <c r="AS42" s="15"/>
      <c r="AT42" s="15">
        <f t="shared" si="75"/>
        <v>0</v>
      </c>
      <c r="AU42" s="177">
        <f>AT42-AN42</f>
        <v>0</v>
      </c>
      <c r="AV42" s="199">
        <f t="shared" si="94"/>
        <v>0</v>
      </c>
      <c r="AW42" s="80">
        <f t="shared" si="95"/>
        <v>0</v>
      </c>
      <c r="AX42" s="81">
        <f t="shared" si="96"/>
        <v>0</v>
      </c>
      <c r="AY42" s="188">
        <v>1358</v>
      </c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82">
        <f t="shared" si="78"/>
        <v>1358</v>
      </c>
      <c r="BY42" s="16">
        <f>BX42-AY42</f>
        <v>0</v>
      </c>
      <c r="BZ42" s="82">
        <f t="shared" si="97"/>
        <v>1358</v>
      </c>
      <c r="CA42" s="80">
        <f t="shared" si="79"/>
        <v>1358</v>
      </c>
      <c r="CB42" s="81">
        <f t="shared" si="98"/>
        <v>0</v>
      </c>
      <c r="CC42" s="166">
        <f aca="true" t="shared" si="106" ref="CC42:CD44">BZ42</f>
        <v>1358</v>
      </c>
      <c r="CD42" s="15">
        <f t="shared" si="106"/>
        <v>1358</v>
      </c>
      <c r="CE42" s="16">
        <f t="shared" si="99"/>
        <v>0</v>
      </c>
    </row>
    <row r="43" spans="1:83" s="14" customFormat="1" ht="18" customHeight="1">
      <c r="A43" s="96" t="s">
        <v>48</v>
      </c>
      <c r="B43" s="125"/>
      <c r="C43" s="125"/>
      <c r="D43" s="125"/>
      <c r="E43" s="125"/>
      <c r="F43" s="125"/>
      <c r="G43" s="125"/>
      <c r="H43" s="125"/>
      <c r="I43" s="125"/>
      <c r="J43" s="125">
        <f t="shared" si="71"/>
        <v>0</v>
      </c>
      <c r="K43" s="126">
        <f>J43-B43</f>
        <v>0</v>
      </c>
      <c r="L43" s="140"/>
      <c r="M43" s="125"/>
      <c r="N43" s="125"/>
      <c r="O43" s="125"/>
      <c r="P43" s="125"/>
      <c r="Q43" s="125"/>
      <c r="R43" s="125"/>
      <c r="S43" s="125"/>
      <c r="T43" s="125"/>
      <c r="U43" s="125">
        <f t="shared" si="72"/>
        <v>0</v>
      </c>
      <c r="V43" s="126">
        <f>U43-L43</f>
        <v>0</v>
      </c>
      <c r="W43" s="15"/>
      <c r="X43" s="125"/>
      <c r="Y43" s="125"/>
      <c r="Z43" s="125"/>
      <c r="AA43" s="125"/>
      <c r="AB43" s="125"/>
      <c r="AC43" s="125"/>
      <c r="AD43" s="15">
        <f t="shared" si="73"/>
        <v>0</v>
      </c>
      <c r="AE43" s="16">
        <f>AD43-W43</f>
        <v>0</v>
      </c>
      <c r="AF43" s="15"/>
      <c r="AG43" s="15"/>
      <c r="AH43" s="15"/>
      <c r="AI43" s="15"/>
      <c r="AJ43" s="15"/>
      <c r="AK43" s="15"/>
      <c r="AL43" s="15">
        <f t="shared" si="74"/>
        <v>0</v>
      </c>
      <c r="AM43" s="16">
        <f>AL43-AF43</f>
        <v>0</v>
      </c>
      <c r="AN43" s="15"/>
      <c r="AO43" s="15"/>
      <c r="AP43" s="15"/>
      <c r="AQ43" s="15"/>
      <c r="AR43" s="15"/>
      <c r="AS43" s="15"/>
      <c r="AT43" s="15">
        <f t="shared" si="75"/>
        <v>0</v>
      </c>
      <c r="AU43" s="177">
        <f>AT43-AN43</f>
        <v>0</v>
      </c>
      <c r="AV43" s="199">
        <f t="shared" si="94"/>
        <v>0</v>
      </c>
      <c r="AW43" s="80">
        <f t="shared" si="95"/>
        <v>0</v>
      </c>
      <c r="AX43" s="81">
        <f t="shared" si="96"/>
        <v>0</v>
      </c>
      <c r="AY43" s="188">
        <v>5992</v>
      </c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82">
        <f t="shared" si="78"/>
        <v>5992</v>
      </c>
      <c r="BY43" s="16">
        <f>BX43-AY43</f>
        <v>0</v>
      </c>
      <c r="BZ43" s="82">
        <f t="shared" si="97"/>
        <v>5992</v>
      </c>
      <c r="CA43" s="80">
        <f t="shared" si="79"/>
        <v>5992</v>
      </c>
      <c r="CB43" s="81">
        <f t="shared" si="98"/>
        <v>0</v>
      </c>
      <c r="CC43" s="166">
        <f t="shared" si="106"/>
        <v>5992</v>
      </c>
      <c r="CD43" s="15">
        <f t="shared" si="106"/>
        <v>5992</v>
      </c>
      <c r="CE43" s="16">
        <f t="shared" si="99"/>
        <v>0</v>
      </c>
    </row>
    <row r="44" spans="1:83" s="14" customFormat="1" ht="18" customHeight="1" thickBot="1">
      <c r="A44" s="96" t="s">
        <v>49</v>
      </c>
      <c r="B44" s="133"/>
      <c r="C44" s="133"/>
      <c r="D44" s="133"/>
      <c r="E44" s="133"/>
      <c r="F44" s="133"/>
      <c r="G44" s="133"/>
      <c r="H44" s="133"/>
      <c r="I44" s="133"/>
      <c r="J44" s="133">
        <f t="shared" si="71"/>
        <v>0</v>
      </c>
      <c r="K44" s="135">
        <f>J44-B44</f>
        <v>0</v>
      </c>
      <c r="L44" s="149"/>
      <c r="M44" s="133"/>
      <c r="N44" s="133"/>
      <c r="O44" s="133"/>
      <c r="P44" s="133"/>
      <c r="Q44" s="133"/>
      <c r="R44" s="133"/>
      <c r="S44" s="133"/>
      <c r="T44" s="133"/>
      <c r="U44" s="133">
        <f t="shared" si="72"/>
        <v>0</v>
      </c>
      <c r="V44" s="135">
        <f>U44-L44</f>
        <v>0</v>
      </c>
      <c r="W44" s="56"/>
      <c r="X44" s="133"/>
      <c r="Y44" s="133"/>
      <c r="Z44" s="133"/>
      <c r="AA44" s="133"/>
      <c r="AB44" s="133"/>
      <c r="AC44" s="133"/>
      <c r="AD44" s="56">
        <f t="shared" si="73"/>
        <v>0</v>
      </c>
      <c r="AE44" s="57">
        <f>AD44-W44</f>
        <v>0</v>
      </c>
      <c r="AF44" s="56"/>
      <c r="AG44" s="56"/>
      <c r="AH44" s="56"/>
      <c r="AI44" s="56"/>
      <c r="AJ44" s="56"/>
      <c r="AK44" s="56"/>
      <c r="AL44" s="56">
        <f t="shared" si="74"/>
        <v>0</v>
      </c>
      <c r="AM44" s="57">
        <f>AL44-AF44</f>
        <v>0</v>
      </c>
      <c r="AN44" s="56"/>
      <c r="AO44" s="56"/>
      <c r="AP44" s="56"/>
      <c r="AQ44" s="56"/>
      <c r="AR44" s="56"/>
      <c r="AS44" s="56"/>
      <c r="AT44" s="56">
        <f t="shared" si="75"/>
        <v>0</v>
      </c>
      <c r="AU44" s="209">
        <f>AT44-AN44</f>
        <v>0</v>
      </c>
      <c r="AV44" s="199">
        <f t="shared" si="94"/>
        <v>0</v>
      </c>
      <c r="AW44" s="103">
        <f t="shared" si="95"/>
        <v>0</v>
      </c>
      <c r="AX44" s="104">
        <f t="shared" si="96"/>
        <v>0</v>
      </c>
      <c r="AY44" s="210">
        <v>1630</v>
      </c>
      <c r="AZ44" s="56"/>
      <c r="BA44" s="56"/>
      <c r="BB44" s="56"/>
      <c r="BC44" s="56">
        <f>3099+250</f>
        <v>3349</v>
      </c>
      <c r="BD44" s="56"/>
      <c r="BE44" s="56">
        <f>3800+3500</f>
        <v>7300</v>
      </c>
      <c r="BF44" s="56">
        <v>1200</v>
      </c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105">
        <f t="shared" si="78"/>
        <v>13479</v>
      </c>
      <c r="BY44" s="57">
        <f>BX44-AY44</f>
        <v>11849</v>
      </c>
      <c r="BZ44" s="105">
        <f t="shared" si="97"/>
        <v>1630</v>
      </c>
      <c r="CA44" s="103">
        <f t="shared" si="79"/>
        <v>13479</v>
      </c>
      <c r="CB44" s="104">
        <f t="shared" si="98"/>
        <v>11849</v>
      </c>
      <c r="CC44" s="173">
        <f t="shared" si="106"/>
        <v>1630</v>
      </c>
      <c r="CD44" s="56">
        <f t="shared" si="106"/>
        <v>13479</v>
      </c>
      <c r="CE44" s="57">
        <f t="shared" si="99"/>
        <v>11849</v>
      </c>
    </row>
    <row r="45" spans="1:83" s="14" customFormat="1" ht="18" customHeight="1" thickBot="1">
      <c r="A45" s="89" t="s">
        <v>50</v>
      </c>
      <c r="B45" s="25">
        <f aca="true" t="shared" si="107" ref="B45:I45">B39+B40+B41</f>
        <v>0</v>
      </c>
      <c r="C45" s="128">
        <f t="shared" si="107"/>
        <v>0</v>
      </c>
      <c r="D45" s="128">
        <f t="shared" si="107"/>
        <v>65</v>
      </c>
      <c r="E45" s="128">
        <f t="shared" si="107"/>
        <v>0</v>
      </c>
      <c r="F45" s="128">
        <f t="shared" si="107"/>
        <v>266</v>
      </c>
      <c r="G45" s="128">
        <f t="shared" si="107"/>
        <v>287</v>
      </c>
      <c r="H45" s="128">
        <f t="shared" si="107"/>
        <v>0</v>
      </c>
      <c r="I45" s="128">
        <f t="shared" si="107"/>
        <v>0</v>
      </c>
      <c r="J45" s="25">
        <f t="shared" si="71"/>
        <v>618</v>
      </c>
      <c r="K45" s="26">
        <f aca="true" t="shared" si="108" ref="K45:T45">K39+K40+K41</f>
        <v>618</v>
      </c>
      <c r="L45" s="29">
        <f t="shared" si="108"/>
        <v>1000</v>
      </c>
      <c r="M45" s="25">
        <f t="shared" si="108"/>
        <v>0</v>
      </c>
      <c r="N45" s="25">
        <f t="shared" si="108"/>
        <v>0</v>
      </c>
      <c r="O45" s="25">
        <f t="shared" si="108"/>
        <v>0</v>
      </c>
      <c r="P45" s="25">
        <f t="shared" si="108"/>
        <v>0</v>
      </c>
      <c r="Q45" s="25">
        <f t="shared" si="108"/>
        <v>75</v>
      </c>
      <c r="R45" s="25">
        <f t="shared" si="108"/>
        <v>0</v>
      </c>
      <c r="S45" s="25">
        <f t="shared" si="108"/>
        <v>0</v>
      </c>
      <c r="T45" s="25">
        <f t="shared" si="108"/>
        <v>0</v>
      </c>
      <c r="U45" s="25">
        <f t="shared" si="72"/>
        <v>1075</v>
      </c>
      <c r="V45" s="26">
        <f aca="true" t="shared" si="109" ref="V45:AC45">V39+V40+V41</f>
        <v>75</v>
      </c>
      <c r="W45" s="25">
        <f t="shared" si="109"/>
        <v>0</v>
      </c>
      <c r="X45" s="25">
        <f t="shared" si="109"/>
        <v>0</v>
      </c>
      <c r="Y45" s="25">
        <f t="shared" si="109"/>
        <v>4977</v>
      </c>
      <c r="Z45" s="25">
        <f t="shared" si="109"/>
        <v>0</v>
      </c>
      <c r="AA45" s="25">
        <f t="shared" si="109"/>
        <v>0</v>
      </c>
      <c r="AB45" s="25">
        <f t="shared" si="109"/>
        <v>0</v>
      </c>
      <c r="AC45" s="25">
        <f t="shared" si="109"/>
        <v>200</v>
      </c>
      <c r="AD45" s="25">
        <f t="shared" si="73"/>
        <v>5177</v>
      </c>
      <c r="AE45" s="26">
        <f aca="true" t="shared" si="110" ref="AE45:AK45">AE39+AE40+AE41</f>
        <v>5177</v>
      </c>
      <c r="AF45" s="25">
        <f t="shared" si="110"/>
        <v>1000</v>
      </c>
      <c r="AG45" s="25">
        <f t="shared" si="110"/>
        <v>0</v>
      </c>
      <c r="AH45" s="25">
        <f t="shared" si="110"/>
        <v>2500</v>
      </c>
      <c r="AI45" s="25">
        <f t="shared" si="110"/>
        <v>0</v>
      </c>
      <c r="AJ45" s="25">
        <f t="shared" si="110"/>
        <v>0</v>
      </c>
      <c r="AK45" s="25">
        <f t="shared" si="110"/>
        <v>0</v>
      </c>
      <c r="AL45" s="25">
        <f t="shared" si="74"/>
        <v>3500</v>
      </c>
      <c r="AM45" s="26">
        <f aca="true" t="shared" si="111" ref="AM45:AS45">AM39+AM40+AM41</f>
        <v>2500</v>
      </c>
      <c r="AN45" s="25">
        <f t="shared" si="111"/>
        <v>0</v>
      </c>
      <c r="AO45" s="25">
        <f t="shared" si="111"/>
        <v>0</v>
      </c>
      <c r="AP45" s="25">
        <f t="shared" si="111"/>
        <v>0</v>
      </c>
      <c r="AQ45" s="25">
        <f t="shared" si="111"/>
        <v>699</v>
      </c>
      <c r="AR45" s="25">
        <f t="shared" si="111"/>
        <v>0</v>
      </c>
      <c r="AS45" s="25">
        <f t="shared" si="111"/>
        <v>0</v>
      </c>
      <c r="AT45" s="25">
        <f t="shared" si="75"/>
        <v>699</v>
      </c>
      <c r="AU45" s="180">
        <f aca="true" t="shared" si="112" ref="AU45:BW45">AU39+AU40+AU41</f>
        <v>699</v>
      </c>
      <c r="AV45" s="200">
        <f t="shared" si="112"/>
        <v>2000</v>
      </c>
      <c r="AW45" s="90">
        <f t="shared" si="112"/>
        <v>11069</v>
      </c>
      <c r="AX45" s="91">
        <f t="shared" si="112"/>
        <v>9069</v>
      </c>
      <c r="AY45" s="191">
        <f t="shared" si="112"/>
        <v>240413</v>
      </c>
      <c r="AZ45" s="25">
        <f t="shared" si="112"/>
        <v>0</v>
      </c>
      <c r="BA45" s="25">
        <f t="shared" si="112"/>
        <v>2160</v>
      </c>
      <c r="BB45" s="25">
        <f t="shared" si="112"/>
        <v>-4522</v>
      </c>
      <c r="BC45" s="25">
        <f t="shared" si="112"/>
        <v>7871</v>
      </c>
      <c r="BD45" s="25">
        <f t="shared" si="112"/>
        <v>0</v>
      </c>
      <c r="BE45" s="25">
        <f t="shared" si="112"/>
        <v>0</v>
      </c>
      <c r="BF45" s="25">
        <f t="shared" si="112"/>
        <v>1200</v>
      </c>
      <c r="BG45" s="25">
        <f t="shared" si="112"/>
        <v>0</v>
      </c>
      <c r="BH45" s="25">
        <f t="shared" si="112"/>
        <v>0</v>
      </c>
      <c r="BI45" s="25">
        <f t="shared" si="112"/>
        <v>-379</v>
      </c>
      <c r="BJ45" s="25">
        <f t="shared" si="112"/>
        <v>0</v>
      </c>
      <c r="BK45" s="25">
        <f t="shared" si="112"/>
        <v>4480</v>
      </c>
      <c r="BL45" s="25">
        <f t="shared" si="112"/>
        <v>0</v>
      </c>
      <c r="BM45" s="25">
        <f t="shared" si="112"/>
        <v>6688</v>
      </c>
      <c r="BN45" s="25">
        <f t="shared" si="112"/>
        <v>0</v>
      </c>
      <c r="BO45" s="25">
        <f t="shared" si="112"/>
        <v>91384</v>
      </c>
      <c r="BP45" s="25">
        <f t="shared" si="112"/>
        <v>142504</v>
      </c>
      <c r="BQ45" s="25">
        <f t="shared" si="112"/>
        <v>59138</v>
      </c>
      <c r="BR45" s="25">
        <f t="shared" si="112"/>
        <v>84309</v>
      </c>
      <c r="BS45" s="25">
        <f t="shared" si="112"/>
        <v>290000</v>
      </c>
      <c r="BT45" s="25">
        <f t="shared" si="112"/>
        <v>0</v>
      </c>
      <c r="BU45" s="25">
        <f t="shared" si="112"/>
        <v>-2850</v>
      </c>
      <c r="BV45" s="25">
        <f t="shared" si="112"/>
        <v>0</v>
      </c>
      <c r="BW45" s="25">
        <f t="shared" si="112"/>
        <v>0</v>
      </c>
      <c r="BX45" s="78">
        <f t="shared" si="78"/>
        <v>922396</v>
      </c>
      <c r="BY45" s="26">
        <f>BY39+BY40+BY41</f>
        <v>681983</v>
      </c>
      <c r="BZ45" s="27">
        <f>BZ39+BZ40+BZ41</f>
        <v>242413</v>
      </c>
      <c r="CA45" s="27">
        <f t="shared" si="79"/>
        <v>933465</v>
      </c>
      <c r="CB45" s="28">
        <f>CB39+CB40+CB41</f>
        <v>691052</v>
      </c>
      <c r="CC45" s="29">
        <f>CC39+CC40+CC41</f>
        <v>242413</v>
      </c>
      <c r="CD45" s="27">
        <f>CD39+CD40+CD41</f>
        <v>933465</v>
      </c>
      <c r="CE45" s="28">
        <f>CE39+CE40+CE41</f>
        <v>691052</v>
      </c>
    </row>
    <row r="46" spans="1:83" s="30" customFormat="1" ht="18" customHeight="1" thickBot="1">
      <c r="A46" s="98" t="s">
        <v>51</v>
      </c>
      <c r="B46" s="39">
        <f aca="true" t="shared" si="113" ref="B46:I46">B45+B38</f>
        <v>35991</v>
      </c>
      <c r="C46" s="132">
        <f t="shared" si="113"/>
        <v>1195</v>
      </c>
      <c r="D46" s="132">
        <f t="shared" si="113"/>
        <v>1463</v>
      </c>
      <c r="E46" s="132">
        <f t="shared" si="113"/>
        <v>860</v>
      </c>
      <c r="F46" s="132">
        <f t="shared" si="113"/>
        <v>1244</v>
      </c>
      <c r="G46" s="132">
        <f t="shared" si="113"/>
        <v>0</v>
      </c>
      <c r="H46" s="132">
        <f t="shared" si="113"/>
        <v>0</v>
      </c>
      <c r="I46" s="132">
        <f t="shared" si="113"/>
        <v>0</v>
      </c>
      <c r="J46" s="39">
        <f t="shared" si="71"/>
        <v>40753</v>
      </c>
      <c r="K46" s="40">
        <f aca="true" t="shared" si="114" ref="K46:T46">K45+K38</f>
        <v>4762</v>
      </c>
      <c r="L46" s="146">
        <f t="shared" si="114"/>
        <v>115153</v>
      </c>
      <c r="M46" s="39">
        <f t="shared" si="114"/>
        <v>1324</v>
      </c>
      <c r="N46" s="39">
        <f t="shared" si="114"/>
        <v>7217</v>
      </c>
      <c r="O46" s="39">
        <f t="shared" si="114"/>
        <v>300</v>
      </c>
      <c r="P46" s="39">
        <f t="shared" si="114"/>
        <v>800</v>
      </c>
      <c r="Q46" s="39">
        <f t="shared" si="114"/>
        <v>559</v>
      </c>
      <c r="R46" s="39">
        <f t="shared" si="114"/>
        <v>1252</v>
      </c>
      <c r="S46" s="39">
        <f t="shared" si="114"/>
        <v>0</v>
      </c>
      <c r="T46" s="39">
        <f t="shared" si="114"/>
        <v>0</v>
      </c>
      <c r="U46" s="39">
        <f t="shared" si="72"/>
        <v>126605</v>
      </c>
      <c r="V46" s="40">
        <f aca="true" t="shared" si="115" ref="V46:AC46">V45+V38</f>
        <v>11452</v>
      </c>
      <c r="W46" s="39">
        <f t="shared" si="115"/>
        <v>44455</v>
      </c>
      <c r="X46" s="39">
        <f t="shared" si="115"/>
        <v>1111</v>
      </c>
      <c r="Y46" s="39">
        <f t="shared" si="115"/>
        <v>9360</v>
      </c>
      <c r="Z46" s="39">
        <f t="shared" si="115"/>
        <v>352</v>
      </c>
      <c r="AA46" s="39">
        <f t="shared" si="115"/>
        <v>600</v>
      </c>
      <c r="AB46" s="39">
        <f t="shared" si="115"/>
        <v>488</v>
      </c>
      <c r="AC46" s="39">
        <f t="shared" si="115"/>
        <v>0</v>
      </c>
      <c r="AD46" s="39">
        <f t="shared" si="73"/>
        <v>56366</v>
      </c>
      <c r="AE46" s="40">
        <f aca="true" t="shared" si="116" ref="AE46:AK46">AE45+AE38</f>
        <v>11911</v>
      </c>
      <c r="AF46" s="39">
        <f t="shared" si="116"/>
        <v>299344</v>
      </c>
      <c r="AG46" s="39">
        <f t="shared" si="116"/>
        <v>989</v>
      </c>
      <c r="AH46" s="39">
        <f t="shared" si="116"/>
        <v>6501</v>
      </c>
      <c r="AI46" s="39">
        <f t="shared" si="116"/>
        <v>491</v>
      </c>
      <c r="AJ46" s="39">
        <f t="shared" si="116"/>
        <v>0</v>
      </c>
      <c r="AK46" s="39">
        <f t="shared" si="116"/>
        <v>0</v>
      </c>
      <c r="AL46" s="39">
        <f t="shared" si="74"/>
        <v>307325</v>
      </c>
      <c r="AM46" s="40">
        <f aca="true" t="shared" si="117" ref="AM46:AS46">AM45+AM38</f>
        <v>7981</v>
      </c>
      <c r="AN46" s="39">
        <f t="shared" si="117"/>
        <v>233550</v>
      </c>
      <c r="AO46" s="39">
        <f t="shared" si="117"/>
        <v>12294</v>
      </c>
      <c r="AP46" s="39">
        <f t="shared" si="117"/>
        <v>7571</v>
      </c>
      <c r="AQ46" s="39">
        <f t="shared" si="117"/>
        <v>0</v>
      </c>
      <c r="AR46" s="39">
        <f t="shared" si="117"/>
        <v>0</v>
      </c>
      <c r="AS46" s="39">
        <f t="shared" si="117"/>
        <v>0</v>
      </c>
      <c r="AT46" s="39">
        <f t="shared" si="75"/>
        <v>253415</v>
      </c>
      <c r="AU46" s="184">
        <f aca="true" t="shared" si="118" ref="AU46:BW46">AU45+AU38</f>
        <v>19865</v>
      </c>
      <c r="AV46" s="202">
        <f t="shared" si="118"/>
        <v>728493</v>
      </c>
      <c r="AW46" s="99">
        <f t="shared" si="118"/>
        <v>784464</v>
      </c>
      <c r="AX46" s="203">
        <f t="shared" si="118"/>
        <v>55971</v>
      </c>
      <c r="AY46" s="195">
        <f t="shared" si="118"/>
        <v>1219338</v>
      </c>
      <c r="AZ46" s="39">
        <f t="shared" si="118"/>
        <v>15057</v>
      </c>
      <c r="BA46" s="39">
        <f t="shared" si="118"/>
        <v>9000</v>
      </c>
      <c r="BB46" s="39">
        <f t="shared" si="118"/>
        <v>0</v>
      </c>
      <c r="BC46" s="39">
        <f t="shared" si="118"/>
        <v>23015</v>
      </c>
      <c r="BD46" s="39">
        <f t="shared" si="118"/>
        <v>332</v>
      </c>
      <c r="BE46" s="39">
        <f t="shared" si="118"/>
        <v>0</v>
      </c>
      <c r="BF46" s="39">
        <f t="shared" si="118"/>
        <v>0</v>
      </c>
      <c r="BG46" s="39">
        <f t="shared" si="118"/>
        <v>222</v>
      </c>
      <c r="BH46" s="39">
        <f t="shared" si="118"/>
        <v>9000</v>
      </c>
      <c r="BI46" s="39">
        <f t="shared" si="118"/>
        <v>0</v>
      </c>
      <c r="BJ46" s="39">
        <f t="shared" si="118"/>
        <v>-488</v>
      </c>
      <c r="BK46" s="39">
        <f t="shared" si="118"/>
        <v>0</v>
      </c>
      <c r="BL46" s="39">
        <f t="shared" si="118"/>
        <v>300</v>
      </c>
      <c r="BM46" s="39">
        <f t="shared" si="118"/>
        <v>6688</v>
      </c>
      <c r="BN46" s="39">
        <f t="shared" si="118"/>
        <v>0</v>
      </c>
      <c r="BO46" s="39">
        <f t="shared" si="118"/>
        <v>93000</v>
      </c>
      <c r="BP46" s="39">
        <f t="shared" si="118"/>
        <v>142504</v>
      </c>
      <c r="BQ46" s="39">
        <f t="shared" si="118"/>
        <v>59138</v>
      </c>
      <c r="BR46" s="39">
        <f t="shared" si="118"/>
        <v>84309</v>
      </c>
      <c r="BS46" s="39">
        <f t="shared" si="118"/>
        <v>290000</v>
      </c>
      <c r="BT46" s="39">
        <f t="shared" si="118"/>
        <v>0</v>
      </c>
      <c r="BU46" s="39">
        <f t="shared" si="118"/>
        <v>0</v>
      </c>
      <c r="BV46" s="39">
        <f t="shared" si="118"/>
        <v>0</v>
      </c>
      <c r="BW46" s="39">
        <f t="shared" si="118"/>
        <v>0</v>
      </c>
      <c r="BX46" s="78">
        <f t="shared" si="78"/>
        <v>1951415</v>
      </c>
      <c r="BY46" s="40">
        <f>BY45+BY38</f>
        <v>732077</v>
      </c>
      <c r="BZ46" s="41">
        <f>BZ45+BZ38</f>
        <v>1947831</v>
      </c>
      <c r="CA46" s="41">
        <f t="shared" si="79"/>
        <v>2735879</v>
      </c>
      <c r="CB46" s="42">
        <f>CB45+CB38</f>
        <v>788048</v>
      </c>
      <c r="CC46" s="146">
        <f>CC45+CC38</f>
        <v>1947831</v>
      </c>
      <c r="CD46" s="41">
        <f>CD45+CD38</f>
        <v>2735879</v>
      </c>
      <c r="CE46" s="42">
        <f>CE45+CE38</f>
        <v>788048</v>
      </c>
    </row>
    <row r="47" spans="1:83" s="14" customFormat="1" ht="18" customHeight="1" thickBot="1">
      <c r="A47" s="110" t="s">
        <v>52</v>
      </c>
      <c r="B47" s="25">
        <v>0</v>
      </c>
      <c r="C47" s="128">
        <v>0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25">
        <f t="shared" si="71"/>
        <v>0</v>
      </c>
      <c r="K47" s="26">
        <f>J47-B47</f>
        <v>0</v>
      </c>
      <c r="L47" s="29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f t="shared" si="72"/>
        <v>0</v>
      </c>
      <c r="V47" s="26">
        <f>U47-L47</f>
        <v>0</v>
      </c>
      <c r="W47" s="27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7">
        <f t="shared" si="73"/>
        <v>0</v>
      </c>
      <c r="AE47" s="28">
        <f>AD47-W47</f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f t="shared" si="74"/>
        <v>0</v>
      </c>
      <c r="AM47" s="28">
        <f>AL47-AF47</f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f t="shared" si="75"/>
        <v>0</v>
      </c>
      <c r="AU47" s="157">
        <f>AT47-AN47</f>
        <v>0</v>
      </c>
      <c r="AV47" s="200">
        <f>B47+L47+W47+AF47</f>
        <v>0</v>
      </c>
      <c r="AW47" s="90">
        <f>J47+U47+AD47+AL47</f>
        <v>0</v>
      </c>
      <c r="AX47" s="91">
        <f>AW47-AV47</f>
        <v>0</v>
      </c>
      <c r="AY47" s="211">
        <v>573606</v>
      </c>
      <c r="AZ47" s="27">
        <f>10483+3310+3120+1244</f>
        <v>18157</v>
      </c>
      <c r="BA47" s="27"/>
      <c r="BB47" s="27"/>
      <c r="BC47" s="27">
        <f>-10667+548</f>
        <v>-10119</v>
      </c>
      <c r="BD47" s="27"/>
      <c r="BE47" s="27"/>
      <c r="BF47" s="27"/>
      <c r="BG47" s="27"/>
      <c r="BH47" s="27"/>
      <c r="BI47" s="27"/>
      <c r="BJ47" s="27">
        <v>488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78">
        <f t="shared" si="78"/>
        <v>582132</v>
      </c>
      <c r="BY47" s="28">
        <f>BX47-AY47</f>
        <v>8526</v>
      </c>
      <c r="BZ47" s="27">
        <f>AV47+AY47</f>
        <v>573606</v>
      </c>
      <c r="CA47" s="27">
        <f t="shared" si="79"/>
        <v>582132</v>
      </c>
      <c r="CB47" s="28">
        <f>CA47-BZ47</f>
        <v>8526</v>
      </c>
      <c r="CC47" s="174">
        <f>BZ47-AV23</f>
        <v>29068</v>
      </c>
      <c r="CD47" s="58">
        <f>CA47-AW23</f>
        <v>29068</v>
      </c>
      <c r="CE47" s="59">
        <f>CD47-CC47</f>
        <v>0</v>
      </c>
    </row>
    <row r="48" spans="1:83" s="30" customFormat="1" ht="18" customHeight="1" thickBot="1">
      <c r="A48" s="107" t="s">
        <v>53</v>
      </c>
      <c r="B48" s="47">
        <f aca="true" t="shared" si="119" ref="B48:I48">B47+B46</f>
        <v>35991</v>
      </c>
      <c r="C48" s="134">
        <f t="shared" si="119"/>
        <v>1195</v>
      </c>
      <c r="D48" s="134">
        <f t="shared" si="119"/>
        <v>1463</v>
      </c>
      <c r="E48" s="134">
        <f t="shared" si="119"/>
        <v>860</v>
      </c>
      <c r="F48" s="134">
        <f t="shared" si="119"/>
        <v>1244</v>
      </c>
      <c r="G48" s="134">
        <f t="shared" si="119"/>
        <v>0</v>
      </c>
      <c r="H48" s="134">
        <f t="shared" si="119"/>
        <v>0</v>
      </c>
      <c r="I48" s="134">
        <f t="shared" si="119"/>
        <v>0</v>
      </c>
      <c r="J48" s="47">
        <f t="shared" si="71"/>
        <v>40753</v>
      </c>
      <c r="K48" s="48">
        <f aca="true" t="shared" si="120" ref="K48:T48">K47+K46</f>
        <v>4762</v>
      </c>
      <c r="L48" s="148">
        <f t="shared" si="120"/>
        <v>115153</v>
      </c>
      <c r="M48" s="47">
        <f t="shared" si="120"/>
        <v>1324</v>
      </c>
      <c r="N48" s="47">
        <f t="shared" si="120"/>
        <v>7217</v>
      </c>
      <c r="O48" s="47">
        <f t="shared" si="120"/>
        <v>300</v>
      </c>
      <c r="P48" s="47">
        <f t="shared" si="120"/>
        <v>800</v>
      </c>
      <c r="Q48" s="47">
        <f t="shared" si="120"/>
        <v>559</v>
      </c>
      <c r="R48" s="47">
        <f t="shared" si="120"/>
        <v>1252</v>
      </c>
      <c r="S48" s="47">
        <f t="shared" si="120"/>
        <v>0</v>
      </c>
      <c r="T48" s="47">
        <f t="shared" si="120"/>
        <v>0</v>
      </c>
      <c r="U48" s="47">
        <f t="shared" si="72"/>
        <v>126605</v>
      </c>
      <c r="V48" s="48">
        <f aca="true" t="shared" si="121" ref="V48:AC48">V47+V46</f>
        <v>11452</v>
      </c>
      <c r="W48" s="47">
        <f t="shared" si="121"/>
        <v>44455</v>
      </c>
      <c r="X48" s="47">
        <f t="shared" si="121"/>
        <v>1111</v>
      </c>
      <c r="Y48" s="47">
        <f t="shared" si="121"/>
        <v>9360</v>
      </c>
      <c r="Z48" s="47">
        <f t="shared" si="121"/>
        <v>352</v>
      </c>
      <c r="AA48" s="47">
        <f t="shared" si="121"/>
        <v>600</v>
      </c>
      <c r="AB48" s="47">
        <f t="shared" si="121"/>
        <v>488</v>
      </c>
      <c r="AC48" s="47">
        <f t="shared" si="121"/>
        <v>0</v>
      </c>
      <c r="AD48" s="47">
        <f t="shared" si="73"/>
        <v>56366</v>
      </c>
      <c r="AE48" s="48">
        <f aca="true" t="shared" si="122" ref="AE48:AK48">AE47+AE46</f>
        <v>11911</v>
      </c>
      <c r="AF48" s="47">
        <f t="shared" si="122"/>
        <v>299344</v>
      </c>
      <c r="AG48" s="47">
        <f t="shared" si="122"/>
        <v>989</v>
      </c>
      <c r="AH48" s="47">
        <f t="shared" si="122"/>
        <v>6501</v>
      </c>
      <c r="AI48" s="47">
        <f t="shared" si="122"/>
        <v>491</v>
      </c>
      <c r="AJ48" s="47">
        <f t="shared" si="122"/>
        <v>0</v>
      </c>
      <c r="AK48" s="47">
        <f t="shared" si="122"/>
        <v>0</v>
      </c>
      <c r="AL48" s="47">
        <f t="shared" si="74"/>
        <v>307325</v>
      </c>
      <c r="AM48" s="48">
        <f aca="true" t="shared" si="123" ref="AM48:AS48">AM47+AM46</f>
        <v>7981</v>
      </c>
      <c r="AN48" s="47">
        <f t="shared" si="123"/>
        <v>233550</v>
      </c>
      <c r="AO48" s="47">
        <f t="shared" si="123"/>
        <v>12294</v>
      </c>
      <c r="AP48" s="47">
        <f t="shared" si="123"/>
        <v>7571</v>
      </c>
      <c r="AQ48" s="47">
        <f t="shared" si="123"/>
        <v>0</v>
      </c>
      <c r="AR48" s="47">
        <f t="shared" si="123"/>
        <v>0</v>
      </c>
      <c r="AS48" s="47">
        <f t="shared" si="123"/>
        <v>0</v>
      </c>
      <c r="AT48" s="47">
        <f t="shared" si="75"/>
        <v>253415</v>
      </c>
      <c r="AU48" s="186">
        <f aca="true" t="shared" si="124" ref="AU48:BW48">AU47+AU46</f>
        <v>19865</v>
      </c>
      <c r="AV48" s="206">
        <f t="shared" si="124"/>
        <v>728493</v>
      </c>
      <c r="AW48" s="108">
        <f t="shared" si="124"/>
        <v>784464</v>
      </c>
      <c r="AX48" s="207">
        <f t="shared" si="124"/>
        <v>55971</v>
      </c>
      <c r="AY48" s="191">
        <f t="shared" si="124"/>
        <v>1792944</v>
      </c>
      <c r="AZ48" s="25">
        <f t="shared" si="124"/>
        <v>33214</v>
      </c>
      <c r="BA48" s="25">
        <f t="shared" si="124"/>
        <v>9000</v>
      </c>
      <c r="BB48" s="25">
        <f t="shared" si="124"/>
        <v>0</v>
      </c>
      <c r="BC48" s="25">
        <f t="shared" si="124"/>
        <v>12896</v>
      </c>
      <c r="BD48" s="25">
        <f t="shared" si="124"/>
        <v>332</v>
      </c>
      <c r="BE48" s="25">
        <f t="shared" si="124"/>
        <v>0</v>
      </c>
      <c r="BF48" s="25">
        <f t="shared" si="124"/>
        <v>0</v>
      </c>
      <c r="BG48" s="25">
        <f t="shared" si="124"/>
        <v>222</v>
      </c>
      <c r="BH48" s="25">
        <f t="shared" si="124"/>
        <v>9000</v>
      </c>
      <c r="BI48" s="25">
        <f t="shared" si="124"/>
        <v>0</v>
      </c>
      <c r="BJ48" s="25">
        <f t="shared" si="124"/>
        <v>0</v>
      </c>
      <c r="BK48" s="25">
        <f t="shared" si="124"/>
        <v>0</v>
      </c>
      <c r="BL48" s="25">
        <f t="shared" si="124"/>
        <v>300</v>
      </c>
      <c r="BM48" s="25">
        <f t="shared" si="124"/>
        <v>6688</v>
      </c>
      <c r="BN48" s="25">
        <f t="shared" si="124"/>
        <v>0</v>
      </c>
      <c r="BO48" s="25">
        <f t="shared" si="124"/>
        <v>93000</v>
      </c>
      <c r="BP48" s="25">
        <f t="shared" si="124"/>
        <v>142504</v>
      </c>
      <c r="BQ48" s="25">
        <f t="shared" si="124"/>
        <v>59138</v>
      </c>
      <c r="BR48" s="25">
        <f t="shared" si="124"/>
        <v>84309</v>
      </c>
      <c r="BS48" s="25">
        <f t="shared" si="124"/>
        <v>290000</v>
      </c>
      <c r="BT48" s="25">
        <f t="shared" si="124"/>
        <v>0</v>
      </c>
      <c r="BU48" s="25">
        <f t="shared" si="124"/>
        <v>0</v>
      </c>
      <c r="BV48" s="25">
        <f t="shared" si="124"/>
        <v>0</v>
      </c>
      <c r="BW48" s="25">
        <f t="shared" si="124"/>
        <v>0</v>
      </c>
      <c r="BX48" s="27">
        <f t="shared" si="78"/>
        <v>2533547</v>
      </c>
      <c r="BY48" s="26">
        <f>BY47+BY46</f>
        <v>740603</v>
      </c>
      <c r="BZ48" s="49">
        <f>BZ47+BZ46</f>
        <v>2521437</v>
      </c>
      <c r="CA48" s="49">
        <f t="shared" si="79"/>
        <v>3318011</v>
      </c>
      <c r="CB48" s="50">
        <f>CB47+CB46</f>
        <v>796574</v>
      </c>
      <c r="CC48" s="29">
        <f>CC47+CC46</f>
        <v>1976899</v>
      </c>
      <c r="CD48" s="27">
        <f>CD47+CD46</f>
        <v>2764947</v>
      </c>
      <c r="CE48" s="28">
        <f>CE47+CE46</f>
        <v>788048</v>
      </c>
    </row>
    <row r="49" spans="2:83" s="63" customFormat="1" ht="18" customHeight="1">
      <c r="B49" s="52"/>
      <c r="C49" s="136"/>
      <c r="D49" s="136"/>
      <c r="E49" s="136"/>
      <c r="F49" s="136"/>
      <c r="G49" s="136"/>
      <c r="H49" s="136"/>
      <c r="I49" s="136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X49" s="52"/>
      <c r="Y49" s="52"/>
      <c r="Z49" s="52"/>
      <c r="AA49" s="52"/>
      <c r="AB49" s="52"/>
      <c r="AC49" s="52"/>
      <c r="AV49" s="62"/>
      <c r="AW49" s="62"/>
      <c r="AX49" s="62"/>
      <c r="BX49" s="64"/>
      <c r="BZ49" s="64"/>
      <c r="CA49" s="64"/>
      <c r="CB49" s="64"/>
      <c r="CD49" s="64"/>
      <c r="CE49" s="64"/>
    </row>
  </sheetData>
  <sheetProtection/>
  <mergeCells count="29">
    <mergeCell ref="BZ2:CE2"/>
    <mergeCell ref="AY3:BI3"/>
    <mergeCell ref="BJ3:BQ3"/>
    <mergeCell ref="BR3:BY3"/>
    <mergeCell ref="AY2:BI2"/>
    <mergeCell ref="BJ2:BQ2"/>
    <mergeCell ref="BR2:BY2"/>
    <mergeCell ref="L2:V2"/>
    <mergeCell ref="W2:AE2"/>
    <mergeCell ref="AF2:AU2"/>
    <mergeCell ref="B2:K2"/>
    <mergeCell ref="AV2:AX2"/>
    <mergeCell ref="B3:K3"/>
    <mergeCell ref="B27:K27"/>
    <mergeCell ref="AF3:AM3"/>
    <mergeCell ref="AV3:AX3"/>
    <mergeCell ref="AV27:AX27"/>
    <mergeCell ref="L3:V3"/>
    <mergeCell ref="L27:V27"/>
    <mergeCell ref="W3:AE3"/>
    <mergeCell ref="W27:AE27"/>
    <mergeCell ref="AF27:AM27"/>
    <mergeCell ref="AY27:BK27"/>
    <mergeCell ref="BZ3:CB3"/>
    <mergeCell ref="CC27:CE27"/>
    <mergeCell ref="CC3:CE3"/>
    <mergeCell ref="BZ27:CB27"/>
    <mergeCell ref="AN3:AU3"/>
    <mergeCell ref="AN27:AU27"/>
  </mergeCells>
  <printOptions/>
  <pageMargins left="0.5118110236220472" right="0.3937007874015748" top="0.37" bottom="0.33" header="0.31" footer="0.31"/>
  <pageSetup fitToWidth="8" horizontalDpi="600" verticalDpi="600" orientation="portrait" paperSize="9" scale="61" r:id="rId1"/>
  <colBreaks count="8" manualBreakCount="8">
    <brk id="11" min="1" max="52" man="1"/>
    <brk id="22" min="1" max="52" man="1"/>
    <brk id="31" min="1" max="52" man="1"/>
    <brk id="47" min="1" max="52" man="1"/>
    <brk id="50" min="1" max="52" man="1"/>
    <brk id="61" max="52" man="1"/>
    <brk id="69" max="48" man="1"/>
    <brk id="7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Otthon</cp:lastModifiedBy>
  <cp:lastPrinted>2017-08-25T06:21:04Z</cp:lastPrinted>
  <dcterms:created xsi:type="dcterms:W3CDTF">2015-08-11T11:50:27Z</dcterms:created>
  <dcterms:modified xsi:type="dcterms:W3CDTF">2017-09-21T08:47:56Z</dcterms:modified>
  <cp:category/>
  <cp:version/>
  <cp:contentType/>
  <cp:contentStatus/>
</cp:coreProperties>
</file>