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73" firstSheet="14" activeTab="30"/>
  </bookViews>
  <sheets>
    <sheet name="TARTALOMJEGYZÉK" sheetId="1" r:id="rId1"/>
    <sheet name="ALAPADATOK" sheetId="2" r:id="rId2"/>
    <sheet name="KV_ÖSSZEFÜGGÉSEK" sheetId="3" r:id="rId3"/>
    <sheet name="Össz.ÖNK" sheetId="4" r:id="rId4"/>
    <sheet name="Össz.Önk. KÖT." sheetId="5" r:id="rId5"/>
    <sheet name="Össz. Önk. ÖNV." sheetId="6" r:id="rId6"/>
    <sheet name="Össz. Önk. ÁIG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Beruházások" sheetId="14" r:id="rId14"/>
    <sheet name="Felújítások" sheetId="15" r:id="rId15"/>
    <sheet name="KV_8.sz.mell." sheetId="16" r:id="rId16"/>
    <sheet name="ÖNKORM." sheetId="17" r:id="rId17"/>
    <sheet name="ÖNK-Kötelező" sheetId="18" r:id="rId18"/>
    <sheet name="ÖNK-Önként v." sheetId="19" r:id="rId19"/>
    <sheet name="ÖNK-ÁIG" sheetId="20" r:id="rId20"/>
    <sheet name="KÖZÖS HIVATAL" sheetId="21" r:id="rId21"/>
    <sheet name="KÖH KÖT" sheetId="22" r:id="rId22"/>
    <sheet name="ÁMK" sheetId="23" r:id="rId23"/>
    <sheet name="ÁMK KÖT" sheetId="24" r:id="rId24"/>
    <sheet name="KV_10.sz.mell" sheetId="25" r:id="rId25"/>
    <sheet name="3 év tájékoztató" sheetId="26" r:id="rId26"/>
    <sheet name="KV_2.sz.tájékoztató_t." sheetId="27" r:id="rId27"/>
    <sheet name="KV_3.sz.tájékoztató_t." sheetId="28" r:id="rId28"/>
    <sheet name="KV_4.sz.tájékoztató_t." sheetId="29" r:id="rId29"/>
    <sheet name="Központi költségvetési tám." sheetId="30" r:id="rId30"/>
    <sheet name="Adott támogatások" sheetId="31" r:id="rId31"/>
    <sheet name="KV_7.sz.tájékoztató_t." sheetId="32" r:id="rId32"/>
  </sheets>
  <externalReferences>
    <externalReference r:id="rId35"/>
  </externalReferences>
  <definedNames>
    <definedName name="_xlfn.IFERROR" hidden="1">#NAME?</definedName>
    <definedName name="_xlnm.Print_Titles" localSheetId="22">'ÁMK'!$1:$6</definedName>
    <definedName name="_xlnm.Print_Titles" localSheetId="23">'ÁMK KÖT'!$1:$6</definedName>
    <definedName name="_xlnm.Print_Titles" localSheetId="21">'KÖH KÖT'!$1:$6</definedName>
    <definedName name="_xlnm.Print_Titles" localSheetId="20">'KÖZÖS HIVATAL'!$1:$6</definedName>
    <definedName name="_xlnm.Print_Titles" localSheetId="19">'ÖNK-ÁIG'!$1:$6</definedName>
    <definedName name="_xlnm.Print_Titles" localSheetId="17">'ÖNK-Kötelező'!$1:$6</definedName>
    <definedName name="_xlnm.Print_Titles" localSheetId="16">'ÖNKORM.'!$1:$6</definedName>
    <definedName name="_xlnm.Print_Titles" localSheetId="18">'ÖNK-Önként v.'!$1:$6</definedName>
    <definedName name="_xlnm.Print_Area" localSheetId="25">'3 év tájékoztató'!$A$1:$E$158</definedName>
    <definedName name="_xlnm.Print_Area" localSheetId="31">'KV_7.sz.tájékoztató_t.'!$A$2:$E$40</definedName>
    <definedName name="_xlnm.Print_Area" localSheetId="6">'Össz. Önk. ÁIG.'!$A$1:$C$164</definedName>
    <definedName name="_xlnm.Print_Area" localSheetId="5">'Össz. Önk. ÖNV.'!$A$1:$C$164</definedName>
    <definedName name="_xlnm.Print_Area" localSheetId="3">'Össz.ÖNK'!$A$1:$C$164</definedName>
    <definedName name="_xlnm.Print_Area" localSheetId="4">'Össz.Önk. KÖT.'!$A$1:$C$164</definedName>
    <definedName name="_xlnm.Print_Area" localSheetId="0">'TARTALOMJEGYZÉK'!$A$1:$C$44</definedName>
  </definedNames>
  <calcPr fullCalcOnLoad="1"/>
</workbook>
</file>

<file path=xl/sharedStrings.xml><?xml version="1.0" encoding="utf-8"?>
<sst xmlns="http://schemas.openxmlformats.org/spreadsheetml/2006/main" count="4227" uniqueCount="775">
  <si>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</si>
  <si>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</si>
  <si>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</si>
  <si>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</si>
  <si>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</si>
  <si>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</si>
  <si>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</si>
  <si>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</si>
  <si>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</si>
  <si>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</si>
  <si>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</si>
  <si>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</si>
  <si>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</si>
  <si>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</si>
  <si>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</si>
  <si>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</si>
  <si>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</si>
  <si>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</si>
  <si>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</si>
  <si>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</si>
  <si>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</si>
  <si>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</si>
  <si>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</si>
  <si>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</si>
  <si>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</si>
  <si>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</si>
  <si>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</si>
  <si>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</si>
  <si>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</si>
  <si>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</si>
  <si>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</si>
  <si>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</si>
  <si>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</si>
  <si>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</si>
  <si>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</si>
  <si>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</si>
  <si>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</si>
  <si>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</si>
  <si>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</si>
  <si>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</si>
  <si>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</si>
  <si>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</si>
  <si>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</si>
  <si>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</si>
  <si>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</si>
  <si>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</si>
  <si>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</si>
  <si>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</si>
  <si>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</si>
  <si>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</si>
  <si>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</si>
  <si>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</si>
  <si>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</si>
  <si>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</si>
  <si>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</si>
  <si>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</si>
  <si>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</si>
  <si>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</si>
  <si>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</si>
  <si>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</si>
  <si>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</si>
  <si>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</si>
  <si>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</si>
  <si>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</si>
  <si>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</si>
  <si>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</si>
  <si>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</si>
  <si>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</si>
  <si>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</si>
  <si>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</si>
  <si>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</si>
  <si>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</si>
  <si>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</si>
  <si>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</si>
  <si>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</si>
  <si>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</si>
  <si>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</si>
  <si>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</si>
  <si>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</si>
  <si>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</si>
  <si>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</si>
  <si>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</si>
  <si>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</si>
  <si>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</si>
  <si>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</si>
  <si>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</si>
  <si>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</si>
  <si>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</si>
  <si>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</si>
  <si>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</si>
  <si>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</si>
  <si>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</si>
  <si>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</si>
  <si>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</si>
  <si>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</si>
  <si>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</si>
  <si>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</si>
  <si>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</si>
  <si>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</si>
  <si>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</si>
  <si>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</si>
  <si>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</si>
  <si>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</si>
  <si>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</si>
  <si>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</si>
  <si>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</si>
  <si>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</si>
  <si>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</si>
  <si>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</si>
  <si>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</si>
  <si>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</si>
  <si>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</si>
  <si>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</si>
  <si>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</si>
  <si>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</si>
  <si>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</si>
  <si>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</si>
  <si>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</si>
  <si>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</si>
  <si>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</si>
  <si>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</si>
  <si>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</si>
  <si>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</si>
  <si>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</si>
  <si>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</si>
  <si>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</si>
  <si>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</si>
  <si>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</si>
  <si>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</si>
  <si>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</si>
  <si>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</si>
  <si>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</si>
  <si>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</si>
  <si>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</si>
  <si>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</si>
  <si>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</si>
  <si>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</si>
  <si>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</si>
  <si>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</si>
  <si>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</si>
  <si>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</si>
  <si>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</si>
  <si>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</si>
  <si>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</si>
  <si>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</si>
  <si>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</si>
  <si>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</si>
  <si>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</si>
  <si>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</si>
  <si>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</si>
  <si>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</si>
  <si>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</si>
  <si>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</si>
  <si>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</si>
  <si>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</si>
  <si>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</si>
  <si>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</si>
  <si>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</si>
  <si>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</si>
  <si>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</si>
  <si>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</si>
  <si>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</si>
  <si>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</si>
  <si>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</si>
  <si>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</si>
  <si>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</si>
  <si>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</si>
  <si>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</si>
  <si>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</si>
  <si>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</si>
  <si>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</si>
  <si>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</si>
  <si>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</si>
  <si>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</si>
  <si>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</si>
  <si>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</si>
  <si>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</si>
  <si>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</si>
  <si>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</si>
  <si>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</si>
  <si>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</si>
  <si>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</si>
  <si>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</si>
  <si>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</si>
  <si>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</si>
  <si>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</si>
  <si>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</si>
  <si>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</si>
  <si>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</si>
  <si>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</si>
  <si>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</si>
  <si>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</si>
  <si>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</si>
  <si>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</si>
  <si>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</si>
  <si>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</si>
  <si>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</si>
  <si>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</si>
  <si>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</si>
  <si>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</si>
  <si>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</si>
  <si>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</si>
  <si>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</si>
  <si>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</si>
  <si>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</si>
  <si>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</si>
  <si>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</si>
  <si>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</si>
  <si>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</si>
  <si>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</si>
  <si>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</si>
  <si>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</si>
  <si>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</si>
  <si>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</si>
  <si>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</si>
  <si>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</si>
  <si>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</si>
  <si>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</si>
  <si>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</si>
  <si>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</si>
  <si>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</si>
  <si>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</si>
  <si>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</si>
  <si>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</si>
  <si>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</si>
  <si>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</si>
  <si>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</si>
  <si>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</si>
  <si>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</si>
  <si>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</si>
  <si>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</si>
  <si>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</si>
  <si>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</si>
  <si>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</si>
  <si>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</si>
  <si>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</si>
  <si>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</si>
  <si>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</si>
  <si>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</si>
  <si>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</si>
  <si>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</si>
  <si>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</si>
  <si>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</si>
  <si>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</si>
  <si>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</si>
  <si>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</si>
  <si>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</si>
  <si>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</si>
  <si>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</si>
  <si>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</si>
  <si>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</si>
  <si>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</si>
  <si>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</si>
  <si>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</si>
  <si>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</si>
  <si>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</si>
  <si>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</si>
  <si>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</si>
  <si>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</si>
  <si>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</si>
  <si>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</si>
  <si>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</si>
  <si>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</si>
  <si>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</si>
  <si>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</si>
  <si>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</si>
  <si>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</si>
  <si>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</si>
  <si>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</si>
  <si>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</si>
  <si>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</si>
  <si>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</si>
  <si>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</si>
  <si>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</si>
  <si>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</si>
  <si>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</si>
  <si>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</si>
  <si>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</si>
  <si>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</si>
  <si>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</si>
  <si>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</si>
  <si>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</si>
  <si>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</si>
  <si>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</si>
  <si>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</si>
  <si>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</si>
  <si>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</si>
  <si>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</si>
  <si>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</si>
  <si>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</si>
  <si>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</si>
  <si>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</si>
  <si>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</si>
  <si>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</si>
  <si>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</si>
  <si>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</si>
  <si>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</si>
  <si>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</si>
  <si>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</si>
  <si>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</si>
  <si>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</si>
  <si>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</si>
  <si>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</si>
  <si>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</si>
  <si>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</si>
  <si>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</si>
  <si>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</si>
  <si>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</si>
  <si>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</si>
  <si>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</si>
  <si>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</si>
  <si>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</si>
  <si>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</si>
  <si>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</si>
  <si>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</si>
  <si>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</si>
  <si>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</si>
  <si>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</si>
  <si>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</si>
  <si>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</si>
  <si>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</si>
  <si>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</si>
  <si>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</si>
  <si>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</si>
  <si>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</si>
  <si>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</si>
  <si>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</si>
  <si>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</si>
  <si>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</si>
  <si>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</si>
  <si>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</si>
  <si>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</si>
  <si>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</si>
  <si>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</si>
  <si>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</si>
  <si>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</si>
  <si>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</si>
  <si>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</si>
  <si>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</si>
  <si>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</si>
  <si>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</si>
  <si>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</si>
  <si>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</si>
  <si>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</si>
  <si>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</si>
  <si>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</si>
  <si>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</si>
  <si>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</si>
  <si>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</si>
  <si>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</si>
  <si>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</si>
  <si>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</si>
  <si>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</si>
  <si>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</si>
  <si>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</si>
  <si>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</si>
  <si>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</si>
  <si>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</si>
  <si>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</si>
  <si>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</si>
  <si>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</si>
  <si>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</si>
  <si>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</si>
  <si>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</si>
  <si>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</si>
  <si>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</si>
  <si>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</si>
  <si>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</si>
  <si>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</si>
  <si>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</si>
  <si>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</si>
  <si>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</si>
  <si>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</si>
  <si>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</si>
  <si>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</si>
  <si>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</si>
  <si>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</si>
  <si>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</si>
  <si>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</si>
  <si>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</si>
  <si>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</si>
  <si>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</si>
  <si>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</si>
  <si>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</si>
  <si>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</si>
  <si>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</si>
  <si>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</si>
  <si>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</si>
  <si>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</si>
  <si>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</si>
  <si>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</si>
  <si>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</si>
  <si>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</si>
  <si>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</si>
  <si>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</si>
  <si>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</si>
  <si>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</si>
  <si>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</si>
  <si>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</si>
  <si>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</si>
  <si>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</si>
  <si>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</si>
  <si>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</si>
  <si>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</si>
  <si>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</si>
  <si>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</si>
  <si>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</si>
  <si>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</si>
  <si>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</si>
  <si>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</si>
  <si>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</si>
  <si>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</si>
  <si>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</si>
  <si>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</si>
  <si>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</si>
  <si>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</si>
  <si>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</si>
  <si>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</si>
  <si>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</si>
  <si>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</si>
  <si>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</si>
  <si>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</si>
  <si>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</si>
  <si>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</si>
  <si>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</si>
  <si>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</si>
  <si>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</si>
  <si>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</si>
  <si>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</si>
  <si>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</si>
  <si>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</si>
  <si>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</si>
  <si>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</si>
  <si>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</si>
  <si>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</si>
  <si>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</si>
  <si>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</si>
  <si>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</si>
  <si>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</si>
  <si>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</si>
  <si>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</si>
  <si>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</si>
  <si>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</si>
  <si>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</si>
  <si>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</si>
  <si>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</si>
  <si>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</si>
  <si>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</si>
  <si>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</si>
  <si>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</si>
  <si>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</si>
  <si>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</si>
  <si>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</si>
  <si>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</si>
  <si>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</si>
  <si>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</si>
  <si>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</si>
  <si>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</si>
  <si>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</si>
  <si>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</si>
  <si>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</si>
  <si>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</si>
  <si>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</si>
  <si>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</si>
  <si>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</si>
  <si>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</si>
  <si>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</si>
  <si>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</si>
  <si>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</si>
  <si>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</si>
  <si>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</si>
  <si>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</si>
  <si>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</si>
  <si>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</si>
  <si>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</si>
  <si>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</si>
  <si>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</si>
  <si>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</si>
  <si>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</si>
  <si>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</si>
  <si>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</si>
  <si>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</si>
  <si>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</si>
  <si>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</si>
  <si>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</si>
  <si>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</si>
  <si>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</si>
  <si>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</si>
  <si>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</si>
  <si>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</si>
  <si>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</si>
  <si>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</si>
  <si>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</si>
  <si>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</si>
  <si>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</si>
  <si>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</si>
  <si>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</si>
  <si>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</si>
  <si>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</si>
  <si>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</si>
  <si>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</si>
  <si>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</si>
  <si>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</si>
  <si>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</si>
  <si>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</si>
  <si>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</si>
  <si>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</si>
  <si>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</si>
  <si>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</si>
  <si>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</si>
  <si>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</si>
  <si>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</si>
  <si>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</si>
  <si>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</si>
  <si>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</si>
  <si>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</si>
  <si>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</si>
  <si>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</si>
  <si>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</si>
  <si>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</si>
  <si>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</si>
  <si>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</si>
  <si>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</si>
  <si>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</si>
  <si>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</si>
  <si>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</si>
  <si>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</si>
  <si>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</si>
  <si>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</si>
  <si>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</si>
  <si>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</si>
  <si>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</si>
  <si>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</si>
  <si>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</si>
  <si>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</si>
  <si>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</si>
  <si>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</si>
  <si>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</si>
  <si>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</si>
  <si>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</si>
  <si>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</si>
  <si>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</si>
  <si>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</si>
  <si>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</si>
  <si>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</si>
  <si>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</si>
  <si>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</si>
  <si>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</si>
  <si>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</si>
  <si>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</si>
  <si>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</si>
  <si>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</si>
  <si>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</si>
  <si>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</si>
  <si>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</si>
  <si>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</si>
  <si>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</si>
  <si>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</si>
  <si>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</si>
  <si>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</si>
  <si>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</si>
  <si>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</si>
  <si>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</si>
  <si>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</si>
  <si>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</si>
  <si>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</si>
  <si>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</si>
  <si>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</si>
  <si>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</si>
  <si>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</si>
  <si>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</si>
  <si>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</si>
  <si>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</si>
  <si>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</si>
  <si>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</si>
  <si>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</si>
  <si>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</si>
  <si>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</si>
  <si>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</si>
  <si>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</si>
  <si>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</si>
  <si>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</si>
  <si>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</si>
  <si>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</si>
  <si>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</si>
  <si>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</si>
  <si>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</si>
  <si>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</si>
  <si>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</si>
  <si>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</si>
  <si>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</si>
  <si>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</si>
  <si>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</si>
  <si>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</si>
  <si>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</si>
  <si>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</si>
  <si>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</si>
  <si>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</si>
  <si>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</si>
  <si>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</si>
  <si>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</si>
  <si>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</si>
  <si>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</si>
  <si>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</si>
  <si>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</si>
  <si>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</si>
  <si>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</si>
  <si>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</si>
  <si>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</si>
  <si>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</si>
  <si>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</si>
  <si>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</si>
  <si>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</si>
  <si>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</si>
  <si>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</si>
  <si>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</si>
  <si>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</si>
  <si>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</si>
  <si>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</si>
  <si>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</si>
  <si>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</si>
  <si>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</si>
  <si>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</si>
  <si>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</si>
  <si>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</si>
  <si>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</si>
  <si>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</si>
  <si>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</si>
  <si>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</si>
  <si>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</si>
  <si>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</si>
  <si>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</si>
  <si>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</si>
  <si>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</si>
  <si>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</si>
  <si>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</si>
  <si>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</si>
  <si>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</si>
  <si>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</si>
  <si>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</si>
  <si>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</si>
  <si>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</si>
  <si>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</si>
  <si>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</si>
  <si>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</si>
  <si>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</si>
  <si>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</si>
  <si>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</si>
  <si>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</si>
  <si>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</si>
  <si>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</si>
  <si>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</si>
  <si>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</si>
  <si>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</si>
  <si>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</si>
  <si>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</si>
  <si>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</si>
  <si>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</si>
  <si>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</si>
  <si>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</si>
  <si>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</si>
  <si>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Kommunális adó</t>
  </si>
  <si>
    <t>Mellékletben külön?</t>
  </si>
  <si>
    <t>.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</si>
  <si>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</si>
  <si>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</si>
  <si>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</si>
  <si>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</si>
  <si>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</si>
  <si>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</si>
  <si>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</rPr>
      <t xml:space="preserve"> </t>
    </r>
  </si>
  <si>
    <r>
      <t>EU-s projekt neve, azonosítója:</t>
    </r>
    <r>
      <rPr>
        <sz val="11"/>
        <rFont val="Times New Roman"/>
        <family val="1"/>
      </rPr>
      <t>*</t>
    </r>
  </si>
  <si>
    <t xml:space="preserve">* Amennyiben több projekt megvalósítása történi egy időben akkor azokat külön-külön, projektenként be kell mutatni!  </t>
  </si>
  <si>
    <t>Igen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</si>
  <si>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</si>
  <si>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</si>
  <si>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</si>
  <si>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</si>
  <si>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</si>
  <si>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</si>
  <si>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Karácsond Községi Önkormányzat</t>
  </si>
  <si>
    <t>Karácsondi Közös Önkormányzati Hivatal</t>
  </si>
  <si>
    <t>Karácsond Általános Művelődési Központ</t>
  </si>
  <si>
    <t>védőnő+közfogi</t>
  </si>
  <si>
    <t>választott tisztségviselők</t>
  </si>
  <si>
    <t>önerő, Dobos Józsefné</t>
  </si>
  <si>
    <t>karbantartók, pályázatos+</t>
  </si>
  <si>
    <t>2020. évi általános működés és ágazati feladatok támogatásának alakulása jogcímenként</t>
  </si>
  <si>
    <t>2019. évi LXXI.
törvény 2. sz. melléklete száma*</t>
  </si>
  <si>
    <t>I.1.a.</t>
  </si>
  <si>
    <t>Önkormányzati hivatal működésének támogatása elismert hivatali létszám alapján</t>
  </si>
  <si>
    <t>I.1.ba</t>
  </si>
  <si>
    <t>Zöldterület-gazdálkodással kapcsolatos feladatok ellátásának támogatása</t>
  </si>
  <si>
    <t>I.1.bb</t>
  </si>
  <si>
    <t>Közvilágítás fenntartásának támogatása</t>
  </si>
  <si>
    <t>I.1.bc</t>
  </si>
  <si>
    <t>Köztemető fenntartással kapcsolatos feladatok támogatása</t>
  </si>
  <si>
    <t>I.1.bd</t>
  </si>
  <si>
    <t>Közutak fenntartásának támogatása</t>
  </si>
  <si>
    <t>I.1.c</t>
  </si>
  <si>
    <t>Egyéb önkormányzati feladatok támogatása</t>
  </si>
  <si>
    <t>I.1.d</t>
  </si>
  <si>
    <t>Lakott külterülettel kapcsolatos feladatok támogatása</t>
  </si>
  <si>
    <t>I.1.e</t>
  </si>
  <si>
    <t>Üdülőhelyi feladatok támogatása</t>
  </si>
  <si>
    <t>I.5.</t>
  </si>
  <si>
    <t>Polgármesteri illetmény támogatása</t>
  </si>
  <si>
    <t>II.</t>
  </si>
  <si>
    <t>A települési önkormányzatok egyes köznevelési feladatainak támogatása</t>
  </si>
  <si>
    <t>II.1.</t>
  </si>
  <si>
    <t>A települési önkormányzatok szociális feladatainak egyéb támogatása</t>
  </si>
  <si>
    <t>III.5.a-b</t>
  </si>
  <si>
    <t>Gyermekétkeztetés támogatása</t>
  </si>
  <si>
    <t>IV.b</t>
  </si>
  <si>
    <t>Könyvtári, közművelődési és múzeumi feladatok támogatása</t>
  </si>
  <si>
    <t>Kimutatás a 2020. ében céljeleggel nyújtott támogatásokról</t>
  </si>
  <si>
    <t>Gyöngyös Körzete Kistérség Többcélú Társulás</t>
  </si>
  <si>
    <t>Önkormányzati hozzájárulás</t>
  </si>
  <si>
    <t>Mátraaljai Önkormányzatok Egészségügyi Társulása</t>
  </si>
  <si>
    <t>Önkormányzatok Mátrai Szövetsége</t>
  </si>
  <si>
    <t>Tagdíj</t>
  </si>
  <si>
    <t>Dél-Mátra Közhasznú Egyesület</t>
  </si>
  <si>
    <t>TÖOSZ tagdíj</t>
  </si>
  <si>
    <t>Működési támogatás</t>
  </si>
  <si>
    <t>Bugát Pál Kórház Alapítvány Gyöngyös</t>
  </si>
  <si>
    <t>Albert Schweitzer Kórház Alapítvány Hatvan</t>
  </si>
  <si>
    <t>Mozgássérültek Heves Megyei Egyesülete</t>
  </si>
  <si>
    <t>Lakosság/önkormányzat és intézményei</t>
  </si>
  <si>
    <t>Kártalanítás bányától kapott támogatásból</t>
  </si>
  <si>
    <t>2017-2020</t>
  </si>
  <si>
    <t>2018-2020</t>
  </si>
  <si>
    <t>Vis maior támogatás 2018. felhasználása</t>
  </si>
  <si>
    <t>Vis maior támogatás 2018. önerő</t>
  </si>
  <si>
    <t>2019-2020</t>
  </si>
  <si>
    <t>2020</t>
  </si>
  <si>
    <t>Belterületi utak és járdák felújítása</t>
  </si>
  <si>
    <t>Közművelődési érdekeltségnövelő támogatás támogatás+önerő</t>
  </si>
  <si>
    <t>Önkormányzati közintézmények, középületek, közterületek beruházásai</t>
  </si>
  <si>
    <t>Egyéb bírság</t>
  </si>
  <si>
    <t>Késedelmi pótlék</t>
  </si>
  <si>
    <t>Ft-ban</t>
  </si>
  <si>
    <t>4.8.</t>
  </si>
  <si>
    <t>Egyéb közhatalmi bevételek</t>
  </si>
  <si>
    <t>Országos Mentőszolgálat Alapítvány</t>
  </si>
  <si>
    <t>Magyar Falu Program - óvoda udvar fejlesztése</t>
  </si>
  <si>
    <t>Magyar Falu Program - eszközfejlesztés belterületi közterület karbantartására</t>
  </si>
  <si>
    <t>Magyar Falu Program - orvosi eszközök fejlesztése</t>
  </si>
  <si>
    <t>"Szabadtéri rendezvényterek létrehozása, felújítása" pályázat</t>
  </si>
  <si>
    <t>Magyar Falu Program - önkormányzati tulajdonú utak felújítása</t>
  </si>
  <si>
    <t>Önkormányzati közintézmények, épületek, közterületek felújítása</t>
  </si>
  <si>
    <t>"Karácsond Község közintézményeinek energetikai korszerűsítése" pályázat</t>
  </si>
  <si>
    <t>"Szociális alapellátások fejlesztése Karácsondon" pályázat</t>
  </si>
  <si>
    <t>"Karácsondi Gesztenyéskerti Napköziotthonos Óvoda fejlesztése és mini bölcsőde kialakítása" pályázat</t>
  </si>
  <si>
    <t>?</t>
  </si>
  <si>
    <t>Igazgatási és szolgáltatási díjak, késedelmi pótlék</t>
  </si>
  <si>
    <t>8. melléklet a …/2020(…) önkormányzati rendelethez</t>
  </si>
  <si>
    <t>Felhasználás 2019. XII. 31-ig</t>
  </si>
  <si>
    <t>2020. évi előirányzat</t>
  </si>
  <si>
    <t>2020. utáni szükséglet</t>
  </si>
  <si>
    <t>2. melléklet 4/2020. (III.12.) önkormányzati rendelethez</t>
  </si>
  <si>
    <t>3. melléklet 4/2020. (III.12.) önkormányzati rendelethez</t>
  </si>
  <si>
    <t>Nyugat-Hevesi Regionális Hulladékgazd. Önk. Társ.</t>
  </si>
  <si>
    <t>1.1. melléklet a 10/2020. (V.01.) önkormányati rendelethez</t>
  </si>
  <si>
    <t>1.2. melléklet a 10/2020. (V.01.) önkormányati rendelethez</t>
  </si>
  <si>
    <t>1.3. melléklet a 10/2020. (V.01.) önkormányati rendelethez</t>
  </si>
  <si>
    <t>1.4. melléklet a 10/2020. (V.01.) önkormányati rendelethez</t>
  </si>
  <si>
    <t>2.1. melléklet a 10/2020. (V.01.) önkormányati rendelethez</t>
  </si>
  <si>
    <t>2.1.1 melléklet a 10/2020. (V.01.) önkormányati rendelethez</t>
  </si>
  <si>
    <t>2.1.2. melléklet a 10/2020. (V.01.) önkormányati rendelethez</t>
  </si>
  <si>
    <t>2.1.3. melléklet a 10/2020. (V.01.) önkormányati rendelethez</t>
  </si>
  <si>
    <t>3.1. melléklet a 10/2020. (V.01.) önkormányati rendelethez</t>
  </si>
  <si>
    <t>3.1.1. melléklet a 10/2020. (V.01.) önkormányati rendelethez</t>
  </si>
  <si>
    <t>4.1. melléklet a 10/2020. (V.01.) önkormányati rendelethez</t>
  </si>
  <si>
    <t>4.1.1. melléklet a 10/2020. (V.01.) önkormányati rendelethez</t>
  </si>
  <si>
    <t>5. melléklet a 10/2020. (V.1.)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</si>
</sst>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10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 CE"/>
      <family val="0"/>
    </font>
    <font>
      <b/>
      <i/>
      <sz val="8"/>
      <name val="Times New Roman"/>
      <family val="1"/>
    </font>
    <font>
      <i/>
      <sz val="12"/>
      <name val="Times New Roman CE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2"/>
      <color rgb="FFFF0000"/>
      <name val="Times New Roman CE"/>
      <family val="0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darkHorizontal"/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3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4" xfId="60" applyFont="1" applyFill="1" applyBorder="1" applyAlignment="1" applyProtection="1">
      <alignment horizontal="left" vertical="center" wrapText="1" indent="1"/>
      <protection/>
    </xf>
    <xf numFmtId="0" fontId="17" fillId="0" borderId="15" xfId="60" applyFont="1" applyFill="1" applyBorder="1" applyAlignment="1" applyProtection="1">
      <alignment horizontal="left" vertical="center" wrapText="1" indent="1"/>
      <protection/>
    </xf>
    <xf numFmtId="49" fontId="17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2" xfId="60" applyFont="1" applyFill="1" applyBorder="1" applyAlignment="1" applyProtection="1">
      <alignment horizontal="left" vertical="center" wrapText="1" indent="1"/>
      <protection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vertical="center" wrapText="1"/>
      <protection/>
    </xf>
    <xf numFmtId="0" fontId="15" fillId="0" borderId="25" xfId="60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17" fillId="0" borderId="0" xfId="60" applyFont="1" applyFill="1">
      <alignment/>
      <protection/>
    </xf>
    <xf numFmtId="0" fontId="18" fillId="0" borderId="0" xfId="60" applyFont="1" applyFill="1">
      <alignment/>
      <protection/>
    </xf>
    <xf numFmtId="166" fontId="5" fillId="0" borderId="0" xfId="0" applyNumberFormat="1" applyFont="1" applyFill="1" applyAlignment="1">
      <alignment horizontal="right" vertical="center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6" fontId="17" fillId="0" borderId="27" xfId="0" applyNumberFormat="1" applyFont="1" applyFill="1" applyBorder="1" applyAlignment="1" applyProtection="1">
      <alignment vertical="center" wrapText="1"/>
      <protection/>
    </xf>
    <xf numFmtId="166" fontId="1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166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5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6" fontId="17" fillId="0" borderId="36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6" fontId="17" fillId="0" borderId="32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6" fontId="17" fillId="0" borderId="31" xfId="61" applyNumberFormat="1" applyFont="1" applyFill="1" applyBorder="1" applyAlignment="1" applyProtection="1">
      <alignment vertical="center"/>
      <protection/>
    </xf>
    <xf numFmtId="166" fontId="15" fillId="0" borderId="26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166" fontId="15" fillId="0" borderId="26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60" applyFont="1" applyFill="1" applyBorder="1" applyAlignment="1" applyProtection="1">
      <alignment horizontal="left" vertical="center" wrapText="1"/>
      <protection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6" fontId="16" fillId="0" borderId="38" xfId="60" applyNumberFormat="1" applyFont="1" applyFill="1" applyBorder="1" applyAlignment="1" applyProtection="1">
      <alignment horizontal="left" vertical="center"/>
      <protection/>
    </xf>
    <xf numFmtId="0" fontId="17" fillId="0" borderId="39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indent="6"/>
      <protection/>
    </xf>
    <xf numFmtId="0" fontId="17" fillId="0" borderId="11" xfId="60" applyFont="1" applyFill="1" applyBorder="1" applyAlignment="1" applyProtection="1">
      <alignment horizontal="left" vertical="center" wrapText="1" indent="6"/>
      <protection/>
    </xf>
    <xf numFmtId="0" fontId="17" fillId="0" borderId="15" xfId="60" applyFont="1" applyFill="1" applyBorder="1" applyAlignment="1" applyProtection="1">
      <alignment horizontal="left" vertical="center" wrapText="1" indent="6"/>
      <protection/>
    </xf>
    <xf numFmtId="0" fontId="17" fillId="0" borderId="33" xfId="60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7" fillId="0" borderId="40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7" fillId="0" borderId="22" xfId="60" applyFont="1" applyFill="1" applyBorder="1" applyAlignment="1" applyProtection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/>
      <protection/>
    </xf>
    <xf numFmtId="0" fontId="17" fillId="0" borderId="17" xfId="6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168" fontId="15" fillId="0" borderId="26" xfId="40" applyNumberFormat="1" applyFont="1" applyFill="1" applyBorder="1" applyAlignment="1" applyProtection="1">
      <alignment/>
      <protection/>
    </xf>
    <xf numFmtId="168" fontId="17" fillId="0" borderId="41" xfId="40" applyNumberFormat="1" applyFont="1" applyFill="1" applyBorder="1" applyAlignment="1" applyProtection="1">
      <alignment/>
      <protection locked="0"/>
    </xf>
    <xf numFmtId="168" fontId="17" fillId="0" borderId="32" xfId="40" applyNumberFormat="1" applyFont="1" applyFill="1" applyBorder="1" applyAlignment="1" applyProtection="1">
      <alignment/>
      <protection locked="0"/>
    </xf>
    <xf numFmtId="168" fontId="17" fillId="0" borderId="42" xfId="40" applyNumberFormat="1" applyFont="1" applyFill="1" applyBorder="1" applyAlignment="1" applyProtection="1">
      <alignment/>
      <protection locked="0"/>
    </xf>
    <xf numFmtId="0" fontId="17" fillId="0" borderId="13" xfId="60" applyFont="1" applyFill="1" applyBorder="1" applyProtection="1">
      <alignment/>
      <protection locked="0"/>
    </xf>
    <xf numFmtId="0" fontId="17" fillId="0" borderId="11" xfId="60" applyFont="1" applyFill="1" applyBorder="1" applyProtection="1">
      <alignment/>
      <protection locked="0"/>
    </xf>
    <xf numFmtId="0" fontId="17" fillId="0" borderId="15" xfId="60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37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vertical="center" wrapText="1"/>
      <protection/>
    </xf>
    <xf numFmtId="166" fontId="15" fillId="0" borderId="39" xfId="0" applyNumberFormat="1" applyFont="1" applyFill="1" applyBorder="1" applyAlignment="1" applyProtection="1">
      <alignment vertical="center" wrapText="1"/>
      <protection/>
    </xf>
    <xf numFmtId="166" fontId="15" fillId="0" borderId="4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166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7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1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32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42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5" fillId="0" borderId="4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3" xfId="0" applyNumberFormat="1" applyFont="1" applyFill="1" applyBorder="1" applyAlignment="1" applyProtection="1">
      <alignment horizontal="center" vertical="center"/>
      <protection/>
    </xf>
    <xf numFmtId="166" fontId="7" fillId="0" borderId="34" xfId="0" applyNumberFormat="1" applyFont="1" applyFill="1" applyBorder="1" applyAlignment="1" applyProtection="1">
      <alignment horizontal="center" vertical="center" wrapText="1"/>
      <protection/>
    </xf>
    <xf numFmtId="166" fontId="15" fillId="0" borderId="48" xfId="0" applyNumberFormat="1" applyFont="1" applyFill="1" applyBorder="1" applyAlignment="1" applyProtection="1">
      <alignment horizontal="center" vertical="center" wrapText="1"/>
      <protection/>
    </xf>
    <xf numFmtId="166" fontId="15" fillId="0" borderId="27" xfId="0" applyNumberFormat="1" applyFont="1" applyFill="1" applyBorder="1" applyAlignment="1" applyProtection="1">
      <alignment horizontal="center" vertical="center" wrapText="1"/>
      <protection/>
    </xf>
    <xf numFmtId="166" fontId="15" fillId="0" borderId="54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7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28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29" xfId="0" applyNumberFormat="1" applyFont="1" applyFill="1" applyBorder="1" applyAlignment="1" applyProtection="1">
      <alignment vertical="center" wrapText="1"/>
      <protection/>
    </xf>
    <xf numFmtId="166" fontId="15" fillId="0" borderId="27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55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6" fontId="17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56" xfId="0" applyFont="1" applyBorder="1" applyAlignment="1" applyProtection="1">
      <alignment horizontal="left" vertical="center" wrapText="1" indent="1"/>
      <protection/>
    </xf>
    <xf numFmtId="166" fontId="15" fillId="0" borderId="35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8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27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0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28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8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2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59" xfId="40" applyNumberFormat="1" applyFont="1" applyFill="1" applyBorder="1" applyAlignment="1" applyProtection="1">
      <alignment/>
      <protection locked="0"/>
    </xf>
    <xf numFmtId="168" fontId="17" fillId="0" borderId="51" xfId="40" applyNumberFormat="1" applyFont="1" applyFill="1" applyBorder="1" applyAlignment="1" applyProtection="1">
      <alignment/>
      <protection locked="0"/>
    </xf>
    <xf numFmtId="168" fontId="17" fillId="0" borderId="46" xfId="40" applyNumberFormat="1" applyFont="1" applyFill="1" applyBorder="1" applyAlignment="1" applyProtection="1">
      <alignment/>
      <protection locked="0"/>
    </xf>
    <xf numFmtId="0" fontId="17" fillId="0" borderId="12" xfId="60" applyFont="1" applyFill="1" applyBorder="1" applyProtection="1">
      <alignment/>
      <protection/>
    </xf>
    <xf numFmtId="166" fontId="7" fillId="0" borderId="4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1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vertical="center" wrapText="1"/>
      <protection/>
    </xf>
    <xf numFmtId="166" fontId="6" fillId="0" borderId="61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60" applyFont="1" applyFill="1" applyBorder="1" applyAlignment="1" applyProtection="1">
      <alignment horizontal="right" vertical="center" wrapText="1" indent="1"/>
      <protection locked="0"/>
    </xf>
    <xf numFmtId="166" fontId="17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9" fillId="0" borderId="39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3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5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47" xfId="6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5" fillId="0" borderId="24" xfId="60" applyFont="1" applyFill="1" applyBorder="1" applyAlignment="1" applyProtection="1">
      <alignment horizontal="center" vertical="center" wrapText="1"/>
      <protection/>
    </xf>
    <xf numFmtId="0" fontId="15" fillId="0" borderId="25" xfId="60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3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/>
    </xf>
    <xf numFmtId="49" fontId="17" fillId="0" borderId="17" xfId="60" applyNumberFormat="1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56" xfId="0" applyFont="1" applyBorder="1" applyAlignment="1" applyProtection="1">
      <alignment horizontal="center" wrapText="1"/>
      <protection/>
    </xf>
    <xf numFmtId="49" fontId="17" fillId="0" borderId="20" xfId="60" applyNumberFormat="1" applyFont="1" applyFill="1" applyBorder="1" applyAlignment="1" applyProtection="1">
      <alignment horizontal="center" vertical="center" wrapText="1"/>
      <protection/>
    </xf>
    <xf numFmtId="49" fontId="17" fillId="0" borderId="16" xfId="60" applyNumberFormat="1" applyFont="1" applyFill="1" applyBorder="1" applyAlignment="1" applyProtection="1">
      <alignment horizontal="center" vertical="center" wrapText="1"/>
      <protection/>
    </xf>
    <xf numFmtId="49" fontId="17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166" fontId="15" fillId="0" borderId="40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40" xfId="6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56" xfId="0" applyFont="1" applyBorder="1" applyAlignment="1" applyProtection="1">
      <alignment vertical="center" wrapTex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15" fillId="0" borderId="22" xfId="60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74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56" xfId="60" applyFont="1" applyFill="1" applyBorder="1" applyAlignment="1" applyProtection="1">
      <alignment horizontal="left" vertical="center" wrapText="1" indent="1"/>
      <protection/>
    </xf>
    <xf numFmtId="0" fontId="15" fillId="0" borderId="39" xfId="60" applyFont="1" applyFill="1" applyBorder="1" applyAlignment="1" applyProtection="1">
      <alignment vertical="center" wrapText="1"/>
      <protection/>
    </xf>
    <xf numFmtId="166" fontId="15" fillId="0" borderId="4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33" xfId="60" applyFont="1" applyFill="1" applyBorder="1" applyAlignment="1" applyProtection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60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60" applyNumberFormat="1" applyFont="1" applyFill="1" applyBorder="1" applyAlignment="1" applyProtection="1">
      <alignment horizontal="center" vertical="center" wrapText="1"/>
      <protection/>
    </xf>
    <xf numFmtId="166" fontId="15" fillId="0" borderId="65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40" xfId="0" applyNumberFormat="1" applyFont="1" applyBorder="1" applyAlignment="1" applyProtection="1">
      <alignment horizontal="right" vertical="center" wrapText="1" indent="1"/>
      <protection/>
    </xf>
    <xf numFmtId="166" fontId="21" fillId="0" borderId="40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40" xfId="0" applyNumberFormat="1" applyFont="1" applyBorder="1" applyAlignment="1" applyProtection="1" quotePrefix="1">
      <alignment horizontal="right" vertical="center" wrapText="1" indent="1"/>
      <protection/>
    </xf>
    <xf numFmtId="166" fontId="17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9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60" applyFont="1" applyFill="1" applyBorder="1" applyAlignment="1" applyProtection="1">
      <alignment horizontal="center" vertical="center" wrapText="1"/>
      <protection/>
    </xf>
    <xf numFmtId="0" fontId="15" fillId="0" borderId="39" xfId="60" applyFont="1" applyFill="1" applyBorder="1" applyAlignment="1" applyProtection="1">
      <alignment vertical="center" wrapText="1"/>
      <protection/>
    </xf>
    <xf numFmtId="166" fontId="15" fillId="0" borderId="39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6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60" applyFont="1" applyFill="1" applyBorder="1" applyAlignment="1" applyProtection="1">
      <alignment horizontal="right" vertical="center" wrapText="1" indent="1"/>
      <protection/>
    </xf>
    <xf numFmtId="166" fontId="17" fillId="0" borderId="61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19" fillId="0" borderId="40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60" applyFont="1" applyFill="1" applyBorder="1" applyAlignment="1" applyProtection="1">
      <alignment horizontal="center" vertical="center"/>
      <protection/>
    </xf>
    <xf numFmtId="0" fontId="15" fillId="0" borderId="26" xfId="60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8" fontId="29" fillId="0" borderId="12" xfId="40" applyNumberFormat="1" applyFont="1" applyFill="1" applyBorder="1" applyAlignment="1" applyProtection="1">
      <alignment/>
      <protection locked="0"/>
    </xf>
    <xf numFmtId="168" fontId="29" fillId="0" borderId="31" xfId="40" applyNumberFormat="1" applyFont="1" applyFill="1" applyBorder="1" applyAlignment="1">
      <alignment/>
    </xf>
    <xf numFmtId="168" fontId="29" fillId="0" borderId="11" xfId="40" applyNumberFormat="1" applyFont="1" applyFill="1" applyBorder="1" applyAlignment="1" applyProtection="1">
      <alignment/>
      <protection locked="0"/>
    </xf>
    <xf numFmtId="168" fontId="29" fillId="0" borderId="32" xfId="40" applyNumberFormat="1" applyFont="1" applyFill="1" applyBorder="1" applyAlignment="1">
      <alignment/>
    </xf>
    <xf numFmtId="168" fontId="29" fillId="0" borderId="15" xfId="40" applyNumberFormat="1" applyFont="1" applyFill="1" applyBorder="1" applyAlignment="1" applyProtection="1">
      <alignment/>
      <protection locked="0"/>
    </xf>
    <xf numFmtId="168" fontId="30" fillId="0" borderId="23" xfId="60" applyNumberFormat="1" applyFont="1" applyFill="1" applyBorder="1">
      <alignment/>
      <protection/>
    </xf>
    <xf numFmtId="168" fontId="30" fillId="0" borderId="26" xfId="60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27" xfId="0" applyNumberFormat="1" applyFont="1" applyFill="1" applyBorder="1" applyAlignment="1" applyProtection="1">
      <alignment vertical="center" wrapText="1"/>
      <protection/>
    </xf>
    <xf numFmtId="166" fontId="29" fillId="0" borderId="22" xfId="0" applyNumberFormat="1" applyFont="1" applyFill="1" applyBorder="1" applyAlignment="1" applyProtection="1">
      <alignment vertical="center" wrapText="1"/>
      <protection/>
    </xf>
    <xf numFmtId="166" fontId="29" fillId="0" borderId="23" xfId="0" applyNumberFormat="1" applyFont="1" applyFill="1" applyBorder="1" applyAlignment="1" applyProtection="1">
      <alignment vertical="center" wrapText="1"/>
      <protection/>
    </xf>
    <xf numFmtId="166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28" xfId="0" applyNumberFormat="1" applyFont="1" applyFill="1" applyBorder="1" applyAlignment="1" applyProtection="1">
      <alignment vertical="center" wrapText="1"/>
      <protection locked="0"/>
    </xf>
    <xf numFmtId="166" fontId="29" fillId="0" borderId="17" xfId="0" applyNumberFormat="1" applyFont="1" applyFill="1" applyBorder="1" applyAlignment="1" applyProtection="1">
      <alignment vertical="center" wrapText="1"/>
      <protection locked="0"/>
    </xf>
    <xf numFmtId="166" fontId="29" fillId="0" borderId="11" xfId="0" applyNumberFormat="1" applyFont="1" applyFill="1" applyBorder="1" applyAlignment="1" applyProtection="1">
      <alignment vertical="center" wrapText="1"/>
      <protection locked="0"/>
    </xf>
    <xf numFmtId="166" fontId="29" fillId="0" borderId="32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29" xfId="0" applyNumberFormat="1" applyFont="1" applyFill="1" applyBorder="1" applyAlignment="1" applyProtection="1">
      <alignment vertical="center" wrapText="1"/>
      <protection locked="0"/>
    </xf>
    <xf numFmtId="166" fontId="29" fillId="0" borderId="19" xfId="0" applyNumberFormat="1" applyFont="1" applyFill="1" applyBorder="1" applyAlignment="1" applyProtection="1">
      <alignment vertical="center" wrapText="1"/>
      <protection locked="0"/>
    </xf>
    <xf numFmtId="166" fontId="29" fillId="0" borderId="15" xfId="0" applyNumberFormat="1" applyFont="1" applyFill="1" applyBorder="1" applyAlignment="1" applyProtection="1">
      <alignment vertical="center" wrapText="1"/>
      <protection locked="0"/>
    </xf>
    <xf numFmtId="166" fontId="29" fillId="0" borderId="42" xfId="0" applyNumberFormat="1" applyFont="1" applyFill="1" applyBorder="1" applyAlignment="1" applyProtection="1">
      <alignment vertical="center" wrapText="1"/>
      <protection locked="0"/>
    </xf>
    <xf numFmtId="49" fontId="29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55" xfId="0" applyNumberFormat="1" applyFont="1" applyFill="1" applyBorder="1" applyAlignment="1" applyProtection="1">
      <alignment vertical="center" wrapText="1"/>
      <protection locked="0"/>
    </xf>
    <xf numFmtId="166" fontId="29" fillId="0" borderId="16" xfId="0" applyNumberFormat="1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36" xfId="0" applyNumberFormat="1" applyFont="1" applyFill="1" applyBorder="1" applyAlignment="1" applyProtection="1">
      <alignment vertical="center" wrapText="1"/>
      <protection locked="0"/>
    </xf>
    <xf numFmtId="166" fontId="29" fillId="33" borderId="54" xfId="0" applyNumberFormat="1" applyFont="1" applyFill="1" applyBorder="1" applyAlignment="1" applyProtection="1">
      <alignment horizontal="left" vertical="center" wrapText="1" indent="2"/>
      <protection/>
    </xf>
    <xf numFmtId="166" fontId="31" fillId="0" borderId="10" xfId="61" applyNumberFormat="1" applyFont="1" applyFill="1" applyBorder="1" applyAlignment="1" applyProtection="1">
      <alignment vertical="center"/>
      <protection locked="0"/>
    </xf>
    <xf numFmtId="166" fontId="31" fillId="0" borderId="11" xfId="61" applyNumberFormat="1" applyFont="1" applyFill="1" applyBorder="1" applyAlignment="1" applyProtection="1">
      <alignment vertical="center"/>
      <protection locked="0"/>
    </xf>
    <xf numFmtId="166" fontId="31" fillId="0" borderId="12" xfId="61" applyNumberFormat="1" applyFont="1" applyFill="1" applyBorder="1" applyAlignment="1" applyProtection="1">
      <alignment vertical="center"/>
      <protection locked="0"/>
    </xf>
    <xf numFmtId="166" fontId="32" fillId="0" borderId="23" xfId="61" applyNumberFormat="1" applyFont="1" applyFill="1" applyBorder="1" applyAlignment="1" applyProtection="1">
      <alignment vertical="center"/>
      <protection/>
    </xf>
    <xf numFmtId="166" fontId="32" fillId="0" borderId="23" xfId="61" applyNumberFormat="1" applyFont="1" applyFill="1" applyBorder="1" applyProtection="1">
      <alignment/>
      <protection/>
    </xf>
    <xf numFmtId="3" fontId="29" fillId="0" borderId="41" xfId="0" applyNumberFormat="1" applyFont="1" applyBorder="1" applyAlignment="1" applyProtection="1">
      <alignment horizontal="right" vertical="center" indent="1"/>
      <protection locked="0"/>
    </xf>
    <xf numFmtId="3" fontId="29" fillId="0" borderId="32" xfId="0" applyNumberFormat="1" applyFont="1" applyBorder="1" applyAlignment="1" applyProtection="1">
      <alignment horizontal="right" vertical="center" indent="1"/>
      <protection locked="0"/>
    </xf>
    <xf numFmtId="0" fontId="20" fillId="0" borderId="15" xfId="0" applyFont="1" applyBorder="1" applyAlignment="1" applyProtection="1">
      <alignment horizontal="left" vertical="center" wrapText="1"/>
      <protection/>
    </xf>
    <xf numFmtId="166" fontId="17" fillId="0" borderId="42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Font="1" applyFill="1" applyAlignment="1" applyProtection="1">
      <alignment vertical="center"/>
      <protection/>
    </xf>
    <xf numFmtId="166" fontId="17" fillId="0" borderId="42" xfId="60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35" xfId="60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6" fontId="17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3" xfId="0" applyFont="1" applyBorder="1" applyAlignment="1" applyProtection="1">
      <alignment horizontal="left" vertical="center" wrapText="1" indent="1"/>
      <protection/>
    </xf>
    <xf numFmtId="166" fontId="17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60" applyFont="1" applyFill="1" applyBorder="1" applyAlignment="1" applyProtection="1">
      <alignment horizontal="left" vertical="center" wrapText="1" indent="1"/>
      <protection/>
    </xf>
    <xf numFmtId="166" fontId="17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0" applyFont="1" applyBorder="1" applyAlignment="1" applyProtection="1">
      <alignment horizontal="left" vertical="center" wrapText="1" indent="1"/>
      <protection/>
    </xf>
    <xf numFmtId="0" fontId="17" fillId="0" borderId="0" xfId="60" applyFont="1" applyFill="1" applyProtection="1">
      <alignment/>
      <protection/>
    </xf>
    <xf numFmtId="0" fontId="16" fillId="0" borderId="38" xfId="0" applyFont="1" applyFill="1" applyBorder="1" applyAlignment="1" applyProtection="1">
      <alignment horizontal="right" vertical="center"/>
      <protection locked="0"/>
    </xf>
    <xf numFmtId="0" fontId="16" fillId="0" borderId="38" xfId="0" applyFont="1" applyFill="1" applyBorder="1" applyAlignment="1" applyProtection="1">
      <alignment horizontal="right"/>
      <protection/>
    </xf>
    <xf numFmtId="0" fontId="16" fillId="0" borderId="38" xfId="0" applyFont="1" applyFill="1" applyBorder="1" applyAlignment="1" applyProtection="1">
      <alignment horizontal="right" vertical="center"/>
      <protection/>
    </xf>
    <xf numFmtId="166" fontId="16" fillId="0" borderId="0" xfId="0" applyNumberFormat="1" applyFont="1" applyFill="1" applyAlignment="1" applyProtection="1">
      <alignment horizontal="right" vertical="center"/>
      <protection locked="0"/>
    </xf>
    <xf numFmtId="166" fontId="16" fillId="0" borderId="0" xfId="0" applyNumberFormat="1" applyFont="1" applyFill="1" applyAlignment="1" applyProtection="1">
      <alignment horizontal="right" vertical="center"/>
      <protection/>
    </xf>
    <xf numFmtId="0" fontId="90" fillId="0" borderId="0" xfId="0" applyFont="1" applyAlignment="1">
      <alignment/>
    </xf>
    <xf numFmtId="0" fontId="90" fillId="0" borderId="0" xfId="0" applyFont="1" applyAlignment="1">
      <alignment horizontal="justify" vertical="top" wrapText="1"/>
    </xf>
    <xf numFmtId="0" fontId="91" fillId="34" borderId="0" xfId="0" applyFont="1" applyFill="1" applyAlignment="1">
      <alignment horizontal="center" vertical="center"/>
    </xf>
    <xf numFmtId="0" fontId="91" fillId="34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 quotePrefix="1">
      <alignment horizontal="right" vertical="center" indent="1"/>
      <protection locked="0"/>
    </xf>
    <xf numFmtId="0" fontId="7" fillId="0" borderId="64" xfId="0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49" fontId="7" fillId="0" borderId="6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166" fontId="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6" fontId="92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1" xfId="0" applyNumberFormat="1" applyFont="1" applyFill="1" applyBorder="1" applyAlignment="1" applyProtection="1">
      <alignment horizontal="right" vertical="center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6" fontId="9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Fill="1" applyProtection="1">
      <alignment/>
      <protection locked="0"/>
    </xf>
    <xf numFmtId="166" fontId="93" fillId="0" borderId="0" xfId="60" applyNumberFormat="1" applyFont="1" applyFill="1" applyAlignment="1" applyProtection="1">
      <alignment horizontal="right" vertical="center" indent="1"/>
      <protection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60" applyFont="1" applyFill="1" applyAlignment="1" applyProtection="1">
      <alignment vertical="center"/>
      <protection/>
    </xf>
    <xf numFmtId="0" fontId="80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6" fontId="94" fillId="0" borderId="0" xfId="60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66" fontId="94" fillId="0" borderId="0" xfId="60" applyNumberFormat="1" applyFont="1" applyFill="1" applyProtection="1">
      <alignment/>
      <protection/>
    </xf>
    <xf numFmtId="0" fontId="9" fillId="0" borderId="0" xfId="60" applyFont="1" applyFill="1" applyAlignment="1" applyProtection="1">
      <alignment horizontal="right"/>
      <protection locked="0"/>
    </xf>
    <xf numFmtId="166" fontId="16" fillId="0" borderId="38" xfId="60" applyNumberFormat="1" applyFont="1" applyFill="1" applyBorder="1" applyAlignment="1" applyProtection="1">
      <alignment horizontal="left" vertical="center"/>
      <protection locked="0"/>
    </xf>
    <xf numFmtId="0" fontId="1" fillId="0" borderId="0" xfId="60" applyFont="1" applyFill="1" applyProtection="1">
      <alignment/>
      <protection locked="0"/>
    </xf>
    <xf numFmtId="166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60" applyFont="1" applyFill="1" applyBorder="1" applyAlignment="1" applyProtection="1">
      <alignment horizontal="center" vertical="center" wrapText="1"/>
      <protection locked="0"/>
    </xf>
    <xf numFmtId="0" fontId="15" fillId="0" borderId="13" xfId="60" applyFont="1" applyFill="1" applyBorder="1" applyAlignment="1" applyProtection="1">
      <alignment horizontal="center" vertical="center" wrapText="1"/>
      <protection locked="0"/>
    </xf>
    <xf numFmtId="0" fontId="15" fillId="0" borderId="41" xfId="60" applyFont="1" applyFill="1" applyBorder="1" applyAlignment="1" applyProtection="1">
      <alignment horizontal="center" vertical="center" wrapText="1"/>
      <protection locked="0"/>
    </xf>
    <xf numFmtId="166" fontId="92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38" xfId="0" applyFont="1" applyFill="1" applyBorder="1" applyAlignment="1" applyProtection="1">
      <alignment horizontal="right" vertical="center"/>
      <protection locked="0"/>
    </xf>
    <xf numFmtId="0" fontId="7" fillId="0" borderId="47" xfId="60" applyFont="1" applyFill="1" applyBorder="1" applyAlignment="1" applyProtection="1">
      <alignment horizontal="center" vertical="center" wrapText="1"/>
      <protection locked="0"/>
    </xf>
    <xf numFmtId="0" fontId="7" fillId="0" borderId="40" xfId="6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/>
      <protection locked="0"/>
    </xf>
    <xf numFmtId="0" fontId="20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66" fontId="9" fillId="0" borderId="0" xfId="59" applyNumberFormat="1" applyFont="1" applyFill="1" applyAlignment="1" applyProtection="1">
      <alignment vertical="center" wrapText="1"/>
      <protection locked="0"/>
    </xf>
    <xf numFmtId="166" fontId="15" fillId="0" borderId="67" xfId="59" applyNumberFormat="1" applyFont="1" applyFill="1" applyBorder="1" applyAlignment="1">
      <alignment horizontal="center" vertical="center"/>
      <protection/>
    </xf>
    <xf numFmtId="166" fontId="15" fillId="0" borderId="27" xfId="59" applyNumberFormat="1" applyFont="1" applyFill="1" applyBorder="1" applyAlignment="1">
      <alignment horizontal="center" vertical="center"/>
      <protection/>
    </xf>
    <xf numFmtId="166" fontId="15" fillId="0" borderId="68" xfId="59" applyNumberFormat="1" applyFont="1" applyFill="1" applyBorder="1" applyAlignment="1">
      <alignment horizontal="center" vertical="center"/>
      <protection/>
    </xf>
    <xf numFmtId="166" fontId="15" fillId="0" borderId="27" xfId="59" applyNumberFormat="1" applyFont="1" applyFill="1" applyBorder="1" applyAlignment="1">
      <alignment horizontal="center" vertical="center" wrapText="1"/>
      <protection/>
    </xf>
    <xf numFmtId="166" fontId="15" fillId="0" borderId="68" xfId="59" applyNumberFormat="1" applyFont="1" applyFill="1" applyBorder="1" applyAlignment="1">
      <alignment horizontal="center" vertical="center" wrapText="1"/>
      <protection/>
    </xf>
    <xf numFmtId="49" fontId="14" fillId="0" borderId="63" xfId="59" applyNumberFormat="1" applyFont="1" applyFill="1" applyBorder="1" applyAlignment="1">
      <alignment horizontal="left" vertical="center"/>
      <protection/>
    </xf>
    <xf numFmtId="49" fontId="38" fillId="0" borderId="69" xfId="59" applyNumberFormat="1" applyFont="1" applyFill="1" applyBorder="1" applyAlignment="1" quotePrefix="1">
      <alignment horizontal="left" vertical="center"/>
      <protection/>
    </xf>
    <xf numFmtId="49" fontId="14" fillId="0" borderId="69" xfId="59" applyNumberFormat="1" applyFont="1" applyFill="1" applyBorder="1" applyAlignment="1">
      <alignment horizontal="left" vertical="center"/>
      <protection/>
    </xf>
    <xf numFmtId="49" fontId="7" fillId="0" borderId="48" xfId="59" applyNumberFormat="1" applyFont="1" applyFill="1" applyBorder="1" applyAlignment="1" applyProtection="1">
      <alignment horizontal="left" vertical="center"/>
      <protection locked="0"/>
    </xf>
    <xf numFmtId="49" fontId="14" fillId="0" borderId="18" xfId="59" applyNumberFormat="1" applyFont="1" applyFill="1" applyBorder="1" applyAlignment="1">
      <alignment horizontal="left" vertical="center"/>
      <protection/>
    </xf>
    <xf numFmtId="49" fontId="14" fillId="0" borderId="17" xfId="59" applyNumberFormat="1" applyFont="1" applyFill="1" applyBorder="1" applyAlignment="1">
      <alignment horizontal="left" vertical="center"/>
      <protection/>
    </xf>
    <xf numFmtId="49" fontId="14" fillId="0" borderId="19" xfId="59" applyNumberFormat="1" applyFont="1" applyFill="1" applyBorder="1" applyAlignment="1" applyProtection="1">
      <alignment horizontal="left" vertical="center"/>
      <protection locked="0"/>
    </xf>
    <xf numFmtId="175" fontId="7" fillId="0" borderId="27" xfId="59" applyNumberFormat="1" applyFont="1" applyFill="1" applyBorder="1" applyAlignment="1">
      <alignment horizontal="left" vertical="center" wrapText="1"/>
      <protection/>
    </xf>
    <xf numFmtId="166" fontId="0" fillId="0" borderId="0" xfId="59" applyNumberFormat="1" applyFill="1" applyAlignment="1">
      <alignment vertical="center" wrapText="1"/>
      <protection/>
    </xf>
    <xf numFmtId="166" fontId="5" fillId="0" borderId="38" xfId="59" applyNumberFormat="1" applyFont="1" applyFill="1" applyBorder="1" applyAlignment="1">
      <alignment horizontal="right" vertical="center"/>
      <protection/>
    </xf>
    <xf numFmtId="0" fontId="0" fillId="0" borderId="0" xfId="59" applyFill="1" applyAlignment="1">
      <alignment vertical="center"/>
      <protection/>
    </xf>
    <xf numFmtId="166" fontId="3" fillId="0" borderId="27" xfId="59" applyNumberFormat="1" applyFont="1" applyFill="1" applyBorder="1" applyAlignment="1">
      <alignment horizontal="center" vertical="center" wrapText="1"/>
      <protection/>
    </xf>
    <xf numFmtId="3" fontId="0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0" fillId="0" borderId="29" xfId="59" applyNumberFormat="1" applyFont="1" applyFill="1" applyBorder="1" applyAlignment="1" applyProtection="1">
      <alignment horizontal="right" vertical="center" wrapText="1"/>
      <protection locked="0"/>
    </xf>
    <xf numFmtId="166" fontId="3" fillId="0" borderId="27" xfId="59" applyNumberFormat="1" applyFont="1" applyFill="1" applyBorder="1" applyAlignment="1">
      <alignment horizontal="right" vertical="center" wrapText="1"/>
      <protection/>
    </xf>
    <xf numFmtId="0" fontId="95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66" fontId="3" fillId="0" borderId="0" xfId="59" applyNumberFormat="1" applyFont="1" applyFill="1" applyBorder="1" applyAlignment="1">
      <alignment horizontal="left" vertical="center" wrapText="1"/>
      <protection/>
    </xf>
    <xf numFmtId="166" fontId="3" fillId="0" borderId="0" xfId="59" applyNumberFormat="1" applyFont="1" applyFill="1" applyBorder="1" applyAlignment="1">
      <alignment horizontal="right" vertical="center" wrapText="1"/>
      <protection/>
    </xf>
    <xf numFmtId="0" fontId="96" fillId="0" borderId="0" xfId="0" applyFont="1" applyAlignment="1">
      <alignment/>
    </xf>
    <xf numFmtId="166" fontId="14" fillId="0" borderId="70" xfId="59" applyNumberFormat="1" applyFont="1" applyFill="1" applyBorder="1" applyAlignment="1" applyProtection="1">
      <alignment horizontal="right" vertical="center" indent="2"/>
      <protection/>
    </xf>
    <xf numFmtId="166" fontId="14" fillId="0" borderId="70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71" xfId="59" applyNumberFormat="1" applyFont="1" applyFill="1" applyBorder="1" applyAlignment="1" applyProtection="1">
      <alignment horizontal="right" vertical="center" wrapText="1" indent="2"/>
      <protection locked="0"/>
    </xf>
    <xf numFmtId="166" fontId="38" fillId="0" borderId="28" xfId="59" applyNumberFormat="1" applyFont="1" applyFill="1" applyBorder="1" applyAlignment="1" applyProtection="1">
      <alignment horizontal="right" vertical="center" indent="2"/>
      <protection/>
    </xf>
    <xf numFmtId="166" fontId="38" fillId="0" borderId="28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28" xfId="59" applyNumberFormat="1" applyFont="1" applyFill="1" applyBorder="1" applyAlignment="1" applyProtection="1">
      <alignment horizontal="right" vertical="center" indent="2"/>
      <protection/>
    </xf>
    <xf numFmtId="166" fontId="14" fillId="0" borderId="28" xfId="59" applyNumberFormat="1" applyFont="1" applyFill="1" applyBorder="1" applyAlignment="1" applyProtection="1">
      <alignment horizontal="right" vertical="center" wrapText="1" indent="2"/>
      <protection locked="0"/>
    </xf>
    <xf numFmtId="166" fontId="7" fillId="0" borderId="27" xfId="59" applyNumberFormat="1" applyFont="1" applyFill="1" applyBorder="1" applyAlignment="1" applyProtection="1">
      <alignment horizontal="right" vertical="center" indent="2"/>
      <protection/>
    </xf>
    <xf numFmtId="166" fontId="7" fillId="0" borderId="27" xfId="59" applyNumberFormat="1" applyFont="1" applyFill="1" applyBorder="1" applyAlignment="1">
      <alignment horizontal="right" vertical="center" indent="2"/>
      <protection/>
    </xf>
    <xf numFmtId="166" fontId="7" fillId="0" borderId="27" xfId="59" applyNumberFormat="1" applyFont="1" applyFill="1" applyBorder="1" applyAlignment="1" applyProtection="1">
      <alignment horizontal="right" vertical="center" wrapText="1" indent="2"/>
      <protection/>
    </xf>
    <xf numFmtId="166" fontId="14" fillId="0" borderId="29" xfId="59" applyNumberFormat="1" applyFont="1" applyFill="1" applyBorder="1" applyAlignment="1" applyProtection="1">
      <alignment horizontal="right" vertical="center" indent="2"/>
      <protection/>
    </xf>
    <xf numFmtId="166" fontId="14" fillId="0" borderId="29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72" xfId="59" applyNumberFormat="1" applyFont="1" applyFill="1" applyBorder="1" applyAlignment="1" applyProtection="1">
      <alignment horizontal="right" vertical="center" wrapText="1" indent="2"/>
      <protection locked="0"/>
    </xf>
    <xf numFmtId="166" fontId="5" fillId="0" borderId="38" xfId="59" applyNumberFormat="1" applyFont="1" applyFill="1" applyBorder="1" applyAlignment="1" applyProtection="1">
      <alignment horizontal="right" vertical="center"/>
      <protection/>
    </xf>
    <xf numFmtId="0" fontId="17" fillId="0" borderId="33" xfId="60" applyFont="1" applyFill="1" applyBorder="1" applyAlignment="1" applyProtection="1">
      <alignment horizontal="left" vertical="center" wrapText="1" inden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73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1" fillId="0" borderId="0" xfId="0" applyFont="1" applyAlignment="1">
      <alignment horizontal="center" vertical="center"/>
    </xf>
    <xf numFmtId="0" fontId="36" fillId="0" borderId="0" xfId="0" applyFont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20" fillId="0" borderId="74" xfId="0" applyFont="1" applyBorder="1" applyAlignment="1" applyProtection="1">
      <alignment horizontal="left" vertical="center" wrapText="1"/>
      <protection locked="0"/>
    </xf>
    <xf numFmtId="166" fontId="20" fillId="0" borderId="75" xfId="0" applyNumberFormat="1" applyFont="1" applyBorder="1" applyAlignment="1" applyProtection="1">
      <alignment horizontal="right" vertical="center" wrapText="1"/>
      <protection locked="0"/>
    </xf>
    <xf numFmtId="0" fontId="0" fillId="0" borderId="76" xfId="0" applyBorder="1" applyAlignment="1">
      <alignment horizontal="center" vertical="center"/>
    </xf>
    <xf numFmtId="0" fontId="20" fillId="0" borderId="77" xfId="0" applyFont="1" applyBorder="1" applyAlignment="1" applyProtection="1">
      <alignment horizontal="left" vertical="center" wrapText="1"/>
      <protection locked="0"/>
    </xf>
    <xf numFmtId="0" fontId="0" fillId="0" borderId="78" xfId="0" applyBorder="1" applyAlignment="1">
      <alignment horizontal="center" vertical="center"/>
    </xf>
    <xf numFmtId="0" fontId="20" fillId="0" borderId="79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166" fontId="21" fillId="0" borderId="26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right" vertical="center" indent="1"/>
    </xf>
    <xf numFmtId="0" fontId="17" fillId="0" borderId="17" xfId="0" applyFont="1" applyBorder="1" applyAlignment="1">
      <alignment horizontal="right" vertical="center" indent="1"/>
    </xf>
    <xf numFmtId="166" fontId="0" fillId="36" borderId="27" xfId="0" applyNumberFormat="1" applyFont="1" applyFill="1" applyBorder="1" applyAlignment="1">
      <alignment horizontal="left" vertical="center" wrapText="1" indent="2"/>
    </xf>
    <xf numFmtId="3" fontId="30" fillId="0" borderId="26" xfId="0" applyNumberFormat="1" applyFont="1" applyBorder="1" applyAlignment="1">
      <alignment horizontal="right" vertical="center" inden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5" fillId="0" borderId="0" xfId="0" applyNumberFormat="1" applyFont="1" applyAlignment="1" applyProtection="1">
      <alignment horizontal="right" wrapText="1"/>
      <protection locked="0"/>
    </xf>
    <xf numFmtId="166" fontId="7" fillId="0" borderId="22" xfId="0" applyNumberFormat="1" applyFont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Alignment="1">
      <alignment horizontal="center" vertical="center" wrapText="1"/>
    </xf>
    <xf numFmtId="166" fontId="15" fillId="0" borderId="56" xfId="0" applyNumberFormat="1" applyFont="1" applyBorder="1" applyAlignment="1">
      <alignment horizontal="center" vertical="center" wrapText="1"/>
    </xf>
    <xf numFmtId="166" fontId="15" fillId="0" borderId="39" xfId="0" applyNumberFormat="1" applyFont="1" applyBorder="1" applyAlignment="1">
      <alignment horizontal="center" vertical="center" wrapText="1"/>
    </xf>
    <xf numFmtId="166" fontId="15" fillId="0" borderId="43" xfId="0" applyNumberFormat="1" applyFont="1" applyBorder="1" applyAlignment="1">
      <alignment horizontal="center" vertical="center" wrapText="1"/>
    </xf>
    <xf numFmtId="166" fontId="14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Border="1" applyAlignment="1" applyProtection="1">
      <alignment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166" fontId="14" fillId="0" borderId="32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>
      <alignment vertical="center" wrapText="1"/>
    </xf>
    <xf numFmtId="166" fontId="7" fillId="0" borderId="22" xfId="0" applyNumberFormat="1" applyFont="1" applyBorder="1" applyAlignment="1">
      <alignment horizontal="left" vertical="center" wrapText="1"/>
    </xf>
    <xf numFmtId="166" fontId="7" fillId="0" borderId="23" xfId="0" applyNumberFormat="1" applyFont="1" applyBorder="1" applyAlignment="1">
      <alignment vertical="center" wrapText="1"/>
    </xf>
    <xf numFmtId="166" fontId="7" fillId="33" borderId="23" xfId="0" applyNumberFormat="1" applyFont="1" applyFill="1" applyBorder="1" applyAlignment="1">
      <alignment vertical="center" wrapText="1"/>
    </xf>
    <xf numFmtId="166" fontId="7" fillId="0" borderId="26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7" fillId="0" borderId="26" xfId="0" applyNumberFormat="1" applyFont="1" applyBorder="1" applyAlignment="1" applyProtection="1">
      <alignment horizontal="center" vertical="center" wrapText="1"/>
      <protection locked="0"/>
    </xf>
    <xf numFmtId="166" fontId="15" fillId="0" borderId="43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vertical="center" wrapText="1"/>
    </xf>
    <xf numFmtId="166" fontId="15" fillId="33" borderId="23" xfId="0" applyNumberFormat="1" applyFont="1" applyFill="1" applyBorder="1" applyAlignment="1">
      <alignment vertical="center" wrapText="1"/>
    </xf>
    <xf numFmtId="166" fontId="15" fillId="0" borderId="26" xfId="0" applyNumberFormat="1" applyFont="1" applyBorder="1" applyAlignment="1">
      <alignment vertical="center" wrapText="1"/>
    </xf>
    <xf numFmtId="166" fontId="0" fillId="0" borderId="17" xfId="0" applyNumberFormat="1" applyFont="1" applyBorder="1" applyAlignment="1" applyProtection="1">
      <alignment horizontal="left" vertical="center" wrapText="1"/>
      <protection locked="0"/>
    </xf>
    <xf numFmtId="166" fontId="0" fillId="0" borderId="11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66" fontId="0" fillId="0" borderId="32" xfId="0" applyNumberFormat="1" applyFont="1" applyBorder="1" applyAlignment="1">
      <alignment vertical="center" wrapText="1"/>
    </xf>
    <xf numFmtId="166" fontId="0" fillId="0" borderId="16" xfId="0" applyNumberFormat="1" applyFont="1" applyBorder="1" applyAlignment="1" applyProtection="1">
      <alignment horizontal="left" vertical="center" wrapText="1"/>
      <protection locked="0"/>
    </xf>
    <xf numFmtId="166" fontId="0" fillId="0" borderId="19" xfId="0" applyNumberFormat="1" applyFont="1" applyBorder="1" applyAlignment="1" applyProtection="1">
      <alignment horizontal="left" vertical="center" wrapText="1" indent="1"/>
      <protection locked="0"/>
    </xf>
    <xf numFmtId="166" fontId="0" fillId="0" borderId="15" xfId="0" applyNumberFormat="1" applyFont="1" applyBorder="1" applyAlignment="1" applyProtection="1">
      <alignment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166" fontId="0" fillId="0" borderId="42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4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4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17" fillId="0" borderId="58" xfId="0" applyFont="1" applyBorder="1" applyAlignment="1">
      <alignment horizontal="right" vertical="center" indent="1"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29" fillId="0" borderId="36" xfId="0" applyNumberFormat="1" applyFont="1" applyBorder="1" applyAlignment="1" applyProtection="1">
      <alignment horizontal="right" vertical="center" indent="1"/>
      <protection locked="0"/>
    </xf>
    <xf numFmtId="0" fontId="9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4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/>
      <protection locked="0"/>
    </xf>
    <xf numFmtId="166" fontId="16" fillId="0" borderId="38" xfId="60" applyNumberFormat="1" applyFont="1" applyFill="1" applyBorder="1" applyAlignment="1" applyProtection="1">
      <alignment horizontal="left" vertical="center"/>
      <protection locked="0"/>
    </xf>
    <xf numFmtId="166" fontId="16" fillId="0" borderId="38" xfId="60" applyNumberFormat="1" applyFont="1" applyFill="1" applyBorder="1" applyAlignment="1" applyProtection="1">
      <alignment horizontal="left"/>
      <protection/>
    </xf>
    <xf numFmtId="0" fontId="15" fillId="0" borderId="0" xfId="60" applyFont="1" applyFill="1" applyAlignment="1" applyProtection="1">
      <alignment horizontal="center"/>
      <protection/>
    </xf>
    <xf numFmtId="166" fontId="16" fillId="0" borderId="38" xfId="60" applyNumberFormat="1" applyFont="1" applyFill="1" applyBorder="1" applyAlignment="1" applyProtection="1">
      <alignment horizontal="left" vertical="center"/>
      <protection/>
    </xf>
    <xf numFmtId="166" fontId="6" fillId="0" borderId="0" xfId="60" applyNumberFormat="1" applyFont="1" applyFill="1" applyBorder="1" applyAlignment="1" applyProtection="1">
      <alignment horizontal="center" vertical="center"/>
      <protection/>
    </xf>
    <xf numFmtId="166" fontId="7" fillId="0" borderId="70" xfId="0" applyNumberFormat="1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textRotation="180" wrapText="1"/>
      <protection/>
    </xf>
    <xf numFmtId="166" fontId="98" fillId="0" borderId="61" xfId="0" applyNumberFormat="1" applyFont="1" applyFill="1" applyBorder="1" applyAlignment="1" applyProtection="1">
      <alignment horizontal="left" vertical="top" wrapText="1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1" xfId="60" applyFont="1" applyFill="1" applyBorder="1" applyAlignment="1">
      <alignment horizontal="center" vertical="center" wrapText="1"/>
      <protection/>
    </xf>
    <xf numFmtId="0" fontId="3" fillId="0" borderId="42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7" fillId="0" borderId="61" xfId="60" applyFont="1" applyFill="1" applyBorder="1" applyAlignment="1">
      <alignment horizontal="justify" vertical="center" wrapText="1"/>
      <protection/>
    </xf>
    <xf numFmtId="0" fontId="0" fillId="0" borderId="61" xfId="60" applyFont="1" applyBorder="1" applyAlignment="1">
      <alignment horizontal="left" vertical="top" wrapText="1"/>
      <protection/>
    </xf>
    <xf numFmtId="166" fontId="6" fillId="0" borderId="0" xfId="0" applyNumberFormat="1" applyFont="1" applyAlignment="1" applyProtection="1">
      <alignment horizontal="center" vertical="center" wrapText="1"/>
      <protection locked="0"/>
    </xf>
    <xf numFmtId="166" fontId="9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75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166" fontId="3" fillId="0" borderId="48" xfId="59" applyNumberFormat="1" applyFont="1" applyFill="1" applyBorder="1" applyAlignment="1">
      <alignment horizontal="center" vertical="center" wrapText="1"/>
      <protection/>
    </xf>
    <xf numFmtId="166" fontId="3" fillId="0" borderId="49" xfId="59" applyNumberFormat="1" applyFont="1" applyFill="1" applyBorder="1" applyAlignment="1">
      <alignment horizontal="center" vertical="center" wrapText="1"/>
      <protection/>
    </xf>
    <xf numFmtId="166" fontId="0" fillId="0" borderId="63" xfId="59" applyNumberFormat="1" applyFont="1" applyFill="1" applyBorder="1" applyAlignment="1" applyProtection="1">
      <alignment horizontal="left" vertical="center" wrapText="1"/>
      <protection locked="0"/>
    </xf>
    <xf numFmtId="166" fontId="0" fillId="0" borderId="80" xfId="59" applyNumberFormat="1" applyFill="1" applyBorder="1" applyAlignment="1" applyProtection="1">
      <alignment horizontal="left" vertical="center" wrapText="1"/>
      <protection locked="0"/>
    </xf>
    <xf numFmtId="166" fontId="0" fillId="0" borderId="64" xfId="59" applyNumberFormat="1" applyFill="1" applyBorder="1" applyAlignment="1" applyProtection="1">
      <alignment horizontal="left" vertical="center" wrapText="1"/>
      <protection locked="0"/>
    </xf>
    <xf numFmtId="166" fontId="0" fillId="0" borderId="81" xfId="59" applyNumberFormat="1" applyFill="1" applyBorder="1" applyAlignment="1" applyProtection="1">
      <alignment horizontal="left" vertical="center" wrapText="1"/>
      <protection locked="0"/>
    </xf>
    <xf numFmtId="166" fontId="3" fillId="0" borderId="48" xfId="59" applyNumberFormat="1" applyFont="1" applyFill="1" applyBorder="1" applyAlignment="1">
      <alignment horizontal="left" vertical="center" wrapText="1"/>
      <protection/>
    </xf>
    <xf numFmtId="166" fontId="3" fillId="0" borderId="49" xfId="59" applyNumberFormat="1" applyFont="1" applyFill="1" applyBorder="1" applyAlignment="1">
      <alignment horizontal="left" vertical="center" wrapText="1"/>
      <protection/>
    </xf>
    <xf numFmtId="175" fontId="39" fillId="0" borderId="61" xfId="5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9" applyFont="1" applyFill="1" applyAlignment="1">
      <alignment horizontal="center" vertical="center"/>
      <protection/>
    </xf>
    <xf numFmtId="166" fontId="4" fillId="0" borderId="0" xfId="59" applyNumberFormat="1" applyFont="1" applyFill="1" applyAlignment="1" applyProtection="1">
      <alignment horizontal="left" vertical="center" wrapText="1"/>
      <protection locked="0"/>
    </xf>
    <xf numFmtId="166" fontId="0" fillId="0" borderId="0" xfId="59" applyNumberFormat="1" applyFill="1" applyAlignment="1" applyProtection="1">
      <alignment horizontal="left" vertical="center" wrapText="1"/>
      <protection locked="0"/>
    </xf>
    <xf numFmtId="166" fontId="3" fillId="0" borderId="82" xfId="59" applyNumberFormat="1" applyFont="1" applyFill="1" applyBorder="1" applyAlignment="1">
      <alignment horizontal="center" vertical="center"/>
      <protection/>
    </xf>
    <xf numFmtId="166" fontId="3" fillId="0" borderId="58" xfId="59" applyNumberFormat="1" applyFont="1" applyFill="1" applyBorder="1" applyAlignment="1">
      <alignment horizontal="center" vertical="center"/>
      <protection/>
    </xf>
    <xf numFmtId="166" fontId="3" fillId="0" borderId="67" xfId="59" applyNumberFormat="1" applyFont="1" applyFill="1" applyBorder="1" applyAlignment="1">
      <alignment horizontal="center" vertical="center"/>
      <protection/>
    </xf>
    <xf numFmtId="166" fontId="3" fillId="0" borderId="82" xfId="59" applyNumberFormat="1" applyFont="1" applyFill="1" applyBorder="1" applyAlignment="1">
      <alignment horizontal="center" vertical="center" wrapText="1"/>
      <protection/>
    </xf>
    <xf numFmtId="166" fontId="3" fillId="0" borderId="61" xfId="59" applyNumberFormat="1" applyFont="1" applyFill="1" applyBorder="1" applyAlignment="1">
      <alignment horizontal="center" vertical="center" wrapText="1"/>
      <protection/>
    </xf>
    <xf numFmtId="0" fontId="0" fillId="0" borderId="65" xfId="59" applyFont="1" applyBorder="1" applyAlignment="1">
      <alignment horizontal="center" vertical="center" wrapText="1"/>
      <protection/>
    </xf>
    <xf numFmtId="166" fontId="3" fillId="0" borderId="70" xfId="59" applyNumberFormat="1" applyFont="1" applyFill="1" applyBorder="1" applyAlignment="1">
      <alignment horizontal="center" vertical="center" wrapText="1"/>
      <protection/>
    </xf>
    <xf numFmtId="166" fontId="3" fillId="0" borderId="55" xfId="59" applyNumberFormat="1" applyFont="1" applyFill="1" applyBorder="1" applyAlignment="1">
      <alignment horizontal="center" vertical="center"/>
      <protection/>
    </xf>
    <xf numFmtId="0" fontId="99" fillId="0" borderId="68" xfId="0" applyFont="1" applyBorder="1" applyAlignment="1">
      <alignment horizontal="center" vertical="center"/>
    </xf>
    <xf numFmtId="0" fontId="6" fillId="0" borderId="0" xfId="59" applyFont="1" applyFill="1" applyAlignment="1" applyProtection="1">
      <alignment horizontal="center" vertical="center"/>
      <protection locked="0"/>
    </xf>
    <xf numFmtId="0" fontId="6" fillId="0" borderId="0" xfId="59" applyFont="1" applyAlignment="1">
      <alignment horizontal="center" vertical="center"/>
      <protection/>
    </xf>
    <xf numFmtId="166" fontId="3" fillId="0" borderId="48" xfId="59" applyNumberFormat="1" applyFont="1" applyFill="1" applyBorder="1" applyAlignment="1">
      <alignment horizontal="center" vertical="center" wrapText="1"/>
      <protection/>
    </xf>
    <xf numFmtId="0" fontId="0" fillId="0" borderId="49" xfId="59" applyFont="1" applyBorder="1" applyAlignment="1">
      <alignment horizontal="center" vertical="center" wrapText="1"/>
      <protection/>
    </xf>
    <xf numFmtId="0" fontId="0" fillId="0" borderId="40" xfId="59" applyFont="1" applyBorder="1" applyAlignment="1">
      <alignment horizontal="center" vertical="center" wrapText="1"/>
      <protection/>
    </xf>
    <xf numFmtId="0" fontId="99" fillId="0" borderId="68" xfId="0" applyFont="1" applyBorder="1" applyAlignment="1">
      <alignment horizontal="center" vertical="center" wrapText="1"/>
    </xf>
    <xf numFmtId="0" fontId="40" fillId="0" borderId="0" xfId="59" applyFont="1" applyFill="1" applyAlignment="1">
      <alignment horizontal="center" vertical="top" textRotation="180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60" applyFont="1" applyFill="1" applyAlignment="1" applyProtection="1">
      <alignment horizontal="center"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right" textRotation="180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0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0" xfId="0" applyNumberFormat="1" applyFont="1" applyFill="1" applyBorder="1" applyAlignment="1" applyProtection="1">
      <alignment horizontal="center" vertical="center"/>
      <protection/>
    </xf>
    <xf numFmtId="166" fontId="7" fillId="0" borderId="68" xfId="0" applyNumberFormat="1" applyFont="1" applyFill="1" applyBorder="1" applyAlignment="1" applyProtection="1">
      <alignment horizontal="center" vertical="center"/>
      <protection/>
    </xf>
    <xf numFmtId="166" fontId="7" fillId="0" borderId="63" xfId="0" applyNumberFormat="1" applyFont="1" applyFill="1" applyBorder="1" applyAlignment="1" applyProtection="1">
      <alignment horizontal="center" vertical="center"/>
      <protection/>
    </xf>
    <xf numFmtId="166" fontId="7" fillId="0" borderId="80" xfId="0" applyNumberFormat="1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 applyProtection="1">
      <alignment horizontal="center" vertical="center"/>
      <protection/>
    </xf>
    <xf numFmtId="166" fontId="7" fillId="0" borderId="70" xfId="0" applyNumberFormat="1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4" xfId="61" applyFont="1" applyFill="1" applyBorder="1" applyAlignment="1" applyProtection="1">
      <alignment horizontal="left" vertical="center" indent="1"/>
      <protection/>
    </xf>
    <xf numFmtId="0" fontId="16" fillId="0" borderId="49" xfId="61" applyFont="1" applyFill="1" applyBorder="1" applyAlignment="1" applyProtection="1">
      <alignment horizontal="left" vertical="center" indent="1"/>
      <protection/>
    </xf>
    <xf numFmtId="0" fontId="16" fillId="0" borderId="40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61" xfId="0" applyFont="1" applyBorder="1" applyAlignment="1">
      <alignment/>
    </xf>
    <xf numFmtId="0" fontId="16" fillId="0" borderId="38" xfId="0" applyFont="1" applyBorder="1" applyAlignment="1">
      <alignment horizontal="right"/>
    </xf>
    <xf numFmtId="0" fontId="7" fillId="0" borderId="48" xfId="0" applyFont="1" applyBorder="1" applyAlignment="1">
      <alignment horizontal="left" vertical="center" indent="2"/>
    </xf>
    <xf numFmtId="0" fontId="7" fillId="0" borderId="40" xfId="0" applyFont="1" applyBorder="1" applyAlignment="1">
      <alignment horizontal="left" vertical="center" indent="2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6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8"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133350</xdr:rowOff>
    </xdr:from>
    <xdr:to>
      <xdr:col>25</xdr:col>
      <xdr:colOff>209550</xdr:colOff>
      <xdr:row>15</xdr:row>
      <xdr:rowOff>161925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020300" y="133350"/>
          <a:ext cx="6305550" cy="2714625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59893"/>
              <a:gd name="adj2" fmla="val 1321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51249" y="659150"/>
            <a:ext cx="818402" cy="269089"/>
          </a:xfrm>
          <a:prstGeom prst="leftArrow">
            <a:avLst>
              <a:gd name="adj" fmla="val -33574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16</xdr:row>
      <xdr:rowOff>123825</xdr:rowOff>
    </xdr:from>
    <xdr:to>
      <xdr:col>25</xdr:col>
      <xdr:colOff>161925</xdr:colOff>
      <xdr:row>23</xdr:row>
      <xdr:rowOff>66675</xdr:rowOff>
    </xdr:to>
    <xdr:sp>
      <xdr:nvSpPr>
        <xdr:cNvPr id="5" name="Téglalap 5"/>
        <xdr:cNvSpPr>
          <a:spLocks/>
        </xdr:cNvSpPr>
      </xdr:nvSpPr>
      <xdr:spPr>
        <a:xfrm>
          <a:off x="9953625" y="2990850"/>
          <a:ext cx="63246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KV_1.1.sz.mell.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KV_1.1.sz.mell. fülnél kell elvégzeni, a többi táblázat automatikusan javítódik!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&#246;lts&#233;gvet&#233;s_2019\K&#246;lts&#233;gvet&#233;s%20201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ÖSSZÖNK"/>
      <sheetName val="KÖTELEZŐ ÖSSZ."/>
      <sheetName val="ÖNK.VÁLL.ÖSSZ"/>
      <sheetName val="ÁLLAMIG.ÖSSZ."/>
      <sheetName val="MÉRLEG MŰKÖDÉSI"/>
      <sheetName val="MÉRLEG FELHALM."/>
      <sheetName val="KV_ELLENŐRZÉS"/>
      <sheetName val="BERUHÁZÁS"/>
      <sheetName val="FELÚJÍTÁS"/>
      <sheetName val="ÖNK"/>
      <sheetName val="ÖNK kötelező"/>
      <sheetName val="ÖNK önként váll."/>
      <sheetName val="ÖNK államig."/>
      <sheetName val="PH"/>
      <sheetName val="PH kötelező"/>
      <sheetName val="PH államig."/>
      <sheetName val="ÁMK"/>
      <sheetName val="ÁMK kötelező"/>
      <sheetName val="2017.2018.2019."/>
      <sheetName val="Előirányzat felh.terv."/>
      <sheetName val="Bevétel"/>
      <sheetName val="Támogatások"/>
      <sheetName val="3 év tervezett"/>
    </sheetNames>
    <sheetDataSet>
      <sheetData sheetId="2">
        <row r="5">
          <cell r="A5" t="str">
            <v>2019.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zoomScale="120" zoomScaleNormal="120" zoomScalePageLayoutView="0" workbookViewId="0" topLeftCell="A7">
      <selection activeCell="I26" sqref="I26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1" ht="12.75">
      <c r="A1" s="622">
        <v>2020</v>
      </c>
    </row>
    <row r="2" spans="1:3" ht="18.75" customHeight="1">
      <c r="A2" s="731" t="s">
        <v>569</v>
      </c>
      <c r="B2" s="731"/>
      <c r="C2" s="731"/>
    </row>
    <row r="3" spans="1:3" ht="15">
      <c r="A3" s="515"/>
      <c r="B3" s="516"/>
      <c r="C3" s="515"/>
    </row>
    <row r="4" spans="1:3" ht="14.25">
      <c r="A4" s="517" t="s">
        <v>592</v>
      </c>
      <c r="B4" s="518" t="s">
        <v>591</v>
      </c>
      <c r="C4" s="517" t="s">
        <v>570</v>
      </c>
    </row>
    <row r="5" spans="1:3" ht="12.75">
      <c r="A5" s="519"/>
      <c r="B5" s="519"/>
      <c r="C5" s="519"/>
    </row>
    <row r="6" spans="1:3" ht="18.75">
      <c r="A6" s="732" t="s">
        <v>572</v>
      </c>
      <c r="B6" s="732"/>
      <c r="C6" s="732"/>
    </row>
    <row r="7" spans="1:3" ht="12.75">
      <c r="A7" s="519" t="s">
        <v>593</v>
      </c>
      <c r="B7" s="519" t="s">
        <v>594</v>
      </c>
      <c r="C7" s="571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19" t="s">
        <v>595</v>
      </c>
      <c r="B8" s="519" t="s">
        <v>674</v>
      </c>
      <c r="C8" s="571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19" t="s">
        <v>596</v>
      </c>
      <c r="B9" s="519" t="s">
        <v>597</v>
      </c>
      <c r="C9" s="571" t="str">
        <f ca="1">HYPERLINK(SUBSTITUTE(CELL("address",'Össz.ÖNK'!A1),"'",""),SUBSTITUTE(MID(CELL("address",'Össz.ÖNK'!A1),SEARCH("]",CELL("address",'Össz.ÖNK'!A1),1)+1,LEN(CELL("address",'Össz.ÖNK'!A1))-SEARCH("]",CELL("address",'Össz.ÖNK'!A1),1)),"'",""))</f>
        <v>Össz.ÖNK!$A$1</v>
      </c>
    </row>
    <row r="10" spans="1:3" ht="12.75">
      <c r="A10" s="519" t="s">
        <v>598</v>
      </c>
      <c r="B10" s="519" t="s">
        <v>600</v>
      </c>
      <c r="C10" s="571" t="str">
        <f ca="1">HYPERLINK(SUBSTITUTE(CELL("address",'Össz.Önk. KÖT.'!A1),"'",""),SUBSTITUTE(MID(CELL("address",'Össz.Önk. KÖT.'!A1),SEARCH("]",CELL("address",'Össz.Önk. KÖT.'!A1),1)+1,LEN(CELL("address",'Össz.Önk. KÖT.'!A1))-SEARCH("]",CELL("address",'Össz.Önk. KÖT.'!A1),1)),"'",""))</f>
        <v>Össz.Önk. KÖT.!$A$1</v>
      </c>
    </row>
    <row r="11" spans="1:3" ht="12.75">
      <c r="A11" s="519" t="s">
        <v>599</v>
      </c>
      <c r="B11" s="519" t="s">
        <v>601</v>
      </c>
      <c r="C11" s="571" t="str">
        <f ca="1">HYPERLINK(SUBSTITUTE(CELL("address",'Össz. Önk. ÖNV.'!A1),"'",""),SUBSTITUTE(MID(CELL("address",'Össz. Önk. ÖNV.'!A1),SEARCH("]",CELL("address",'Össz. Önk. ÖNV.'!A1),1)+1,LEN(CELL("address",'Össz. Önk. ÖNV.'!A1))-SEARCH("]",CELL("address",'Össz. Önk. ÖNV.'!A1),1)),"'",""))</f>
        <v>Össz. Önk. ÖNV.!$A$1</v>
      </c>
    </row>
    <row r="12" spans="1:3" ht="12.75">
      <c r="A12" s="519" t="s">
        <v>602</v>
      </c>
      <c r="B12" s="519" t="s">
        <v>603</v>
      </c>
      <c r="C12" s="571" t="str">
        <f ca="1">HYPERLINK(SUBSTITUTE(CELL("address",'Össz. Önk. ÁIG.'!A1),"'",""),SUBSTITUTE(MID(CELL("address",'Össz. Önk. ÁIG.'!A1),SEARCH("]",CELL("address",'Össz. Önk. ÁIG.'!A1),1)+1,LEN(CELL("address",'Össz. Önk. ÁIG.'!A1))-SEARCH("]",CELL("address",'Össz. Önk. ÁIG.'!A1),1)),"'",""))</f>
        <v>Össz. Önk. ÁIG.!$A$1</v>
      </c>
    </row>
    <row r="13" spans="1:3" ht="12.75">
      <c r="A13" s="519" t="s">
        <v>604</v>
      </c>
      <c r="B13" s="519" t="s">
        <v>605</v>
      </c>
      <c r="C13" s="571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19" t="s">
        <v>606</v>
      </c>
      <c r="B14" s="519" t="s">
        <v>607</v>
      </c>
      <c r="C14" s="571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19" t="s">
        <v>608</v>
      </c>
      <c r="B15" s="519" t="s">
        <v>609</v>
      </c>
      <c r="C15" s="571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19" t="s">
        <v>610</v>
      </c>
      <c r="B16" s="519" t="s">
        <v>675</v>
      </c>
      <c r="C16" s="571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19" t="s">
        <v>611</v>
      </c>
      <c r="B17" s="519" t="s">
        <v>612</v>
      </c>
      <c r="C17" s="571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19" t="s">
        <v>614</v>
      </c>
      <c r="B18" s="519" t="s">
        <v>613</v>
      </c>
      <c r="C18" s="571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19" t="s">
        <v>615</v>
      </c>
      <c r="B19" s="519" t="s">
        <v>616</v>
      </c>
      <c r="C19" s="571" t="str">
        <f ca="1">HYPERLINK(SUBSTITUTE(CELL("address",Beruházások!A1),"'",""),SUBSTITUTE(MID(CELL("address",Beruházások!A1),SEARCH("]",CELL("address",Beruházások!A1),1)+1,LEN(CELL("address",Beruházások!A1))-SEARCH("]",CELL("address",Beruházások!A1),1)),"'",""))</f>
        <v>Beruházások!$A$1</v>
      </c>
    </row>
    <row r="20" spans="1:3" ht="12.75">
      <c r="A20" s="519" t="s">
        <v>617</v>
      </c>
      <c r="B20" s="519" t="s">
        <v>618</v>
      </c>
      <c r="C20" s="571" t="str">
        <f ca="1">HYPERLINK(SUBSTITUTE(CELL("address",Felújítások!A1),"'",""),SUBSTITUTE(MID(CELL("address",Felújítások!A1),SEARCH("]",CELL("address",Felújítások!A1),1)+1,LEN(CELL("address",Felújítások!A1))-SEARCH("]",CELL("address",Felújítások!A1),1)),"'",""))</f>
        <v>Felújítások!$A$1</v>
      </c>
    </row>
    <row r="21" spans="1:3" ht="12.75">
      <c r="A21" s="519" t="s">
        <v>619</v>
      </c>
      <c r="B21" s="519" t="s">
        <v>620</v>
      </c>
      <c r="C21" s="571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24" t="s">
        <v>621</v>
      </c>
      <c r="B22" s="519" t="s">
        <v>622</v>
      </c>
      <c r="C22" s="571" t="str">
        <f ca="1">HYPERLINK(SUBSTITUTE(CELL("address",'ÖNKORM.'!A1),"'",""),SUBSTITUTE(MID(CELL("address",'ÖNKORM.'!A1),SEARCH("]",CELL("address",'ÖNKORM.'!A1),1)+1,LEN(CELL("address",'ÖNKORM.'!A1))-SEARCH("]",CELL("address",'ÖNKORM.'!A1),1)),"'",""))</f>
        <v>ÖNKORM.!$A$1</v>
      </c>
    </row>
    <row r="23" spans="1:3" ht="12.75">
      <c r="A23" s="525" t="s">
        <v>623</v>
      </c>
      <c r="B23" s="519" t="s">
        <v>624</v>
      </c>
      <c r="C23" s="571" t="str">
        <f ca="1">HYPERLINK(SUBSTITUTE(CELL("address",'ÖNK-Kötelező'!A1),"'",""),SUBSTITUTE(MID(CELL("address",'ÖNK-Kötelező'!A1),SEARCH("]",CELL("address",'ÖNK-Kötelező'!A1),1)+1,LEN(CELL("address",'ÖNK-Kötelező'!A1))-SEARCH("]",CELL("address",'ÖNK-Kötelező'!A1),1)),"'",""))</f>
        <v>ÖNK-Kötelező!$A$1</v>
      </c>
    </row>
    <row r="24" spans="1:3" ht="12.75">
      <c r="A24" s="519" t="s">
        <v>625</v>
      </c>
      <c r="B24" s="519" t="s">
        <v>626</v>
      </c>
      <c r="C24" s="571" t="str">
        <f ca="1">HYPERLINK(SUBSTITUTE(CELL("address",'ÖNK-Önként v.'!A1),"'",""),SUBSTITUTE(MID(CELL("address",'ÖNK-Önként v.'!A1),SEARCH("]",CELL("address",'ÖNK-Önként v.'!A1),1)+1,LEN(CELL("address",'ÖNK-Önként v.'!A1))-SEARCH("]",CELL("address",'ÖNK-Önként v.'!A1),1)),"'",""))</f>
        <v>ÖNK-Önként v.!$A$1</v>
      </c>
    </row>
    <row r="25" spans="1:3" ht="12.75">
      <c r="A25" s="519" t="s">
        <v>627</v>
      </c>
      <c r="B25" s="519" t="s">
        <v>628</v>
      </c>
      <c r="C25" s="571" t="str">
        <f ca="1">HYPERLINK(SUBSTITUTE(CELL("address",'ÖNK-ÁIG'!A1),"'",""),SUBSTITUTE(MID(CELL("address",'ÖNK-ÁIG'!A1),SEARCH("]",CELL("address",'ÖNK-ÁIG'!A1),1)+1,LEN(CELL("address",'ÖNK-ÁIG'!A1))-SEARCH("]",CELL("address",'ÖNK-ÁIG'!A1),1)),"'",""))</f>
        <v>ÖNK-ÁIG!$A$1</v>
      </c>
    </row>
    <row r="26" spans="1:3" ht="12.75">
      <c r="A26" s="519" t="s">
        <v>629</v>
      </c>
      <c r="B26" s="519" t="s">
        <v>630</v>
      </c>
      <c r="C26" s="571" t="str">
        <f ca="1">HYPERLINK(SUBSTITUTE(CELL("address",'KÖZÖS HIVATAL'!A1),"'",""),SUBSTITUTE(MID(CELL("address",'KÖZÖS HIVATAL'!A1),SEARCH("]",CELL("address",'KÖZÖS HIVATAL'!A1),1)+1,LEN(CELL("address",'KÖZÖS HIVATAL'!A1))-SEARCH("]",CELL("address",'KÖZÖS HIVATAL'!A1),1)),"'",""))</f>
        <v>KÖZÖS HIVATAL!$A$1</v>
      </c>
    </row>
    <row r="27" spans="1:3" ht="12.75">
      <c r="A27" s="519" t="s">
        <v>631</v>
      </c>
      <c r="B27" s="519" t="str">
        <f>CONCATENATE(ALAPADATOK!B13)</f>
        <v>Karácsond Általános Művelődési Központ</v>
      </c>
      <c r="C27" s="571" t="str">
        <f ca="1">HYPERLINK(SUBSTITUTE(CELL("address",ÁMK!A1),"'",""),SUBSTITUTE(MID(CELL("address",ÁMK!A1),SEARCH("]",CELL("address",ÁMK!A1),1)+1,LEN(CELL("address",ÁMK!A1))-SEARCH("]",CELL("address",ÁMK!A1),1)),"'",""))</f>
        <v>ÁMK!$A$1</v>
      </c>
    </row>
    <row r="28" spans="1:3" ht="12.75">
      <c r="A28" s="519" t="s">
        <v>632</v>
      </c>
      <c r="B28" s="519" t="str">
        <f>CONCATENATE(ALAPADATOK!B15)</f>
        <v>2 kvi név</v>
      </c>
      <c r="C28" s="57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19" t="s">
        <v>638</v>
      </c>
      <c r="B29" s="519" t="str">
        <f>CONCATENATE(ALAPADATOK!B17)</f>
        <v>3 kvi név  </v>
      </c>
      <c r="C29" s="57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19" t="s">
        <v>639</v>
      </c>
      <c r="B30" s="519" t="str">
        <f>CONCATENATE(ALAPADATOK!B19)</f>
        <v>4 kvi név</v>
      </c>
      <c r="C30" s="57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19" t="s">
        <v>640</v>
      </c>
      <c r="B31" s="519" t="str">
        <f>CONCATENATE(ALAPADATOK!B21)</f>
        <v>5 kvi név</v>
      </c>
      <c r="C31" s="57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19" t="s">
        <v>641</v>
      </c>
      <c r="B32" s="519" t="str">
        <f>CONCATENATE(ALAPADATOK!B23)</f>
        <v>6 kvi név</v>
      </c>
      <c r="C32" s="57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19" t="s">
        <v>642</v>
      </c>
      <c r="B33" s="519" t="str">
        <f>CONCATENATE(ALAPADATOK!B25)</f>
        <v>7 kvi név</v>
      </c>
      <c r="C33" s="57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19" t="s">
        <v>643</v>
      </c>
      <c r="B34" s="519" t="str">
        <f>CONCATENATE(ALAPADATOK!B27)</f>
        <v>8 kvi név</v>
      </c>
      <c r="C34" s="57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19" t="s">
        <v>644</v>
      </c>
      <c r="B35" s="519" t="str">
        <f>CONCATENATE(ALAPADATOK!B29)</f>
        <v>9 kvi név</v>
      </c>
      <c r="C35" s="57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19" t="s">
        <v>645</v>
      </c>
      <c r="B36" s="519" t="str">
        <f>CONCATENATE(ALAPADATOK!B31)</f>
        <v>10 kvi név</v>
      </c>
      <c r="C36" s="57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19" t="s">
        <v>646</v>
      </c>
      <c r="B37" s="519" t="s">
        <v>654</v>
      </c>
      <c r="C37" s="571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19" t="s">
        <v>647</v>
      </c>
      <c r="B38" s="519" t="str">
        <f>'3 év tájékoztató'!A3</f>
        <v>Tájékoztató a 2018. évi tény, 2019. évi várható és 2020. évi terv adatokról</v>
      </c>
      <c r="C38" s="571" t="str">
        <f ca="1">HYPERLINK(SUBSTITUTE(CELL("address",'3 év tájékoztató'!A1),"'",""),SUBSTITUTE(MID(CELL("address",'3 év tájékoztató'!A1),SEARCH("]",CELL("address",'3 év tájékoztató'!A1),1)+1,LEN(CELL("address",'3 év tájékoztató'!A1))-SEARCH("]",CELL("address",'3 év tájékoztató'!A1),1)),"'",""))</f>
        <v>3 év tájékoztató!$A$1</v>
      </c>
    </row>
    <row r="39" spans="1:3" ht="25.5">
      <c r="A39" s="519" t="s">
        <v>648</v>
      </c>
      <c r="B39" s="572" t="s">
        <v>4</v>
      </c>
      <c r="C39" s="571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19" t="s">
        <v>649</v>
      </c>
      <c r="B40" s="519" t="s">
        <v>655</v>
      </c>
      <c r="C40" s="571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19" t="s">
        <v>650</v>
      </c>
      <c r="B41" s="519" t="str">
        <f>'KV_4.sz.tájékoztató_t.'!A2</f>
        <v>Előirányzat-felhasználási terv
2020. évre</v>
      </c>
      <c r="C41" s="571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19" t="s">
        <v>651</v>
      </c>
      <c r="B42" s="519" t="str">
        <f>'Központi költségvetési tám.'!B1</f>
        <v>2020. évi általános működés és ágazati feladatok támogatásának alakulása jogcímenként</v>
      </c>
      <c r="C42" s="571" t="str">
        <f ca="1">HYPERLINK(SUBSTITUTE(CELL("address",'Központi költségvetési tám.'!A1),"'",""),SUBSTITUTE(MID(CELL("address",'Központi költségvetési tám.'!A1),SEARCH("]",CELL("address",'Központi költségvetési tám.'!A1),1)+1,LEN(CELL("address",'Központi költségvetési tám.'!A1))-SEARCH("]",CELL("address",'Központi költségvetési tám.'!A1),1)),"'",""))</f>
        <v>Központi költségvetési tám.!$A$1</v>
      </c>
    </row>
    <row r="43" spans="1:3" ht="12.75">
      <c r="A43" s="519" t="s">
        <v>652</v>
      </c>
      <c r="B43" s="519" t="str">
        <f>'Adott támogatások'!A2</f>
        <v>Kimutatás a 2020. ében céljeleggel nyújtott támogatásokról</v>
      </c>
      <c r="C43" s="571" t="str">
        <f ca="1">HYPERLINK(SUBSTITUTE(CELL("address",'Adott támogatások'!A1),"'",""),SUBSTITUTE(MID(CELL("address",'Adott támogatások'!A1),SEARCH("]",CELL("address",'Adott támogatások'!A1),1)+1,LEN(CELL("address",'Adott támogatások'!A1))-SEARCH("]",CELL("address",'Adott támogatások'!A1),1)),"'",""))</f>
        <v>Adott támogatások!$A$1</v>
      </c>
    </row>
    <row r="44" spans="1:3" ht="12.75">
      <c r="A44" s="519" t="s">
        <v>653</v>
      </c>
      <c r="B44" s="519" t="str">
        <f>LOWER('KV_7.sz.tájékoztató_t.'!A3)</f>
        <v>2020. évi költségvetési évet követő 3 év tervezett</v>
      </c>
      <c r="C44" s="571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19"/>
      <c r="B45" s="519"/>
      <c r="C45" s="571"/>
    </row>
    <row r="46" spans="1:3" ht="18.75">
      <c r="A46" s="732"/>
      <c r="B46" s="732"/>
      <c r="C46" s="732"/>
    </row>
    <row r="47" spans="1:3" ht="12.75">
      <c r="A47" s="519"/>
      <c r="B47" s="519"/>
      <c r="C47" s="519"/>
    </row>
    <row r="48" spans="1:3" ht="12.75">
      <c r="A48" s="519"/>
      <c r="B48" s="519"/>
      <c r="C48" s="519"/>
    </row>
    <row r="49" spans="1:3" ht="12.75">
      <c r="A49" s="519"/>
      <c r="B49" s="519"/>
      <c r="C49" s="519"/>
    </row>
    <row r="50" spans="1:3" ht="12.75">
      <c r="A50" s="519"/>
      <c r="B50" s="519"/>
      <c r="C50" s="519"/>
    </row>
    <row r="51" spans="1:3" ht="12.75">
      <c r="A51" s="519"/>
      <c r="B51" s="519"/>
      <c r="C51" s="519"/>
    </row>
    <row r="52" spans="1:3" ht="12.75">
      <c r="A52" s="519"/>
      <c r="B52" s="519"/>
      <c r="C52" s="519"/>
    </row>
    <row r="53" spans="1:3" ht="12.75">
      <c r="A53" s="519"/>
      <c r="B53" s="519"/>
      <c r="C53" s="519"/>
    </row>
    <row r="54" spans="1:3" ht="12.75">
      <c r="A54" s="519"/>
      <c r="B54" s="519"/>
      <c r="C54" s="519"/>
    </row>
    <row r="55" spans="1:3" ht="12.75">
      <c r="A55" s="519"/>
      <c r="B55" s="519"/>
      <c r="C55" s="519"/>
    </row>
    <row r="56" spans="1:3" ht="12.75">
      <c r="A56" s="519"/>
      <c r="B56" s="519"/>
      <c r="C56" s="519"/>
    </row>
    <row r="57" spans="1:3" ht="12.75">
      <c r="A57" s="519"/>
      <c r="B57" s="519"/>
      <c r="C57" s="519"/>
    </row>
    <row r="58" spans="1:3" ht="12.75">
      <c r="A58" s="519"/>
      <c r="B58" s="519"/>
      <c r="C58" s="519"/>
    </row>
    <row r="59" spans="1:3" ht="12.75">
      <c r="A59" s="519"/>
      <c r="B59" s="519"/>
      <c r="C59" s="519"/>
    </row>
    <row r="60" spans="1:3" ht="12.75">
      <c r="A60" s="519"/>
      <c r="B60" s="519"/>
      <c r="C60" s="519"/>
    </row>
    <row r="61" spans="1:3" ht="33.75" customHeight="1">
      <c r="A61" s="733"/>
      <c r="B61" s="734"/>
      <c r="C61" s="734"/>
    </row>
    <row r="62" spans="1:3" ht="12.75">
      <c r="A62" s="519"/>
      <c r="B62" s="519"/>
      <c r="C62" s="519"/>
    </row>
    <row r="63" spans="1:3" ht="12.75">
      <c r="A63" s="519"/>
      <c r="B63" s="519"/>
      <c r="C63" s="519"/>
    </row>
    <row r="64" spans="1:3" ht="12.75">
      <c r="A64" s="519"/>
      <c r="B64" s="519"/>
      <c r="C64" s="519"/>
    </row>
    <row r="65" spans="1:3" ht="12.75">
      <c r="A65" s="519"/>
      <c r="B65" s="519"/>
      <c r="C65" s="519"/>
    </row>
    <row r="66" spans="1:3" ht="12.75">
      <c r="A66" s="519"/>
      <c r="B66" s="519"/>
      <c r="C66" s="519"/>
    </row>
    <row r="67" spans="1:3" ht="12.75">
      <c r="A67" s="519"/>
      <c r="B67" s="519"/>
      <c r="C67" s="519"/>
    </row>
    <row r="68" spans="1:3" ht="12.75">
      <c r="A68" s="519"/>
      <c r="B68" s="519"/>
      <c r="C68" s="519"/>
    </row>
    <row r="69" spans="1:3" ht="12.75">
      <c r="A69" s="519"/>
      <c r="B69" s="519"/>
      <c r="C69" s="519"/>
    </row>
    <row r="70" spans="1:3" ht="12.75">
      <c r="A70" s="519"/>
      <c r="B70" s="519"/>
      <c r="C70" s="519"/>
    </row>
    <row r="71" spans="1:3" ht="12.75">
      <c r="A71" s="519"/>
      <c r="B71" s="519"/>
      <c r="C71" s="519"/>
    </row>
    <row r="72" spans="1:3" ht="12.75">
      <c r="A72" s="519"/>
      <c r="B72" s="519"/>
      <c r="C72" s="519"/>
    </row>
    <row r="73" spans="1:3" ht="12.75">
      <c r="A73" s="519"/>
      <c r="B73" s="519"/>
      <c r="C73" s="519"/>
    </row>
    <row r="74" spans="1:3" ht="12.75">
      <c r="A74" s="519"/>
      <c r="B74" s="519"/>
      <c r="C74" s="519"/>
    </row>
    <row r="75" spans="1:3" ht="12.75">
      <c r="A75" s="519"/>
      <c r="B75" s="519"/>
      <c r="C75" s="519"/>
    </row>
    <row r="76" spans="1:3" ht="12.75">
      <c r="A76" s="519"/>
      <c r="B76" s="519"/>
      <c r="C76" s="519"/>
    </row>
    <row r="77" spans="1:3" ht="12.75">
      <c r="A77" s="519"/>
      <c r="B77" s="519"/>
      <c r="C77" s="519"/>
    </row>
    <row r="78" spans="1:3" ht="12.75">
      <c r="A78" s="519"/>
      <c r="B78" s="519"/>
      <c r="C78" s="519"/>
    </row>
    <row r="79" spans="1:3" ht="12.75">
      <c r="A79" s="519"/>
      <c r="B79" s="519"/>
      <c r="C79" s="519"/>
    </row>
    <row r="81" spans="1:3" ht="18.75">
      <c r="A81" s="732"/>
      <c r="B81" s="732"/>
      <c r="C81" s="732"/>
    </row>
    <row r="103" spans="1:3" ht="18.75">
      <c r="A103" s="732"/>
      <c r="B103" s="732"/>
      <c r="C103" s="732"/>
    </row>
  </sheetData>
  <sheetProtection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H21" sqref="H21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94" t="s">
        <v>144</v>
      </c>
      <c r="E1" s="97" t="s">
        <v>148</v>
      </c>
    </row>
    <row r="3" spans="1:5" ht="12.75">
      <c r="A3" s="103"/>
      <c r="B3" s="104"/>
      <c r="C3" s="103"/>
      <c r="D3" s="106"/>
      <c r="E3" s="104"/>
    </row>
    <row r="4" spans="1:5" ht="15.75">
      <c r="A4" s="62" t="str">
        <f>+KV_ÖSSZEFÜGGÉSEK!A5</f>
        <v>2020. évi előirányzat BEVÉTELEK</v>
      </c>
      <c r="B4" s="105"/>
      <c r="C4" s="113"/>
      <c r="D4" s="106"/>
      <c r="E4" s="104"/>
    </row>
    <row r="5" spans="1:5" ht="12.75">
      <c r="A5" s="103"/>
      <c r="B5" s="104"/>
      <c r="C5" s="103"/>
      <c r="D5" s="106"/>
      <c r="E5" s="104"/>
    </row>
    <row r="6" spans="1:5" ht="12.75">
      <c r="A6" s="103" t="s">
        <v>532</v>
      </c>
      <c r="B6" s="104">
        <f>+'Össz.ÖNK'!C67</f>
        <v>304230864</v>
      </c>
      <c r="C6" s="103" t="s">
        <v>476</v>
      </c>
      <c r="D6" s="106">
        <f>+'KV_2.1.sz.mell.'!C18+'KV_2.2.sz.mell.'!C17</f>
        <v>0</v>
      </c>
      <c r="E6" s="104">
        <f aca="true" t="shared" si="0" ref="E6:E15">+B6-D6</f>
        <v>304230864</v>
      </c>
    </row>
    <row r="7" spans="1:5" ht="12.75">
      <c r="A7" s="103" t="s">
        <v>533</v>
      </c>
      <c r="B7" s="104">
        <f>+'Össz.ÖNK'!C91</f>
        <v>289986938</v>
      </c>
      <c r="C7" s="103" t="s">
        <v>477</v>
      </c>
      <c r="D7" s="106">
        <f>+'KV_2.1.sz.mell.'!C29+'KV_2.2.sz.mell.'!C30</f>
        <v>0</v>
      </c>
      <c r="E7" s="104">
        <f t="shared" si="0"/>
        <v>289986938</v>
      </c>
    </row>
    <row r="8" spans="1:5" ht="12.75">
      <c r="A8" s="103" t="s">
        <v>534</v>
      </c>
      <c r="B8" s="104">
        <f>+'Össz.ÖNK'!C92</f>
        <v>594217802</v>
      </c>
      <c r="C8" s="103" t="s">
        <v>478</v>
      </c>
      <c r="D8" s="106">
        <f>+'KV_2.1.sz.mell.'!C30+'KV_2.2.sz.mell.'!C31</f>
        <v>0</v>
      </c>
      <c r="E8" s="104">
        <f t="shared" si="0"/>
        <v>594217802</v>
      </c>
    </row>
    <row r="9" spans="1:5" ht="12.75">
      <c r="A9" s="103"/>
      <c r="B9" s="104"/>
      <c r="C9" s="103"/>
      <c r="D9" s="106"/>
      <c r="E9" s="104"/>
    </row>
    <row r="10" spans="1:5" ht="12.75">
      <c r="A10" s="103"/>
      <c r="B10" s="104"/>
      <c r="C10" s="103"/>
      <c r="D10" s="106"/>
      <c r="E10" s="104"/>
    </row>
    <row r="11" spans="1:5" ht="15.75">
      <c r="A11" s="62" t="str">
        <f>+KV_ÖSSZEFÜGGÉSEK!A12</f>
        <v>2020. évi előirányzat KIADÁSOK</v>
      </c>
      <c r="B11" s="105"/>
      <c r="C11" s="113"/>
      <c r="D11" s="106"/>
      <c r="E11" s="104"/>
    </row>
    <row r="12" spans="1:5" ht="12.75">
      <c r="A12" s="103"/>
      <c r="B12" s="104"/>
      <c r="C12" s="103"/>
      <c r="D12" s="106"/>
      <c r="E12" s="104"/>
    </row>
    <row r="13" spans="1:5" ht="12.75">
      <c r="A13" s="103" t="s">
        <v>535</v>
      </c>
      <c r="B13" s="104">
        <f>+'Össz.ÖNK'!C133</f>
        <v>587832584</v>
      </c>
      <c r="C13" s="103" t="s">
        <v>479</v>
      </c>
      <c r="D13" s="106">
        <f>+'KV_2.1.sz.mell.'!E18+'KV_2.2.sz.mell.'!E17</f>
        <v>0</v>
      </c>
      <c r="E13" s="104">
        <f t="shared" si="0"/>
        <v>587832584</v>
      </c>
    </row>
    <row r="14" spans="1:5" ht="12.75">
      <c r="A14" s="103" t="s">
        <v>536</v>
      </c>
      <c r="B14" s="104">
        <f>+'Össz.ÖNK'!C158</f>
        <v>6385218</v>
      </c>
      <c r="C14" s="103" t="s">
        <v>480</v>
      </c>
      <c r="D14" s="106">
        <f>+'KV_2.1.sz.mell.'!E29+'KV_2.2.sz.mell.'!E30</f>
        <v>0</v>
      </c>
      <c r="E14" s="104">
        <f t="shared" si="0"/>
        <v>6385218</v>
      </c>
    </row>
    <row r="15" spans="1:5" ht="12.75">
      <c r="A15" s="103" t="s">
        <v>537</v>
      </c>
      <c r="B15" s="104">
        <f>+'Össz.ÖNK'!C159</f>
        <v>594217802</v>
      </c>
      <c r="C15" s="103" t="s">
        <v>481</v>
      </c>
      <c r="D15" s="106">
        <f>+'KV_2.1.sz.mell.'!E30+'KV_2.2.sz.mell.'!E31</f>
        <v>0</v>
      </c>
      <c r="E15" s="104">
        <f t="shared" si="0"/>
        <v>594217802</v>
      </c>
    </row>
    <row r="16" spans="1:5" ht="12.75">
      <c r="A16" s="95"/>
      <c r="B16" s="95"/>
      <c r="C16" s="103"/>
      <c r="D16" s="106"/>
      <c r="E16" s="96"/>
    </row>
    <row r="17" spans="1:5" ht="12.75">
      <c r="A17" s="95"/>
      <c r="B17" s="95"/>
      <c r="C17" s="95"/>
      <c r="D17" s="95"/>
      <c r="E17" s="95"/>
    </row>
    <row r="18" spans="1:5" ht="12.75">
      <c r="A18" s="95"/>
      <c r="B18" s="95"/>
      <c r="C18" s="95"/>
      <c r="D18" s="95"/>
      <c r="E18" s="95"/>
    </row>
    <row r="19" spans="1:5" ht="12.75">
      <c r="A19" s="95"/>
      <c r="B19" s="95"/>
      <c r="C19" s="95"/>
      <c r="D19" s="95"/>
      <c r="E19" s="95"/>
    </row>
  </sheetData>
  <sheetProtection/>
  <conditionalFormatting sqref="E3:E15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116" customWidth="1"/>
    <col min="2" max="2" width="35.625" style="116" customWidth="1"/>
    <col min="3" max="6" width="14.00390625" style="116" customWidth="1"/>
    <col min="7" max="16384" width="9.375" style="116" customWidth="1"/>
  </cols>
  <sheetData>
    <row r="1" spans="1:6" ht="15">
      <c r="A1" s="582"/>
      <c r="B1" s="582"/>
      <c r="C1" s="582"/>
      <c r="D1" s="582"/>
      <c r="E1" s="582"/>
      <c r="F1" s="582"/>
    </row>
    <row r="2" spans="1:6" ht="15">
      <c r="A2" s="582"/>
      <c r="B2" s="741" t="str">
        <f>CONCATENATE("3. melléklet ",ALAPADATOK!A7," ",ALAPADATOK!B7," ",ALAPADATOK!C7," ",ALAPADATOK!D7," ",ALAPADATOK!E7," ",ALAPADATOK!F7," ",ALAPADATOK!G7," ",ALAPADATOK!H7)</f>
        <v>3. melléklet a  / 2020 (  ) önkormányzati rendelethez</v>
      </c>
      <c r="C2" s="741"/>
      <c r="D2" s="741"/>
      <c r="E2" s="741"/>
      <c r="F2" s="741"/>
    </row>
    <row r="3" spans="1:6" ht="15">
      <c r="A3" s="582"/>
      <c r="B3" s="582"/>
      <c r="C3" s="582"/>
      <c r="D3" s="582"/>
      <c r="E3" s="582"/>
      <c r="F3" s="582"/>
    </row>
    <row r="4" spans="1:6" ht="33" customHeight="1">
      <c r="A4" s="755" t="str">
        <f>CONCATENATE(PROPER(ALAPADATOK!A3)," adósságot keletkeztető ügyletekből és kezességvállalásokból fennálló kötelezettségei")</f>
        <v>Karácsond Községi Önkormányzat adósságot keletkeztető ügyletekből és kezességvállalásokból fennálló kötelezettségei</v>
      </c>
      <c r="B4" s="755"/>
      <c r="C4" s="755"/>
      <c r="D4" s="755"/>
      <c r="E4" s="755"/>
      <c r="F4" s="755"/>
    </row>
    <row r="5" spans="1:7" ht="15.75" customHeight="1" thickBot="1">
      <c r="A5" s="583"/>
      <c r="B5" s="583"/>
      <c r="C5" s="756"/>
      <c r="D5" s="756"/>
      <c r="E5" s="763" t="str">
        <f>'KV_2.2.sz.mell.'!E2</f>
        <v>Forintban!</v>
      </c>
      <c r="F5" s="763"/>
      <c r="G5" s="122"/>
    </row>
    <row r="6" spans="1:6" ht="63" customHeight="1">
      <c r="A6" s="759" t="s">
        <v>16</v>
      </c>
      <c r="B6" s="761" t="s">
        <v>190</v>
      </c>
      <c r="C6" s="761" t="s">
        <v>243</v>
      </c>
      <c r="D6" s="761"/>
      <c r="E6" s="761"/>
      <c r="F6" s="757" t="s">
        <v>491</v>
      </c>
    </row>
    <row r="7" spans="1:6" ht="15.75" thickBot="1">
      <c r="A7" s="760"/>
      <c r="B7" s="762"/>
      <c r="C7" s="413">
        <f>+LEFT(KV_ÖSSZEFÜGGÉSEK!A5,4)+1</f>
        <v>2021</v>
      </c>
      <c r="D7" s="413">
        <f>+C7+1</f>
        <v>2022</v>
      </c>
      <c r="E7" s="413">
        <f>+D7+1</f>
        <v>2023</v>
      </c>
      <c r="F7" s="758"/>
    </row>
    <row r="8" spans="1:6" ht="15.75" thickBot="1">
      <c r="A8" s="119"/>
      <c r="B8" s="120" t="s">
        <v>482</v>
      </c>
      <c r="C8" s="120" t="s">
        <v>483</v>
      </c>
      <c r="D8" s="120" t="s">
        <v>484</v>
      </c>
      <c r="E8" s="120" t="s">
        <v>486</v>
      </c>
      <c r="F8" s="121" t="s">
        <v>485</v>
      </c>
    </row>
    <row r="9" spans="1:6" ht="15">
      <c r="A9" s="118" t="s">
        <v>18</v>
      </c>
      <c r="B9" s="135"/>
      <c r="C9" s="451"/>
      <c r="D9" s="451"/>
      <c r="E9" s="451"/>
      <c r="F9" s="452">
        <f>SUM(C9:E9)</f>
        <v>0</v>
      </c>
    </row>
    <row r="10" spans="1:6" ht="15">
      <c r="A10" s="117" t="s">
        <v>19</v>
      </c>
      <c r="B10" s="136"/>
      <c r="C10" s="453"/>
      <c r="D10" s="453"/>
      <c r="E10" s="453"/>
      <c r="F10" s="454">
        <f>SUM(C10:E10)</f>
        <v>0</v>
      </c>
    </row>
    <row r="11" spans="1:6" ht="15">
      <c r="A11" s="117" t="s">
        <v>20</v>
      </c>
      <c r="B11" s="136"/>
      <c r="C11" s="453"/>
      <c r="D11" s="453"/>
      <c r="E11" s="453"/>
      <c r="F11" s="454">
        <f>SUM(C11:E11)</f>
        <v>0</v>
      </c>
    </row>
    <row r="12" spans="1:6" ht="15">
      <c r="A12" s="117" t="s">
        <v>21</v>
      </c>
      <c r="B12" s="136"/>
      <c r="C12" s="453"/>
      <c r="D12" s="453"/>
      <c r="E12" s="453"/>
      <c r="F12" s="454">
        <f>SUM(C12:E12)</f>
        <v>0</v>
      </c>
    </row>
    <row r="13" spans="1:6" ht="15.75" thickBot="1">
      <c r="A13" s="123" t="s">
        <v>22</v>
      </c>
      <c r="B13" s="137"/>
      <c r="C13" s="455"/>
      <c r="D13" s="455"/>
      <c r="E13" s="455"/>
      <c r="F13" s="454">
        <f>SUM(C13:E13)</f>
        <v>0</v>
      </c>
    </row>
    <row r="14" spans="1:6" s="406" customFormat="1" ht="15" thickBot="1">
      <c r="A14" s="405" t="s">
        <v>23</v>
      </c>
      <c r="B14" s="124" t="s">
        <v>191</v>
      </c>
      <c r="C14" s="456">
        <f>SUM(C9:C13)</f>
        <v>0</v>
      </c>
      <c r="D14" s="456">
        <f>SUM(D9:D13)</f>
        <v>0</v>
      </c>
      <c r="E14" s="456">
        <f>SUM(E9:E13)</f>
        <v>0</v>
      </c>
      <c r="F14" s="457">
        <f>SUM(F9:F13)</f>
        <v>0</v>
      </c>
    </row>
  </sheetData>
  <sheetProtection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5.625" style="116" customWidth="1"/>
    <col min="2" max="2" width="68.625" style="116" customWidth="1"/>
    <col min="3" max="3" width="19.50390625" style="116" customWidth="1"/>
    <col min="4" max="16384" width="9.375" style="116" customWidth="1"/>
  </cols>
  <sheetData>
    <row r="1" spans="1:3" ht="15">
      <c r="A1" s="582"/>
      <c r="B1" s="582"/>
      <c r="C1" s="582"/>
    </row>
    <row r="2" spans="1:3" ht="15">
      <c r="A2" s="582"/>
      <c r="B2" s="741" t="str">
        <f>CONCATENATE("4. melléklet ",ALAPADATOK!A7," ",ALAPADATOK!B7," ",ALAPADATOK!C7," ",ALAPADATOK!D7," ",ALAPADATOK!E7," ",ALAPADATOK!F7," ",ALAPADATOK!G7," ",ALAPADATOK!H7)</f>
        <v>4. melléklet a  / 2020 (  ) önkormányzati rendelethez</v>
      </c>
      <c r="C2" s="741"/>
    </row>
    <row r="3" spans="1:3" ht="15">
      <c r="A3" s="582"/>
      <c r="B3" s="582"/>
      <c r="C3" s="582"/>
    </row>
    <row r="4" spans="1:3" ht="54" customHeight="1">
      <c r="A4" s="764" t="str">
        <f>CONCATENATE(PROPER(ALAPADATOK!A3)," saját bevételeinek részletezése az adósságot keletkeztető ügyletből származó tárgyévi fizetési kötelezettség megállapításához")</f>
        <v>Karácsond Községi Önkormányzat saját bevételeinek részletezése az adósságot keletkeztető ügyletből származó tárgyévi fizetési kötelezettség megállapításához</v>
      </c>
      <c r="B4" s="764"/>
      <c r="C4" s="764"/>
    </row>
    <row r="5" spans="1:4" ht="15.75" customHeight="1" thickBot="1">
      <c r="A5" s="583"/>
      <c r="B5" s="583"/>
      <c r="C5" s="584" t="str">
        <f>'KV_2.2.sz.mell.'!E2</f>
        <v>Forintban!</v>
      </c>
      <c r="D5" s="122"/>
    </row>
    <row r="6" spans="1:3" ht="26.25" customHeight="1" thickBot="1">
      <c r="A6" s="585" t="s">
        <v>16</v>
      </c>
      <c r="B6" s="586" t="s">
        <v>189</v>
      </c>
      <c r="C6" s="587" t="str">
        <f>+'Össz.ÖNK'!C8</f>
        <v>2020. évi előirányzat</v>
      </c>
    </row>
    <row r="7" spans="1:3" ht="15.75" thickBot="1">
      <c r="A7" s="138"/>
      <c r="B7" s="448" t="s">
        <v>482</v>
      </c>
      <c r="C7" s="449" t="s">
        <v>483</v>
      </c>
    </row>
    <row r="8" spans="1:3" ht="15">
      <c r="A8" s="139" t="s">
        <v>18</v>
      </c>
      <c r="B8" s="300" t="s">
        <v>492</v>
      </c>
      <c r="C8" s="297"/>
    </row>
    <row r="9" spans="1:3" ht="24.75">
      <c r="A9" s="140" t="s">
        <v>19</v>
      </c>
      <c r="B9" s="325" t="s">
        <v>240</v>
      </c>
      <c r="C9" s="298"/>
    </row>
    <row r="10" spans="1:3" ht="15">
      <c r="A10" s="140" t="s">
        <v>20</v>
      </c>
      <c r="B10" s="326" t="s">
        <v>493</v>
      </c>
      <c r="C10" s="298"/>
    </row>
    <row r="11" spans="1:3" ht="24.75">
      <c r="A11" s="140" t="s">
        <v>21</v>
      </c>
      <c r="B11" s="326" t="s">
        <v>242</v>
      </c>
      <c r="C11" s="298"/>
    </row>
    <row r="12" spans="1:3" ht="15">
      <c r="A12" s="141" t="s">
        <v>22</v>
      </c>
      <c r="B12" s="326" t="s">
        <v>241</v>
      </c>
      <c r="C12" s="299"/>
    </row>
    <row r="13" spans="1:3" ht="15.75" thickBot="1">
      <c r="A13" s="140" t="s">
        <v>23</v>
      </c>
      <c r="B13" s="327" t="s">
        <v>494</v>
      </c>
      <c r="C13" s="298"/>
    </row>
    <row r="14" spans="1:3" ht="15.75" thickBot="1">
      <c r="A14" s="765" t="s">
        <v>192</v>
      </c>
      <c r="B14" s="766"/>
      <c r="C14" s="142">
        <f>SUM(C8:C13)</f>
        <v>0</v>
      </c>
    </row>
    <row r="15" spans="1:3" ht="23.25" customHeight="1">
      <c r="A15" s="767" t="s">
        <v>219</v>
      </c>
      <c r="B15" s="767"/>
      <c r="C15" s="767"/>
    </row>
  </sheetData>
  <sheetProtection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F19" sqref="F19"/>
    </sheetView>
  </sheetViews>
  <sheetFormatPr defaultColWidth="9.00390625" defaultRowHeight="12.75"/>
  <cols>
    <col min="1" max="1" width="5.625" style="116" customWidth="1"/>
    <col min="2" max="2" width="66.875" style="116" customWidth="1"/>
    <col min="3" max="3" width="27.00390625" style="116" customWidth="1"/>
    <col min="4" max="16384" width="9.375" style="116" customWidth="1"/>
  </cols>
  <sheetData>
    <row r="1" spans="1:3" ht="15">
      <c r="A1" s="582"/>
      <c r="B1" s="582"/>
      <c r="C1" s="582"/>
    </row>
    <row r="2" spans="1:3" ht="15">
      <c r="A2" s="582"/>
      <c r="B2" s="741" t="str">
        <f>CONCATENATE("5. melléklet ",ALAPADATOK!A7," ",ALAPADATOK!B7," ",ALAPADATOK!C7," ",ALAPADATOK!D7," ",ALAPADATOK!E7," ",ALAPADATOK!F7," ",ALAPADATOK!G7," ",ALAPADATOK!H7)</f>
        <v>5. melléklet a  / 2020 (  ) önkormányzati rendelethez</v>
      </c>
      <c r="C2" s="741"/>
    </row>
    <row r="3" spans="1:3" ht="15">
      <c r="A3" s="582"/>
      <c r="B3" s="582"/>
      <c r="C3" s="582"/>
    </row>
    <row r="4" spans="1:3" ht="33" customHeight="1">
      <c r="A4" s="764" t="str">
        <f>CONCATENATE(PROPER(ALAPADATOK!A3)," ",ALAPADATOK!D7,". évi adósságot keletkeztető fejlesztési céljai")</f>
        <v>Karácsond Községi Önkormányzat 2020. évi adósságot keletkeztető fejlesztési céljai</v>
      </c>
      <c r="B4" s="764"/>
      <c r="C4" s="764"/>
    </row>
    <row r="5" spans="1:4" ht="15.75" customHeight="1" thickBot="1">
      <c r="A5" s="583"/>
      <c r="B5" s="583"/>
      <c r="C5" s="584" t="str">
        <f>'KV_4.sz.mell.'!C5</f>
        <v>Forintban!</v>
      </c>
      <c r="D5" s="122"/>
    </row>
    <row r="6" spans="1:3" ht="26.25" customHeight="1" thickBot="1">
      <c r="A6" s="585" t="s">
        <v>16</v>
      </c>
      <c r="B6" s="586" t="s">
        <v>193</v>
      </c>
      <c r="C6" s="587" t="s">
        <v>218</v>
      </c>
    </row>
    <row r="7" spans="1:3" ht="15.75" thickBot="1">
      <c r="A7" s="138"/>
      <c r="B7" s="448" t="s">
        <v>482</v>
      </c>
      <c r="C7" s="449" t="s">
        <v>483</v>
      </c>
    </row>
    <row r="8" spans="1:3" ht="15">
      <c r="A8" s="139" t="s">
        <v>18</v>
      </c>
      <c r="B8" s="146"/>
      <c r="C8" s="143"/>
    </row>
    <row r="9" spans="1:3" ht="15">
      <c r="A9" s="140" t="s">
        <v>19</v>
      </c>
      <c r="B9" s="147"/>
      <c r="C9" s="144"/>
    </row>
    <row r="10" spans="1:3" ht="15.75" thickBot="1">
      <c r="A10" s="141" t="s">
        <v>20</v>
      </c>
      <c r="B10" s="148"/>
      <c r="C10" s="145"/>
    </row>
    <row r="11" spans="1:3" s="406" customFormat="1" ht="17.25" customHeight="1" thickBot="1">
      <c r="A11" s="407" t="s">
        <v>21</v>
      </c>
      <c r="B11" s="98" t="s">
        <v>677</v>
      </c>
      <c r="C11" s="142">
        <f>SUM(C8:C10)</f>
        <v>0</v>
      </c>
    </row>
    <row r="12" spans="1:3" ht="24.75" customHeight="1">
      <c r="A12" s="768" t="s">
        <v>676</v>
      </c>
      <c r="B12" s="768"/>
      <c r="C12" s="768"/>
    </row>
    <row r="15" ht="15.75">
      <c r="B15" s="92"/>
    </row>
  </sheetData>
  <sheetProtection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24"/>
  <sheetViews>
    <sheetView zoomScale="120" zoomScaleNormal="120" workbookViewId="0" topLeftCell="A1">
      <selection activeCell="A1" sqref="A1"/>
    </sheetView>
  </sheetViews>
  <sheetFormatPr defaultColWidth="9.00390625" defaultRowHeight="12.75"/>
  <cols>
    <col min="1" max="1" width="47.875" style="696" customWidth="1"/>
    <col min="2" max="2" width="15.625" style="675" customWidth="1"/>
    <col min="3" max="3" width="16.375" style="675" customWidth="1"/>
    <col min="4" max="4" width="18.00390625" style="675" customWidth="1"/>
    <col min="5" max="5" width="16.625" style="675" customWidth="1"/>
    <col min="6" max="6" width="18.875" style="675" customWidth="1"/>
    <col min="7" max="8" width="12.875" style="675" customWidth="1"/>
    <col min="9" max="9" width="13.875" style="675" customWidth="1"/>
    <col min="10" max="16384" width="9.375" style="675" customWidth="1"/>
  </cols>
  <sheetData>
    <row r="1" spans="1:6" ht="25.5">
      <c r="A1" s="673" t="s">
        <v>759</v>
      </c>
      <c r="B1" s="741"/>
      <c r="C1" s="742"/>
      <c r="D1" s="674"/>
      <c r="E1" s="674"/>
      <c r="F1" s="674"/>
    </row>
    <row r="2" spans="1:6" ht="18" customHeight="1">
      <c r="A2" s="673"/>
      <c r="B2" s="770"/>
      <c r="C2" s="771"/>
      <c r="D2" s="771"/>
      <c r="E2" s="771"/>
      <c r="F2" s="771"/>
    </row>
    <row r="3" spans="1:6" ht="15">
      <c r="A3" s="741"/>
      <c r="B3" s="742"/>
      <c r="C3" s="674"/>
      <c r="D3" s="674"/>
      <c r="E3" s="674"/>
      <c r="F3" s="674"/>
    </row>
    <row r="4" spans="1:6" ht="25.5" customHeight="1">
      <c r="A4" s="769" t="s">
        <v>0</v>
      </c>
      <c r="B4" s="769"/>
      <c r="C4" s="769"/>
      <c r="D4" s="769"/>
      <c r="E4" s="769"/>
      <c r="F4" s="769"/>
    </row>
    <row r="5" spans="1:6" ht="16.5" customHeight="1" thickBot="1">
      <c r="A5" s="741"/>
      <c r="B5" s="742"/>
      <c r="C5" s="674"/>
      <c r="D5" s="674"/>
      <c r="E5" s="674"/>
      <c r="F5" s="676" t="s">
        <v>551</v>
      </c>
    </row>
    <row r="6" spans="1:6" s="679" customFormat="1" ht="44.25" customHeight="1" thickBot="1">
      <c r="A6" s="677" t="s">
        <v>63</v>
      </c>
      <c r="B6" s="678" t="s">
        <v>64</v>
      </c>
      <c r="C6" s="678" t="s">
        <v>65</v>
      </c>
      <c r="D6" s="678" t="s">
        <v>756</v>
      </c>
      <c r="E6" s="678" t="s">
        <v>757</v>
      </c>
      <c r="F6" s="697" t="s">
        <v>758</v>
      </c>
    </row>
    <row r="7" spans="1:6" ht="12" customHeight="1" thickBot="1">
      <c r="A7" s="680" t="s">
        <v>482</v>
      </c>
      <c r="B7" s="681" t="s">
        <v>483</v>
      </c>
      <c r="C7" s="681" t="s">
        <v>484</v>
      </c>
      <c r="D7" s="681" t="s">
        <v>486</v>
      </c>
      <c r="E7" s="681" t="s">
        <v>485</v>
      </c>
      <c r="F7" s="698" t="s">
        <v>549</v>
      </c>
    </row>
    <row r="8" spans="1:6" ht="24.75" customHeight="1">
      <c r="A8" s="702" t="s">
        <v>736</v>
      </c>
      <c r="B8" s="703">
        <v>834000</v>
      </c>
      <c r="C8" s="704" t="s">
        <v>733</v>
      </c>
      <c r="D8" s="703"/>
      <c r="E8" s="703">
        <v>834000</v>
      </c>
      <c r="F8" s="705">
        <f aca="true" t="shared" si="0" ref="F8:F23">B8-D8-E8</f>
        <v>0</v>
      </c>
    </row>
    <row r="9" spans="1:6" ht="24" customHeight="1">
      <c r="A9" s="702" t="s">
        <v>737</v>
      </c>
      <c r="B9" s="703">
        <v>2000000</v>
      </c>
      <c r="C9" s="704" t="s">
        <v>734</v>
      </c>
      <c r="D9" s="703"/>
      <c r="E9" s="703">
        <v>2000000</v>
      </c>
      <c r="F9" s="705">
        <f t="shared" si="0"/>
        <v>0</v>
      </c>
    </row>
    <row r="10" spans="1:6" ht="15.75" customHeight="1">
      <c r="A10" s="702" t="s">
        <v>746</v>
      </c>
      <c r="B10" s="703">
        <v>2014275</v>
      </c>
      <c r="C10" s="704" t="s">
        <v>733</v>
      </c>
      <c r="D10" s="703"/>
      <c r="E10" s="703">
        <v>2014275</v>
      </c>
      <c r="F10" s="705">
        <f t="shared" si="0"/>
        <v>0</v>
      </c>
    </row>
    <row r="11" spans="1:6" ht="15.75" customHeight="1">
      <c r="A11" s="706" t="s">
        <v>744</v>
      </c>
      <c r="B11" s="703">
        <v>4373562</v>
      </c>
      <c r="C11" s="704" t="s">
        <v>733</v>
      </c>
      <c r="D11" s="703"/>
      <c r="E11" s="703">
        <v>4373562</v>
      </c>
      <c r="F11" s="705">
        <f t="shared" si="0"/>
        <v>0</v>
      </c>
    </row>
    <row r="12" spans="1:6" ht="22.5" customHeight="1">
      <c r="A12" s="702" t="s">
        <v>745</v>
      </c>
      <c r="B12" s="703">
        <v>4145280</v>
      </c>
      <c r="C12" s="704" t="s">
        <v>733</v>
      </c>
      <c r="D12" s="703"/>
      <c r="E12" s="703">
        <v>4145280</v>
      </c>
      <c r="F12" s="705">
        <f t="shared" si="0"/>
        <v>0</v>
      </c>
    </row>
    <row r="13" spans="1:7" ht="25.5" customHeight="1">
      <c r="A13" s="706" t="s">
        <v>747</v>
      </c>
      <c r="B13" s="703">
        <v>8148926</v>
      </c>
      <c r="C13" s="704" t="s">
        <v>734</v>
      </c>
      <c r="D13" s="703"/>
      <c r="E13" s="703">
        <v>8148926</v>
      </c>
      <c r="F13" s="705">
        <f t="shared" si="0"/>
        <v>0</v>
      </c>
      <c r="G13" s="675" t="s">
        <v>753</v>
      </c>
    </row>
    <row r="14" spans="1:6" ht="15.75" customHeight="1">
      <c r="A14" s="702"/>
      <c r="B14" s="703"/>
      <c r="C14" s="704"/>
      <c r="D14" s="703"/>
      <c r="E14" s="703"/>
      <c r="F14" s="705">
        <f t="shared" si="0"/>
        <v>0</v>
      </c>
    </row>
    <row r="15" spans="1:6" ht="15.75" customHeight="1">
      <c r="A15" s="702"/>
      <c r="B15" s="703"/>
      <c r="C15" s="704"/>
      <c r="D15" s="703"/>
      <c r="E15" s="703"/>
      <c r="F15" s="705">
        <f t="shared" si="0"/>
        <v>0</v>
      </c>
    </row>
    <row r="16" spans="1:6" ht="15.75" customHeight="1">
      <c r="A16" s="702"/>
      <c r="B16" s="703"/>
      <c r="C16" s="704"/>
      <c r="D16" s="703"/>
      <c r="E16" s="703"/>
      <c r="F16" s="705">
        <f t="shared" si="0"/>
        <v>0</v>
      </c>
    </row>
    <row r="17" spans="1:6" ht="15.75" customHeight="1">
      <c r="A17" s="702"/>
      <c r="B17" s="703"/>
      <c r="C17" s="704"/>
      <c r="D17" s="703"/>
      <c r="E17" s="703"/>
      <c r="F17" s="705">
        <f t="shared" si="0"/>
        <v>0</v>
      </c>
    </row>
    <row r="18" spans="1:6" ht="15.75" customHeight="1">
      <c r="A18" s="702"/>
      <c r="B18" s="703"/>
      <c r="C18" s="704"/>
      <c r="D18" s="703"/>
      <c r="E18" s="703"/>
      <c r="F18" s="705">
        <f t="shared" si="0"/>
        <v>0</v>
      </c>
    </row>
    <row r="19" spans="1:6" ht="15.75" customHeight="1">
      <c r="A19" s="702"/>
      <c r="B19" s="703"/>
      <c r="C19" s="704"/>
      <c r="D19" s="703"/>
      <c r="E19" s="703"/>
      <c r="F19" s="705">
        <f t="shared" si="0"/>
        <v>0</v>
      </c>
    </row>
    <row r="20" spans="1:6" ht="15.75" customHeight="1">
      <c r="A20" s="702"/>
      <c r="B20" s="703"/>
      <c r="C20" s="704"/>
      <c r="D20" s="703"/>
      <c r="E20" s="703"/>
      <c r="F20" s="705">
        <f t="shared" si="0"/>
        <v>0</v>
      </c>
    </row>
    <row r="21" spans="1:6" ht="15.75" customHeight="1">
      <c r="A21" s="702"/>
      <c r="B21" s="703"/>
      <c r="C21" s="704"/>
      <c r="D21" s="703"/>
      <c r="E21" s="703"/>
      <c r="F21" s="705">
        <f t="shared" si="0"/>
        <v>0</v>
      </c>
    </row>
    <row r="22" spans="1:6" ht="15.75" customHeight="1">
      <c r="A22" s="702"/>
      <c r="B22" s="703"/>
      <c r="C22" s="704"/>
      <c r="D22" s="703"/>
      <c r="E22" s="703"/>
      <c r="F22" s="705">
        <f t="shared" si="0"/>
        <v>0</v>
      </c>
    </row>
    <row r="23" spans="1:6" ht="15.75" customHeight="1" thickBot="1">
      <c r="A23" s="707"/>
      <c r="B23" s="708"/>
      <c r="C23" s="709"/>
      <c r="D23" s="708"/>
      <c r="E23" s="708"/>
      <c r="F23" s="710">
        <f t="shared" si="0"/>
        <v>0</v>
      </c>
    </row>
    <row r="24" spans="1:6" s="695" customFormat="1" ht="18" customHeight="1" thickBot="1">
      <c r="A24" s="691" t="s">
        <v>62</v>
      </c>
      <c r="B24" s="699">
        <f>SUM(B8:B23)</f>
        <v>21516043</v>
      </c>
      <c r="C24" s="700"/>
      <c r="D24" s="699">
        <f>SUM(D8:D23)</f>
        <v>0</v>
      </c>
      <c r="E24" s="699">
        <f>SUM(E8:E23)</f>
        <v>21516043</v>
      </c>
      <c r="F24" s="701">
        <f>SUM(F8:F23)</f>
        <v>0</v>
      </c>
    </row>
  </sheetData>
  <sheetProtection/>
  <mergeCells count="5">
    <mergeCell ref="A4:F4"/>
    <mergeCell ref="B2:F2"/>
    <mergeCell ref="B1:C1"/>
    <mergeCell ref="A3:B3"/>
    <mergeCell ref="A5:B5"/>
  </mergeCells>
  <printOptions horizontalCentered="1"/>
  <pageMargins left="0.7874015748031497" right="0.7874015748031497" top="1.0236220472440944" bottom="0.984251968503937" header="0.7874015748031497" footer="0.7874015748031497"/>
  <pageSetup fitToHeight="0" fitToWidth="1" horizontalDpi="600" verticalDpi="600" orientation="landscape" paperSize="9" scale="98" r:id="rId1"/>
  <headerFooter alignWithMargins="0">
    <oddHeader>&amp;R&amp;"Times New Roman CE,Félkövér dőlt"&amp;11 2. melléklet a ……/2020.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24"/>
  <sheetViews>
    <sheetView zoomScale="120" zoomScaleNormal="120" workbookViewId="0" topLeftCell="A1">
      <selection activeCell="A1" sqref="A1"/>
    </sheetView>
  </sheetViews>
  <sheetFormatPr defaultColWidth="9.00390625" defaultRowHeight="12.75"/>
  <cols>
    <col min="1" max="1" width="60.625" style="696" customWidth="1"/>
    <col min="2" max="2" width="15.625" style="675" customWidth="1"/>
    <col min="3" max="3" width="16.375" style="675" customWidth="1"/>
    <col min="4" max="4" width="18.00390625" style="675" customWidth="1"/>
    <col min="5" max="5" width="16.625" style="675" customWidth="1"/>
    <col min="6" max="6" width="18.875" style="675" customWidth="1"/>
    <col min="7" max="8" width="12.875" style="675" customWidth="1"/>
    <col min="9" max="9" width="13.875" style="675" customWidth="1"/>
    <col min="10" max="16384" width="9.375" style="675" customWidth="1"/>
  </cols>
  <sheetData>
    <row r="1" spans="1:6" ht="12.75">
      <c r="A1" s="673" t="s">
        <v>760</v>
      </c>
      <c r="B1" s="674"/>
      <c r="C1" s="674"/>
      <c r="D1" s="674"/>
      <c r="E1" s="674"/>
      <c r="F1" s="674"/>
    </row>
    <row r="2" spans="1:6" ht="12.75">
      <c r="A2" s="673"/>
      <c r="B2" s="674"/>
      <c r="C2" s="674"/>
      <c r="D2" s="674"/>
      <c r="E2" s="674"/>
      <c r="F2" s="674"/>
    </row>
    <row r="3" spans="1:6" ht="24.75" customHeight="1">
      <c r="A3" s="769" t="s">
        <v>1</v>
      </c>
      <c r="B3" s="769"/>
      <c r="C3" s="769"/>
      <c r="D3" s="769"/>
      <c r="E3" s="769"/>
      <c r="F3" s="769"/>
    </row>
    <row r="4" spans="1:6" ht="23.25" customHeight="1" thickBot="1">
      <c r="A4" s="673"/>
      <c r="B4" s="674"/>
      <c r="C4" s="674"/>
      <c r="D4" s="674"/>
      <c r="E4" s="674"/>
      <c r="F4" s="676" t="s">
        <v>551</v>
      </c>
    </row>
    <row r="5" spans="1:6" s="679" customFormat="1" ht="48.75" customHeight="1" thickBot="1">
      <c r="A5" s="677" t="s">
        <v>66</v>
      </c>
      <c r="B5" s="678" t="s">
        <v>64</v>
      </c>
      <c r="C5" s="678" t="s">
        <v>65</v>
      </c>
      <c r="D5" s="678" t="s">
        <v>756</v>
      </c>
      <c r="E5" s="678" t="s">
        <v>757</v>
      </c>
      <c r="F5" s="697" t="s">
        <v>758</v>
      </c>
    </row>
    <row r="6" spans="1:6" ht="15" customHeight="1" thickBot="1">
      <c r="A6" s="680" t="s">
        <v>482</v>
      </c>
      <c r="B6" s="681" t="s">
        <v>483</v>
      </c>
      <c r="C6" s="681" t="s">
        <v>484</v>
      </c>
      <c r="D6" s="681" t="s">
        <v>486</v>
      </c>
      <c r="E6" s="681" t="s">
        <v>485</v>
      </c>
      <c r="F6" s="682" t="s">
        <v>549</v>
      </c>
    </row>
    <row r="7" spans="1:6" ht="26.25" customHeight="1">
      <c r="A7" s="683" t="s">
        <v>750</v>
      </c>
      <c r="B7" s="684">
        <v>85106551</v>
      </c>
      <c r="C7" s="685" t="s">
        <v>729</v>
      </c>
      <c r="D7" s="684">
        <v>70747425</v>
      </c>
      <c r="E7" s="684">
        <v>14359126</v>
      </c>
      <c r="F7" s="686">
        <f aca="true" t="shared" si="0" ref="F7:F23">B7-D7-E7</f>
        <v>0</v>
      </c>
    </row>
    <row r="8" spans="1:6" ht="15.75" customHeight="1">
      <c r="A8" s="683" t="s">
        <v>751</v>
      </c>
      <c r="B8" s="684">
        <v>88906668</v>
      </c>
      <c r="C8" s="685" t="s">
        <v>730</v>
      </c>
      <c r="D8" s="684">
        <v>29838534</v>
      </c>
      <c r="E8" s="684">
        <v>59068134</v>
      </c>
      <c r="F8" s="686">
        <f t="shared" si="0"/>
        <v>0</v>
      </c>
    </row>
    <row r="9" spans="1:6" ht="15.75" customHeight="1">
      <c r="A9" s="683" t="s">
        <v>731</v>
      </c>
      <c r="B9" s="684">
        <v>12177000</v>
      </c>
      <c r="C9" s="685" t="s">
        <v>730</v>
      </c>
      <c r="D9" s="684">
        <v>10723843</v>
      </c>
      <c r="E9" s="684">
        <v>1453157</v>
      </c>
      <c r="F9" s="686">
        <f t="shared" si="0"/>
        <v>0</v>
      </c>
    </row>
    <row r="10" spans="1:6" ht="15.75" customHeight="1">
      <c r="A10" s="683" t="s">
        <v>732</v>
      </c>
      <c r="B10" s="684">
        <v>1353000</v>
      </c>
      <c r="C10" s="685" t="s">
        <v>730</v>
      </c>
      <c r="D10" s="684"/>
      <c r="E10" s="684">
        <v>1353000</v>
      </c>
      <c r="F10" s="686">
        <f t="shared" si="0"/>
        <v>0</v>
      </c>
    </row>
    <row r="11" spans="1:6" ht="24" customHeight="1">
      <c r="A11" s="683" t="s">
        <v>752</v>
      </c>
      <c r="B11" s="684">
        <v>112560000</v>
      </c>
      <c r="C11" s="685" t="s">
        <v>730</v>
      </c>
      <c r="D11" s="684">
        <v>8961200</v>
      </c>
      <c r="E11" s="684">
        <v>103598800</v>
      </c>
      <c r="F11" s="686">
        <f t="shared" si="0"/>
        <v>0</v>
      </c>
    </row>
    <row r="12" spans="1:6" ht="24" customHeight="1">
      <c r="A12" s="683" t="s">
        <v>748</v>
      </c>
      <c r="B12" s="684">
        <v>29999997</v>
      </c>
      <c r="C12" s="685" t="s">
        <v>733</v>
      </c>
      <c r="D12" s="684"/>
      <c r="E12" s="684">
        <v>29999997</v>
      </c>
      <c r="F12" s="686"/>
    </row>
    <row r="13" spans="1:6" ht="15.75" customHeight="1">
      <c r="A13" s="683" t="s">
        <v>749</v>
      </c>
      <c r="B13" s="684">
        <v>25000000</v>
      </c>
      <c r="C13" s="685" t="s">
        <v>734</v>
      </c>
      <c r="D13" s="684"/>
      <c r="E13" s="684">
        <v>25000000</v>
      </c>
      <c r="F13" s="686">
        <f t="shared" si="0"/>
        <v>0</v>
      </c>
    </row>
    <row r="14" spans="1:6" ht="15.75" customHeight="1">
      <c r="A14" s="683" t="s">
        <v>735</v>
      </c>
      <c r="B14" s="684">
        <v>12000000</v>
      </c>
      <c r="C14" s="685" t="s">
        <v>734</v>
      </c>
      <c r="D14" s="684"/>
      <c r="E14" s="684">
        <v>12000000</v>
      </c>
      <c r="F14" s="686">
        <f t="shared" si="0"/>
        <v>0</v>
      </c>
    </row>
    <row r="15" spans="1:6" ht="15.75" customHeight="1">
      <c r="A15" s="683"/>
      <c r="B15" s="684"/>
      <c r="C15" s="685"/>
      <c r="D15" s="684"/>
      <c r="E15" s="684"/>
      <c r="F15" s="686">
        <f t="shared" si="0"/>
        <v>0</v>
      </c>
    </row>
    <row r="16" spans="1:6" ht="15.75" customHeight="1">
      <c r="A16" s="683"/>
      <c r="B16" s="684"/>
      <c r="C16" s="685"/>
      <c r="D16" s="684"/>
      <c r="E16" s="684"/>
      <c r="F16" s="686">
        <f t="shared" si="0"/>
        <v>0</v>
      </c>
    </row>
    <row r="17" spans="1:6" ht="15.75" customHeight="1">
      <c r="A17" s="683"/>
      <c r="B17" s="684"/>
      <c r="C17" s="685"/>
      <c r="D17" s="684"/>
      <c r="E17" s="684"/>
      <c r="F17" s="686">
        <f t="shared" si="0"/>
        <v>0</v>
      </c>
    </row>
    <row r="18" spans="1:6" ht="15.75" customHeight="1">
      <c r="A18" s="683"/>
      <c r="B18" s="684"/>
      <c r="C18" s="685"/>
      <c r="D18" s="684"/>
      <c r="E18" s="684"/>
      <c r="F18" s="686">
        <f t="shared" si="0"/>
        <v>0</v>
      </c>
    </row>
    <row r="19" spans="1:6" ht="15.75" customHeight="1">
      <c r="A19" s="683"/>
      <c r="B19" s="684"/>
      <c r="C19" s="685"/>
      <c r="D19" s="684"/>
      <c r="E19" s="684"/>
      <c r="F19" s="686">
        <f t="shared" si="0"/>
        <v>0</v>
      </c>
    </row>
    <row r="20" spans="1:6" ht="15.75" customHeight="1">
      <c r="A20" s="683"/>
      <c r="B20" s="684"/>
      <c r="C20" s="685"/>
      <c r="D20" s="684"/>
      <c r="E20" s="684"/>
      <c r="F20" s="686">
        <f t="shared" si="0"/>
        <v>0</v>
      </c>
    </row>
    <row r="21" spans="1:6" ht="15.75" customHeight="1">
      <c r="A21" s="683"/>
      <c r="B21" s="684"/>
      <c r="C21" s="685"/>
      <c r="D21" s="684"/>
      <c r="E21" s="684"/>
      <c r="F21" s="686">
        <f t="shared" si="0"/>
        <v>0</v>
      </c>
    </row>
    <row r="22" spans="1:6" ht="15.75" customHeight="1">
      <c r="A22" s="683"/>
      <c r="B22" s="684"/>
      <c r="C22" s="685"/>
      <c r="D22" s="684"/>
      <c r="E22" s="684"/>
      <c r="F22" s="686">
        <f t="shared" si="0"/>
        <v>0</v>
      </c>
    </row>
    <row r="23" spans="1:6" ht="15.75" customHeight="1" thickBot="1">
      <c r="A23" s="687"/>
      <c r="B23" s="688"/>
      <c r="C23" s="689"/>
      <c r="D23" s="688"/>
      <c r="E23" s="688"/>
      <c r="F23" s="690">
        <f t="shared" si="0"/>
        <v>0</v>
      </c>
    </row>
    <row r="24" spans="1:6" s="695" customFormat="1" ht="18" customHeight="1" thickBot="1">
      <c r="A24" s="691" t="s">
        <v>62</v>
      </c>
      <c r="B24" s="692">
        <f>SUM(B7:B23)</f>
        <v>367103216</v>
      </c>
      <c r="C24" s="693"/>
      <c r="D24" s="692">
        <f>SUM(D7:D23)</f>
        <v>120271002</v>
      </c>
      <c r="E24" s="692">
        <f>SUM(E7:E23)</f>
        <v>246832214</v>
      </c>
      <c r="F24" s="694">
        <f>SUM(F7:F23)</f>
        <v>0</v>
      </c>
    </row>
  </sheetData>
  <sheetProtection/>
  <mergeCells count="1">
    <mergeCell ref="A3:F3"/>
  </mergeCells>
  <printOptions horizontalCentered="1"/>
  <pageMargins left="0.7874015748031497" right="0.7874015748031497" top="1.220472440944882" bottom="0.984251968503937" header="0.7874015748031497" footer="0.7874015748031497"/>
  <pageSetup fitToHeight="1" fitToWidth="1" horizontalDpi="600" verticalDpi="600" orientation="landscape" paperSize="9" scale="96" r:id="rId1"/>
  <headerFooter alignWithMargins="0">
    <oddHeader xml:space="preserve">&amp;R&amp;"Times New Roman CE,Félkövér dőlt"&amp;12 &amp;11 3. melléklet a ……/2020.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0"/>
  <sheetViews>
    <sheetView zoomScale="120" zoomScaleNormal="120" workbookViewId="0" topLeftCell="A1">
      <selection activeCell="D15" sqref="D15:D16"/>
    </sheetView>
  </sheetViews>
  <sheetFormatPr defaultColWidth="9.00390625" defaultRowHeight="12.75"/>
  <cols>
    <col min="1" max="1" width="38.625" style="39" customWidth="1"/>
    <col min="2" max="4" width="24.875" style="39" customWidth="1"/>
    <col min="5" max="5" width="26.875" style="39" customWidth="1"/>
    <col min="6" max="6" width="5.00390625" style="39" bestFit="1" customWidth="1"/>
    <col min="7" max="16384" width="9.375" style="39" customWidth="1"/>
  </cols>
  <sheetData>
    <row r="1" ht="12.75">
      <c r="F1" s="800" t="str">
        <f>CONCATENATE("8. melléklet ",ALAPADATOK!A7," ",ALAPADATOK!B7," ",ALAPADATOK!C7," ",ALAPADATOK!D7," ",ALAPADATOK!E7," ",ALAPADATOK!F7," ",ALAPADATOK!G7," ",ALAPADATOK!H7)</f>
        <v>8. melléklet a  / 2020 (  ) önkormányzati rendelethez</v>
      </c>
    </row>
    <row r="2" spans="1:6" ht="15.75">
      <c r="A2" s="772" t="s">
        <v>668</v>
      </c>
      <c r="B2" s="772"/>
      <c r="C2" s="772"/>
      <c r="D2" s="772"/>
      <c r="E2" s="772"/>
      <c r="F2" s="800"/>
    </row>
    <row r="3" spans="1:6" ht="14.25" thickBot="1">
      <c r="A3" s="611"/>
      <c r="B3" s="611"/>
      <c r="C3" s="611"/>
      <c r="D3" s="611"/>
      <c r="E3" s="612" t="str">
        <f>Felújítások!F5</f>
        <v>2020. utáni szükséglet</v>
      </c>
      <c r="F3" s="800"/>
    </row>
    <row r="4" spans="1:6" ht="13.5" thickBot="1">
      <c r="A4" s="773" t="s">
        <v>132</v>
      </c>
      <c r="B4" s="774"/>
      <c r="C4" s="774"/>
      <c r="D4" s="774"/>
      <c r="E4" s="614" t="s">
        <v>54</v>
      </c>
      <c r="F4" s="800"/>
    </row>
    <row r="5" spans="1:6" ht="12.75">
      <c r="A5" s="775"/>
      <c r="B5" s="776"/>
      <c r="C5" s="776"/>
      <c r="D5" s="776"/>
      <c r="E5" s="615"/>
      <c r="F5" s="800"/>
    </row>
    <row r="6" spans="1:6" ht="13.5" thickBot="1">
      <c r="A6" s="777"/>
      <c r="B6" s="778"/>
      <c r="C6" s="778"/>
      <c r="D6" s="778"/>
      <c r="E6" s="616"/>
      <c r="F6" s="800"/>
    </row>
    <row r="7" spans="1:6" ht="13.5" customHeight="1" thickBot="1">
      <c r="A7" s="779" t="s">
        <v>669</v>
      </c>
      <c r="B7" s="780"/>
      <c r="C7" s="780"/>
      <c r="D7" s="780"/>
      <c r="E7" s="617">
        <f>SUM(E5:E6)</f>
        <v>0</v>
      </c>
      <c r="F7" s="800"/>
    </row>
    <row r="8" spans="1:6" ht="13.5" customHeight="1">
      <c r="A8" s="620"/>
      <c r="B8" s="620"/>
      <c r="C8" s="620"/>
      <c r="D8" s="620"/>
      <c r="E8" s="621"/>
      <c r="F8" s="800"/>
    </row>
    <row r="9" spans="1:6" ht="15.75">
      <c r="A9" s="782" t="s">
        <v>656</v>
      </c>
      <c r="B9" s="782"/>
      <c r="C9" s="782"/>
      <c r="D9" s="782"/>
      <c r="E9" s="782"/>
      <c r="F9" s="800"/>
    </row>
    <row r="10" spans="1:6" ht="15.75">
      <c r="A10" s="794" t="s">
        <v>678</v>
      </c>
      <c r="B10" s="795"/>
      <c r="C10" s="795"/>
      <c r="D10" s="795"/>
      <c r="E10" s="795"/>
      <c r="F10" s="800"/>
    </row>
    <row r="11" spans="1:6" ht="14.25" customHeight="1">
      <c r="A11" s="783" t="s">
        <v>671</v>
      </c>
      <c r="B11" s="783"/>
      <c r="C11" s="784"/>
      <c r="D11" s="784"/>
      <c r="E11" s="784"/>
      <c r="F11" s="800"/>
    </row>
    <row r="12" spans="1:6" ht="15.75" thickBot="1">
      <c r="A12" s="597"/>
      <c r="B12" s="597"/>
      <c r="C12" s="597"/>
      <c r="D12" s="597"/>
      <c r="E12" s="636" t="str">
        <f>$E$3</f>
        <v>2020. utáni szükséglet</v>
      </c>
      <c r="F12" s="800"/>
    </row>
    <row r="13" spans="1:6" ht="13.5" customHeight="1" thickBot="1">
      <c r="A13" s="785" t="s">
        <v>126</v>
      </c>
      <c r="B13" s="788" t="s">
        <v>665</v>
      </c>
      <c r="C13" s="789"/>
      <c r="D13" s="789"/>
      <c r="E13" s="790"/>
      <c r="F13" s="800"/>
    </row>
    <row r="14" spans="1:6" ht="13.5" customHeight="1" thickBot="1">
      <c r="A14" s="786"/>
      <c r="B14" s="791" t="s">
        <v>679</v>
      </c>
      <c r="C14" s="796" t="s">
        <v>666</v>
      </c>
      <c r="D14" s="797"/>
      <c r="E14" s="798"/>
      <c r="F14" s="800"/>
    </row>
    <row r="15" spans="1:6" ht="12.75" customHeight="1">
      <c r="A15" s="786"/>
      <c r="B15" s="792"/>
      <c r="C15" s="791" t="str">
        <f>CONCATENATE(TARTALOMJEGYZÉK!$A$1,". előtti tervezett forrás, kiadás")</f>
        <v>2020. előtti tervezett forrás, kiadás</v>
      </c>
      <c r="D15" s="791" t="str">
        <f>CONCATENATE(TARTALOMJEGYZÉK!$A$1,". évi eredeti előirányzat")</f>
        <v>2020. évi eredeti előirányzat</v>
      </c>
      <c r="E15" s="791" t="str">
        <f>CONCATENATE(TARTALOMJEGYZÉK!$A$1,". év utáni tervezett forrás, kiadás")</f>
        <v>2020. év utáni tervezett forrás, kiadás</v>
      </c>
      <c r="F15" s="800"/>
    </row>
    <row r="16" spans="1:6" ht="13.5" thickBot="1">
      <c r="A16" s="787"/>
      <c r="B16" s="793"/>
      <c r="C16" s="799"/>
      <c r="D16" s="799"/>
      <c r="E16" s="793"/>
      <c r="F16" s="800"/>
    </row>
    <row r="17" spans="1:6" ht="13.5" thickBot="1">
      <c r="A17" s="598" t="s">
        <v>482</v>
      </c>
      <c r="B17" s="599" t="s">
        <v>667</v>
      </c>
      <c r="C17" s="600" t="s">
        <v>484</v>
      </c>
      <c r="D17" s="601" t="s">
        <v>486</v>
      </c>
      <c r="E17" s="602" t="s">
        <v>485</v>
      </c>
      <c r="F17" s="800"/>
    </row>
    <row r="18" spans="1:6" ht="12.75">
      <c r="A18" s="603" t="s">
        <v>127</v>
      </c>
      <c r="B18" s="623">
        <f>C18+D18+E18</f>
        <v>0</v>
      </c>
      <c r="C18" s="624"/>
      <c r="D18" s="624"/>
      <c r="E18" s="625"/>
      <c r="F18" s="800"/>
    </row>
    <row r="19" spans="1:6" ht="12.75">
      <c r="A19" s="604" t="s">
        <v>138</v>
      </c>
      <c r="B19" s="626">
        <f aca="true" t="shared" si="0" ref="B19:B29">C19+D19+E19</f>
        <v>0</v>
      </c>
      <c r="C19" s="627"/>
      <c r="D19" s="627"/>
      <c r="E19" s="627"/>
      <c r="F19" s="800"/>
    </row>
    <row r="20" spans="1:6" ht="12.75">
      <c r="A20" s="605" t="s">
        <v>128</v>
      </c>
      <c r="B20" s="628">
        <f t="shared" si="0"/>
        <v>0</v>
      </c>
      <c r="C20" s="629"/>
      <c r="D20" s="629"/>
      <c r="E20" s="629"/>
      <c r="F20" s="800"/>
    </row>
    <row r="21" spans="1:6" ht="12.75">
      <c r="A21" s="605" t="s">
        <v>140</v>
      </c>
      <c r="B21" s="628">
        <f t="shared" si="0"/>
        <v>0</v>
      </c>
      <c r="C21" s="629"/>
      <c r="D21" s="629"/>
      <c r="E21" s="629"/>
      <c r="F21" s="800"/>
    </row>
    <row r="22" spans="1:6" ht="12.75">
      <c r="A22" s="605" t="s">
        <v>129</v>
      </c>
      <c r="B22" s="628">
        <f t="shared" si="0"/>
        <v>0</v>
      </c>
      <c r="C22" s="629"/>
      <c r="D22" s="629"/>
      <c r="E22" s="629"/>
      <c r="F22" s="800"/>
    </row>
    <row r="23" spans="1:6" ht="13.5" thickBot="1">
      <c r="A23" s="605" t="s">
        <v>130</v>
      </c>
      <c r="B23" s="628">
        <f t="shared" si="0"/>
        <v>0</v>
      </c>
      <c r="C23" s="629"/>
      <c r="D23" s="629"/>
      <c r="E23" s="629"/>
      <c r="F23" s="800"/>
    </row>
    <row r="24" spans="1:6" ht="13.5" thickBot="1">
      <c r="A24" s="606" t="s">
        <v>131</v>
      </c>
      <c r="B24" s="630">
        <f>B18+SUM(B20:B23)</f>
        <v>0</v>
      </c>
      <c r="C24" s="631">
        <f>C18+SUM(C20:C23)</f>
        <v>0</v>
      </c>
      <c r="D24" s="631">
        <f>D18+SUM(D20:D23)</f>
        <v>0</v>
      </c>
      <c r="E24" s="632">
        <f>E18+SUM(E20:E23)</f>
        <v>0</v>
      </c>
      <c r="F24" s="800"/>
    </row>
    <row r="25" spans="1:6" ht="12.75">
      <c r="A25" s="607" t="s">
        <v>134</v>
      </c>
      <c r="B25" s="623">
        <f t="shared" si="0"/>
        <v>0</v>
      </c>
      <c r="C25" s="624"/>
      <c r="D25" s="624"/>
      <c r="E25" s="625"/>
      <c r="F25" s="800"/>
    </row>
    <row r="26" spans="1:6" ht="12.75">
      <c r="A26" s="608" t="s">
        <v>135</v>
      </c>
      <c r="B26" s="628">
        <f t="shared" si="0"/>
        <v>0</v>
      </c>
      <c r="C26" s="629"/>
      <c r="D26" s="629"/>
      <c r="E26" s="629"/>
      <c r="F26" s="800"/>
    </row>
    <row r="27" spans="1:6" ht="12.75">
      <c r="A27" s="608" t="s">
        <v>136</v>
      </c>
      <c r="B27" s="628">
        <f t="shared" si="0"/>
        <v>0</v>
      </c>
      <c r="C27" s="629"/>
      <c r="D27" s="629"/>
      <c r="E27" s="629"/>
      <c r="F27" s="800"/>
    </row>
    <row r="28" spans="1:6" ht="12.75">
      <c r="A28" s="608" t="s">
        <v>137</v>
      </c>
      <c r="B28" s="628">
        <f t="shared" si="0"/>
        <v>0</v>
      </c>
      <c r="C28" s="629"/>
      <c r="D28" s="629"/>
      <c r="E28" s="629"/>
      <c r="F28" s="800"/>
    </row>
    <row r="29" spans="1:6" ht="13.5" thickBot="1">
      <c r="A29" s="609"/>
      <c r="B29" s="633">
        <f t="shared" si="0"/>
        <v>0</v>
      </c>
      <c r="C29" s="634"/>
      <c r="D29" s="634"/>
      <c r="E29" s="635"/>
      <c r="F29" s="800"/>
    </row>
    <row r="30" spans="1:6" ht="13.5" thickBot="1">
      <c r="A30" s="610" t="s">
        <v>109</v>
      </c>
      <c r="B30" s="630">
        <f>SUM(B25:B29)</f>
        <v>0</v>
      </c>
      <c r="C30" s="631">
        <f>SUM(C25:C29)</f>
        <v>0</v>
      </c>
      <c r="D30" s="631">
        <f>SUM(D25:D29)</f>
        <v>0</v>
      </c>
      <c r="E30" s="632">
        <f>SUM(E25:E29)</f>
        <v>0</v>
      </c>
      <c r="F30" s="800"/>
    </row>
    <row r="31" spans="1:6" ht="12.75" customHeight="1">
      <c r="A31" s="781" t="s">
        <v>672</v>
      </c>
      <c r="B31" s="781"/>
      <c r="C31" s="781"/>
      <c r="D31" s="781"/>
      <c r="E31" s="781"/>
      <c r="F31" s="800"/>
    </row>
    <row r="32" spans="1:6" ht="12.75">
      <c r="A32" s="613"/>
      <c r="B32" s="613"/>
      <c r="C32" s="613"/>
      <c r="D32" s="613"/>
      <c r="E32" s="613"/>
      <c r="F32" s="618"/>
    </row>
    <row r="33" spans="1:5" ht="14.25">
      <c r="A33" s="783" t="s">
        <v>670</v>
      </c>
      <c r="B33" s="783"/>
      <c r="C33" s="784"/>
      <c r="D33" s="784"/>
      <c r="E33" s="784"/>
    </row>
    <row r="34" spans="1:5" ht="15.75" thickBot="1">
      <c r="A34" s="597"/>
      <c r="B34" s="597"/>
      <c r="C34" s="597"/>
      <c r="D34" s="597"/>
      <c r="E34" s="636" t="str">
        <f>$E$3</f>
        <v>2020. utáni szükséglet</v>
      </c>
    </row>
    <row r="35" spans="1:5" ht="13.5" thickBot="1">
      <c r="A35" s="785" t="s">
        <v>126</v>
      </c>
      <c r="B35" s="788" t="s">
        <v>665</v>
      </c>
      <c r="C35" s="789"/>
      <c r="D35" s="789"/>
      <c r="E35" s="790"/>
    </row>
    <row r="36" spans="1:5" ht="13.5" thickBot="1">
      <c r="A36" s="786"/>
      <c r="B36" s="791" t="s">
        <v>679</v>
      </c>
      <c r="C36" s="796" t="s">
        <v>666</v>
      </c>
      <c r="D36" s="797"/>
      <c r="E36" s="798"/>
    </row>
    <row r="37" spans="1:5" ht="12.75" customHeight="1">
      <c r="A37" s="786"/>
      <c r="B37" s="792"/>
      <c r="C37" s="791" t="str">
        <f>CONCATENATE(TARTALOMJEGYZÉK!$A$1,". előtti tervezett forrás, kiadás")</f>
        <v>2020. előtti tervezett forrás, kiadás</v>
      </c>
      <c r="D37" s="791" t="str">
        <f>CONCATENATE(TARTALOMJEGYZÉK!$A$1,". évi eredeti előirányzat")</f>
        <v>2020. évi eredeti előirányzat</v>
      </c>
      <c r="E37" s="791" t="str">
        <f>CONCATENATE(TARTALOMJEGYZÉK!$A$1,". év utáni tervezett forrás, kiadás")</f>
        <v>2020. év utáni tervezett forrás, kiadás</v>
      </c>
    </row>
    <row r="38" spans="1:5" ht="13.5" thickBot="1">
      <c r="A38" s="787"/>
      <c r="B38" s="793"/>
      <c r="C38" s="799"/>
      <c r="D38" s="799"/>
      <c r="E38" s="793"/>
    </row>
    <row r="39" spans="1:5" ht="13.5" thickBot="1">
      <c r="A39" s="598" t="s">
        <v>482</v>
      </c>
      <c r="B39" s="599" t="s">
        <v>667</v>
      </c>
      <c r="C39" s="600" t="s">
        <v>484</v>
      </c>
      <c r="D39" s="601" t="s">
        <v>486</v>
      </c>
      <c r="E39" s="602" t="s">
        <v>485</v>
      </c>
    </row>
    <row r="40" spans="1:5" ht="12.75">
      <c r="A40" s="603" t="s">
        <v>127</v>
      </c>
      <c r="B40" s="623">
        <f aca="true" t="shared" si="1" ref="B40:B45">C40+D40+E40</f>
        <v>0</v>
      </c>
      <c r="C40" s="624"/>
      <c r="D40" s="624"/>
      <c r="E40" s="625"/>
    </row>
    <row r="41" spans="1:5" ht="12.75">
      <c r="A41" s="604" t="s">
        <v>138</v>
      </c>
      <c r="B41" s="626">
        <f t="shared" si="1"/>
        <v>0</v>
      </c>
      <c r="C41" s="627"/>
      <c r="D41" s="627"/>
      <c r="E41" s="627"/>
    </row>
    <row r="42" spans="1:5" ht="12.75">
      <c r="A42" s="605" t="s">
        <v>128</v>
      </c>
      <c r="B42" s="628">
        <f t="shared" si="1"/>
        <v>0</v>
      </c>
      <c r="C42" s="629"/>
      <c r="D42" s="629"/>
      <c r="E42" s="629"/>
    </row>
    <row r="43" spans="1:5" ht="12.75">
      <c r="A43" s="605" t="s">
        <v>140</v>
      </c>
      <c r="B43" s="628">
        <f t="shared" si="1"/>
        <v>0</v>
      </c>
      <c r="C43" s="629"/>
      <c r="D43" s="629"/>
      <c r="E43" s="629"/>
    </row>
    <row r="44" spans="1:5" ht="12.75">
      <c r="A44" s="605" t="s">
        <v>129</v>
      </c>
      <c r="B44" s="628">
        <f t="shared" si="1"/>
        <v>0</v>
      </c>
      <c r="C44" s="629"/>
      <c r="D44" s="629"/>
      <c r="E44" s="629"/>
    </row>
    <row r="45" spans="1:5" ht="13.5" thickBot="1">
      <c r="A45" s="605" t="s">
        <v>130</v>
      </c>
      <c r="B45" s="628">
        <f t="shared" si="1"/>
        <v>0</v>
      </c>
      <c r="C45" s="629"/>
      <c r="D45" s="629"/>
      <c r="E45" s="629"/>
    </row>
    <row r="46" spans="1:5" ht="13.5" thickBot="1">
      <c r="A46" s="606" t="s">
        <v>131</v>
      </c>
      <c r="B46" s="630">
        <f>B40+SUM(B42:B45)</f>
        <v>0</v>
      </c>
      <c r="C46" s="631">
        <f>C40+SUM(C42:C45)</f>
        <v>0</v>
      </c>
      <c r="D46" s="631">
        <f>D40+SUM(D42:D45)</f>
        <v>0</v>
      </c>
      <c r="E46" s="632">
        <f>E40+SUM(E42:E45)</f>
        <v>0</v>
      </c>
    </row>
    <row r="47" spans="1:5" ht="12.75">
      <c r="A47" s="607" t="s">
        <v>134</v>
      </c>
      <c r="B47" s="623">
        <f>C47+D47+E47</f>
        <v>0</v>
      </c>
      <c r="C47" s="624"/>
      <c r="D47" s="624"/>
      <c r="E47" s="625"/>
    </row>
    <row r="48" spans="1:5" ht="12.75">
      <c r="A48" s="608" t="s">
        <v>135</v>
      </c>
      <c r="B48" s="628">
        <f>C48+D48+E48</f>
        <v>0</v>
      </c>
      <c r="C48" s="629"/>
      <c r="D48" s="629"/>
      <c r="E48" s="629"/>
    </row>
    <row r="49" spans="1:5" ht="12.75">
      <c r="A49" s="608" t="s">
        <v>136</v>
      </c>
      <c r="B49" s="628">
        <f>C49+D49+E49</f>
        <v>0</v>
      </c>
      <c r="C49" s="629"/>
      <c r="D49" s="629"/>
      <c r="E49" s="629"/>
    </row>
    <row r="50" spans="1:5" ht="12.75">
      <c r="A50" s="608" t="s">
        <v>137</v>
      </c>
      <c r="B50" s="628">
        <f>C50+D50+E50</f>
        <v>0</v>
      </c>
      <c r="C50" s="629"/>
      <c r="D50" s="629"/>
      <c r="E50" s="629"/>
    </row>
    <row r="51" spans="1:5" ht="13.5" thickBot="1">
      <c r="A51" s="609"/>
      <c r="B51" s="633">
        <f>C51+D51+E51</f>
        <v>0</v>
      </c>
      <c r="C51" s="634"/>
      <c r="D51" s="634"/>
      <c r="E51" s="635"/>
    </row>
    <row r="52" spans="1:5" ht="13.5" thickBot="1">
      <c r="A52" s="610" t="s">
        <v>109</v>
      </c>
      <c r="B52" s="630">
        <f>SUM(B47:B51)</f>
        <v>0</v>
      </c>
      <c r="C52" s="631">
        <f>SUM(C47:C51)</f>
        <v>0</v>
      </c>
      <c r="D52" s="631">
        <f>SUM(D47:D51)</f>
        <v>0</v>
      </c>
      <c r="E52" s="632">
        <f>SUM(E47:E51)</f>
        <v>0</v>
      </c>
    </row>
    <row r="53" spans="1:5" ht="12.75">
      <c r="A53" s="127"/>
      <c r="B53" s="127"/>
      <c r="C53" s="127"/>
      <c r="D53" s="127"/>
      <c r="E53" s="127"/>
    </row>
    <row r="54" spans="1:5" ht="14.25">
      <c r="A54" s="783" t="s">
        <v>670</v>
      </c>
      <c r="B54" s="783"/>
      <c r="C54" s="784"/>
      <c r="D54" s="784"/>
      <c r="E54" s="784"/>
    </row>
    <row r="55" spans="1:5" ht="15.75" thickBot="1">
      <c r="A55" s="597"/>
      <c r="B55" s="597"/>
      <c r="C55" s="597"/>
      <c r="D55" s="597"/>
      <c r="E55" s="636" t="str">
        <f>$E$3</f>
        <v>2020. utáni szükséglet</v>
      </c>
    </row>
    <row r="56" spans="1:5" ht="13.5" thickBot="1">
      <c r="A56" s="785" t="s">
        <v>126</v>
      </c>
      <c r="B56" s="788" t="s">
        <v>665</v>
      </c>
      <c r="C56" s="789"/>
      <c r="D56" s="789"/>
      <c r="E56" s="790"/>
    </row>
    <row r="57" spans="1:5" ht="13.5" thickBot="1">
      <c r="A57" s="786"/>
      <c r="B57" s="791" t="s">
        <v>679</v>
      </c>
      <c r="C57" s="796" t="s">
        <v>666</v>
      </c>
      <c r="D57" s="797"/>
      <c r="E57" s="798"/>
    </row>
    <row r="58" spans="1:5" ht="12.75">
      <c r="A58" s="786"/>
      <c r="B58" s="792"/>
      <c r="C58" s="791" t="str">
        <f>CONCATENATE(TARTALOMJEGYZÉK!$A$1,". előtti tervezett forrás, kiadás")</f>
        <v>2020. előtti tervezett forrás, kiadás</v>
      </c>
      <c r="D58" s="791" t="str">
        <f>CONCATENATE(TARTALOMJEGYZÉK!$A$1,". évi eredeti előirányzat")</f>
        <v>2020. évi eredeti előirányzat</v>
      </c>
      <c r="E58" s="791" t="str">
        <f>CONCATENATE(TARTALOMJEGYZÉK!$A$1,". év utáni tervezett forrás, kiadás")</f>
        <v>2020. év utáni tervezett forrás, kiadás</v>
      </c>
    </row>
    <row r="59" spans="1:5" ht="13.5" thickBot="1">
      <c r="A59" s="787"/>
      <c r="B59" s="793"/>
      <c r="C59" s="799"/>
      <c r="D59" s="799"/>
      <c r="E59" s="793"/>
    </row>
    <row r="60" spans="1:5" ht="13.5" thickBot="1">
      <c r="A60" s="598" t="s">
        <v>482</v>
      </c>
      <c r="B60" s="599" t="s">
        <v>667</v>
      </c>
      <c r="C60" s="600" t="s">
        <v>484</v>
      </c>
      <c r="D60" s="601" t="s">
        <v>486</v>
      </c>
      <c r="E60" s="602" t="s">
        <v>485</v>
      </c>
    </row>
    <row r="61" spans="1:5" ht="12.75">
      <c r="A61" s="603" t="s">
        <v>127</v>
      </c>
      <c r="B61" s="623">
        <f aca="true" t="shared" si="2" ref="B61:B66">C61+D61+E61</f>
        <v>0</v>
      </c>
      <c r="C61" s="624"/>
      <c r="D61" s="624"/>
      <c r="E61" s="625"/>
    </row>
    <row r="62" spans="1:5" ht="12.75">
      <c r="A62" s="604" t="s">
        <v>138</v>
      </c>
      <c r="B62" s="626">
        <f t="shared" si="2"/>
        <v>0</v>
      </c>
      <c r="C62" s="627"/>
      <c r="D62" s="627"/>
      <c r="E62" s="627"/>
    </row>
    <row r="63" spans="1:5" ht="12.75">
      <c r="A63" s="605" t="s">
        <v>128</v>
      </c>
      <c r="B63" s="628">
        <f t="shared" si="2"/>
        <v>0</v>
      </c>
      <c r="C63" s="629"/>
      <c r="D63" s="629"/>
      <c r="E63" s="629"/>
    </row>
    <row r="64" spans="1:5" ht="12.75">
      <c r="A64" s="605" t="s">
        <v>140</v>
      </c>
      <c r="B64" s="628">
        <f t="shared" si="2"/>
        <v>0</v>
      </c>
      <c r="C64" s="629"/>
      <c r="D64" s="629"/>
      <c r="E64" s="629"/>
    </row>
    <row r="65" spans="1:5" ht="12.75">
      <c r="A65" s="605" t="s">
        <v>129</v>
      </c>
      <c r="B65" s="628">
        <f t="shared" si="2"/>
        <v>0</v>
      </c>
      <c r="C65" s="629"/>
      <c r="D65" s="629"/>
      <c r="E65" s="629"/>
    </row>
    <row r="66" spans="1:5" ht="13.5" thickBot="1">
      <c r="A66" s="605" t="s">
        <v>130</v>
      </c>
      <c r="B66" s="628">
        <f t="shared" si="2"/>
        <v>0</v>
      </c>
      <c r="C66" s="629"/>
      <c r="D66" s="629"/>
      <c r="E66" s="629"/>
    </row>
    <row r="67" spans="1:5" ht="13.5" thickBot="1">
      <c r="A67" s="606" t="s">
        <v>131</v>
      </c>
      <c r="B67" s="630">
        <f>B61+SUM(B63:B66)</f>
        <v>0</v>
      </c>
      <c r="C67" s="631">
        <f>C61+SUM(C63:C66)</f>
        <v>0</v>
      </c>
      <c r="D67" s="631">
        <f>D61+SUM(D63:D66)</f>
        <v>0</v>
      </c>
      <c r="E67" s="632">
        <f>E61+SUM(E63:E66)</f>
        <v>0</v>
      </c>
    </row>
    <row r="68" spans="1:5" ht="12.75">
      <c r="A68" s="607" t="s">
        <v>134</v>
      </c>
      <c r="B68" s="623">
        <f>C68+D68+E68</f>
        <v>0</v>
      </c>
      <c r="C68" s="624"/>
      <c r="D68" s="624"/>
      <c r="E68" s="625"/>
    </row>
    <row r="69" spans="1:5" ht="12.75">
      <c r="A69" s="608" t="s">
        <v>135</v>
      </c>
      <c r="B69" s="628">
        <f>C69+D69+E69</f>
        <v>0</v>
      </c>
      <c r="C69" s="629"/>
      <c r="D69" s="629"/>
      <c r="E69" s="629"/>
    </row>
    <row r="70" spans="1:5" ht="12.75">
      <c r="A70" s="608" t="s">
        <v>136</v>
      </c>
      <c r="B70" s="628">
        <f>C70+D70+E70</f>
        <v>0</v>
      </c>
      <c r="C70" s="629"/>
      <c r="D70" s="629"/>
      <c r="E70" s="629"/>
    </row>
    <row r="71" spans="1:5" ht="12.75">
      <c r="A71" s="608" t="s">
        <v>137</v>
      </c>
      <c r="B71" s="628">
        <f>C71+D71+E71</f>
        <v>0</v>
      </c>
      <c r="C71" s="629"/>
      <c r="D71" s="629"/>
      <c r="E71" s="629"/>
    </row>
    <row r="72" spans="1:5" ht="13.5" thickBot="1">
      <c r="A72" s="609"/>
      <c r="B72" s="633">
        <f>C72+D72+E72</f>
        <v>0</v>
      </c>
      <c r="C72" s="634"/>
      <c r="D72" s="634"/>
      <c r="E72" s="635"/>
    </row>
    <row r="73" spans="1:5" ht="13.5" thickBot="1">
      <c r="A73" s="610" t="s">
        <v>109</v>
      </c>
      <c r="B73" s="630">
        <f>SUM(B68:B72)</f>
        <v>0</v>
      </c>
      <c r="C73" s="631">
        <f>SUM(C68:C72)</f>
        <v>0</v>
      </c>
      <c r="D73" s="631">
        <f>SUM(D68:D72)</f>
        <v>0</v>
      </c>
      <c r="E73" s="632">
        <f>SUM(E68:E72)</f>
        <v>0</v>
      </c>
    </row>
    <row r="74" spans="1:5" ht="12.75">
      <c r="A74" s="127"/>
      <c r="B74" s="127"/>
      <c r="C74" s="127"/>
      <c r="D74" s="127"/>
      <c r="E74" s="127"/>
    </row>
    <row r="75" spans="1:5" ht="14.25">
      <c r="A75" s="783" t="s">
        <v>670</v>
      </c>
      <c r="B75" s="783"/>
      <c r="C75" s="784"/>
      <c r="D75" s="784"/>
      <c r="E75" s="784"/>
    </row>
    <row r="76" spans="1:5" ht="15.75" thickBot="1">
      <c r="A76" s="597"/>
      <c r="B76" s="597"/>
      <c r="C76" s="597"/>
      <c r="D76" s="597"/>
      <c r="E76" s="636" t="str">
        <f>$E$3</f>
        <v>2020. utáni szükséglet</v>
      </c>
    </row>
    <row r="77" spans="1:5" ht="13.5" thickBot="1">
      <c r="A77" s="785" t="s">
        <v>126</v>
      </c>
      <c r="B77" s="788" t="s">
        <v>665</v>
      </c>
      <c r="C77" s="789"/>
      <c r="D77" s="789"/>
      <c r="E77" s="790"/>
    </row>
    <row r="78" spans="1:5" ht="13.5" thickBot="1">
      <c r="A78" s="786"/>
      <c r="B78" s="791" t="s">
        <v>679</v>
      </c>
      <c r="C78" s="796" t="s">
        <v>666</v>
      </c>
      <c r="D78" s="797"/>
      <c r="E78" s="798"/>
    </row>
    <row r="79" spans="1:5" ht="12.75">
      <c r="A79" s="786"/>
      <c r="B79" s="792"/>
      <c r="C79" s="791" t="str">
        <f>CONCATENATE(TARTALOMJEGYZÉK!$A$1,". előtti tervezett forrás, kiadás")</f>
        <v>2020. előtti tervezett forrás, kiadás</v>
      </c>
      <c r="D79" s="791" t="str">
        <f>CONCATENATE(TARTALOMJEGYZÉK!$A$1,". évi eredeti előirányzat")</f>
        <v>2020. évi eredeti előirányzat</v>
      </c>
      <c r="E79" s="791" t="str">
        <f>CONCATENATE(TARTALOMJEGYZÉK!$A$1,". év utáni tervezett forrás, kiadás")</f>
        <v>2020. év utáni tervezett forrás, kiadás</v>
      </c>
    </row>
    <row r="80" spans="1:5" ht="13.5" thickBot="1">
      <c r="A80" s="787"/>
      <c r="B80" s="793"/>
      <c r="C80" s="799"/>
      <c r="D80" s="799"/>
      <c r="E80" s="793"/>
    </row>
    <row r="81" spans="1:5" ht="13.5" thickBot="1">
      <c r="A81" s="598" t="s">
        <v>482</v>
      </c>
      <c r="B81" s="599" t="s">
        <v>667</v>
      </c>
      <c r="C81" s="600" t="s">
        <v>484</v>
      </c>
      <c r="D81" s="601" t="s">
        <v>486</v>
      </c>
      <c r="E81" s="602" t="s">
        <v>485</v>
      </c>
    </row>
    <row r="82" spans="1:5" ht="12.75">
      <c r="A82" s="603" t="s">
        <v>127</v>
      </c>
      <c r="B82" s="623">
        <f aca="true" t="shared" si="3" ref="B82:B87">C82+D82+E82</f>
        <v>0</v>
      </c>
      <c r="C82" s="624"/>
      <c r="D82" s="624"/>
      <c r="E82" s="625"/>
    </row>
    <row r="83" spans="1:5" ht="12.75">
      <c r="A83" s="604" t="s">
        <v>138</v>
      </c>
      <c r="B83" s="626">
        <f t="shared" si="3"/>
        <v>0</v>
      </c>
      <c r="C83" s="627"/>
      <c r="D83" s="627"/>
      <c r="E83" s="627"/>
    </row>
    <row r="84" spans="1:5" ht="12.75">
      <c r="A84" s="605" t="s">
        <v>128</v>
      </c>
      <c r="B84" s="628">
        <f t="shared" si="3"/>
        <v>0</v>
      </c>
      <c r="C84" s="629"/>
      <c r="D84" s="629"/>
      <c r="E84" s="629"/>
    </row>
    <row r="85" spans="1:5" ht="12.75">
      <c r="A85" s="605" t="s">
        <v>140</v>
      </c>
      <c r="B85" s="628">
        <f t="shared" si="3"/>
        <v>0</v>
      </c>
      <c r="C85" s="629"/>
      <c r="D85" s="629"/>
      <c r="E85" s="629"/>
    </row>
    <row r="86" spans="1:5" ht="12.75">
      <c r="A86" s="605" t="s">
        <v>129</v>
      </c>
      <c r="B86" s="628">
        <f t="shared" si="3"/>
        <v>0</v>
      </c>
      <c r="C86" s="629"/>
      <c r="D86" s="629"/>
      <c r="E86" s="629"/>
    </row>
    <row r="87" spans="1:5" ht="13.5" thickBot="1">
      <c r="A87" s="605" t="s">
        <v>130</v>
      </c>
      <c r="B87" s="628">
        <f t="shared" si="3"/>
        <v>0</v>
      </c>
      <c r="C87" s="629"/>
      <c r="D87" s="629"/>
      <c r="E87" s="629"/>
    </row>
    <row r="88" spans="1:5" ht="13.5" thickBot="1">
      <c r="A88" s="606" t="s">
        <v>131</v>
      </c>
      <c r="B88" s="630">
        <f>B82+SUM(B84:B87)</f>
        <v>0</v>
      </c>
      <c r="C88" s="631">
        <f>C82+SUM(C84:C87)</f>
        <v>0</v>
      </c>
      <c r="D88" s="631">
        <f>D82+SUM(D84:D87)</f>
        <v>0</v>
      </c>
      <c r="E88" s="632">
        <f>E82+SUM(E84:E87)</f>
        <v>0</v>
      </c>
    </row>
    <row r="89" spans="1:5" ht="12.75">
      <c r="A89" s="607" t="s">
        <v>134</v>
      </c>
      <c r="B89" s="623">
        <f>C89+D89+E89</f>
        <v>0</v>
      </c>
      <c r="C89" s="624"/>
      <c r="D89" s="624"/>
      <c r="E89" s="625"/>
    </row>
    <row r="90" spans="1:5" ht="12.75">
      <c r="A90" s="608" t="s">
        <v>135</v>
      </c>
      <c r="B90" s="628">
        <f>C90+D90+E90</f>
        <v>0</v>
      </c>
      <c r="C90" s="629"/>
      <c r="D90" s="629"/>
      <c r="E90" s="629"/>
    </row>
    <row r="91" spans="1:5" ht="12.75">
      <c r="A91" s="608" t="s">
        <v>136</v>
      </c>
      <c r="B91" s="628">
        <f>C91+D91+E91</f>
        <v>0</v>
      </c>
      <c r="C91" s="629"/>
      <c r="D91" s="629"/>
      <c r="E91" s="629"/>
    </row>
    <row r="92" spans="1:5" ht="12.75">
      <c r="A92" s="608" t="s">
        <v>137</v>
      </c>
      <c r="B92" s="628">
        <f>C92+D92+E92</f>
        <v>0</v>
      </c>
      <c r="C92" s="629"/>
      <c r="D92" s="629"/>
      <c r="E92" s="629"/>
    </row>
    <row r="93" spans="1:5" ht="13.5" thickBot="1">
      <c r="A93" s="609"/>
      <c r="B93" s="633">
        <f>C93+D93+E93</f>
        <v>0</v>
      </c>
      <c r="C93" s="634"/>
      <c r="D93" s="634"/>
      <c r="E93" s="635"/>
    </row>
    <row r="94" spans="1:5" ht="13.5" thickBot="1">
      <c r="A94" s="610" t="s">
        <v>109</v>
      </c>
      <c r="B94" s="630">
        <f>SUM(B89:B93)</f>
        <v>0</v>
      </c>
      <c r="C94" s="631">
        <f>SUM(C89:C93)</f>
        <v>0</v>
      </c>
      <c r="D94" s="631">
        <f>SUM(D89:D93)</f>
        <v>0</v>
      </c>
      <c r="E94" s="632">
        <f>SUM(E89:E93)</f>
        <v>0</v>
      </c>
    </row>
    <row r="95" spans="1:5" ht="12.75">
      <c r="A95" s="127"/>
      <c r="B95" s="127"/>
      <c r="C95" s="127"/>
      <c r="D95" s="127"/>
      <c r="E95" s="127"/>
    </row>
    <row r="96" spans="1:5" ht="14.25">
      <c r="A96" s="783" t="s">
        <v>670</v>
      </c>
      <c r="B96" s="783"/>
      <c r="C96" s="784"/>
      <c r="D96" s="784"/>
      <c r="E96" s="784"/>
    </row>
    <row r="97" spans="1:5" ht="15.75" thickBot="1">
      <c r="A97" s="597"/>
      <c r="B97" s="597"/>
      <c r="C97" s="597"/>
      <c r="D97" s="597"/>
      <c r="E97" s="636" t="str">
        <f>$E$3</f>
        <v>2020. utáni szükséglet</v>
      </c>
    </row>
    <row r="98" spans="1:5" ht="13.5" thickBot="1">
      <c r="A98" s="785" t="s">
        <v>126</v>
      </c>
      <c r="B98" s="788" t="s">
        <v>665</v>
      </c>
      <c r="C98" s="789"/>
      <c r="D98" s="789"/>
      <c r="E98" s="790"/>
    </row>
    <row r="99" spans="1:5" ht="13.5" thickBot="1">
      <c r="A99" s="786"/>
      <c r="B99" s="791" t="s">
        <v>679</v>
      </c>
      <c r="C99" s="796" t="s">
        <v>666</v>
      </c>
      <c r="D99" s="797"/>
      <c r="E99" s="798"/>
    </row>
    <row r="100" spans="1:5" ht="12.75">
      <c r="A100" s="786"/>
      <c r="B100" s="792"/>
      <c r="C100" s="791" t="str">
        <f>CONCATENATE(TARTALOMJEGYZÉK!$A$1,". előtti tervezett forrás, kiadás")</f>
        <v>2020. előtti tervezett forrás, kiadás</v>
      </c>
      <c r="D100" s="791" t="str">
        <f>CONCATENATE(TARTALOMJEGYZÉK!$A$1,". évi eredeti előirányzat")</f>
        <v>2020. évi eredeti előirányzat</v>
      </c>
      <c r="E100" s="791" t="str">
        <f>CONCATENATE(TARTALOMJEGYZÉK!$A$1,". év utáni tervezett forrás, kiadás")</f>
        <v>2020. év utáni tervezett forrás, kiadás</v>
      </c>
    </row>
    <row r="101" spans="1:5" ht="13.5" thickBot="1">
      <c r="A101" s="787"/>
      <c r="B101" s="793"/>
      <c r="C101" s="799"/>
      <c r="D101" s="799"/>
      <c r="E101" s="793"/>
    </row>
    <row r="102" spans="1:5" ht="13.5" thickBot="1">
      <c r="A102" s="598" t="s">
        <v>482</v>
      </c>
      <c r="B102" s="599" t="s">
        <v>667</v>
      </c>
      <c r="C102" s="600" t="s">
        <v>484</v>
      </c>
      <c r="D102" s="601" t="s">
        <v>486</v>
      </c>
      <c r="E102" s="602" t="s">
        <v>485</v>
      </c>
    </row>
    <row r="103" spans="1:5" ht="12.75">
      <c r="A103" s="603" t="s">
        <v>127</v>
      </c>
      <c r="B103" s="623">
        <f aca="true" t="shared" si="4" ref="B103:B108">C103+D103+E103</f>
        <v>0</v>
      </c>
      <c r="C103" s="624"/>
      <c r="D103" s="624"/>
      <c r="E103" s="625"/>
    </row>
    <row r="104" spans="1:5" ht="12.75">
      <c r="A104" s="604" t="s">
        <v>138</v>
      </c>
      <c r="B104" s="626">
        <f t="shared" si="4"/>
        <v>0</v>
      </c>
      <c r="C104" s="627"/>
      <c r="D104" s="627"/>
      <c r="E104" s="627"/>
    </row>
    <row r="105" spans="1:5" ht="12.75">
      <c r="A105" s="605" t="s">
        <v>128</v>
      </c>
      <c r="B105" s="628">
        <f t="shared" si="4"/>
        <v>0</v>
      </c>
      <c r="C105" s="629"/>
      <c r="D105" s="629"/>
      <c r="E105" s="629"/>
    </row>
    <row r="106" spans="1:5" ht="12.75">
      <c r="A106" s="605" t="s">
        <v>140</v>
      </c>
      <c r="B106" s="628">
        <f t="shared" si="4"/>
        <v>0</v>
      </c>
      <c r="C106" s="629"/>
      <c r="D106" s="629"/>
      <c r="E106" s="629"/>
    </row>
    <row r="107" spans="1:5" ht="12.75">
      <c r="A107" s="605" t="s">
        <v>129</v>
      </c>
      <c r="B107" s="628">
        <f t="shared" si="4"/>
        <v>0</v>
      </c>
      <c r="C107" s="629"/>
      <c r="D107" s="629"/>
      <c r="E107" s="629"/>
    </row>
    <row r="108" spans="1:5" ht="13.5" thickBot="1">
      <c r="A108" s="605" t="s">
        <v>130</v>
      </c>
      <c r="B108" s="628">
        <f t="shared" si="4"/>
        <v>0</v>
      </c>
      <c r="C108" s="629"/>
      <c r="D108" s="629"/>
      <c r="E108" s="629"/>
    </row>
    <row r="109" spans="1:5" ht="13.5" thickBot="1">
      <c r="A109" s="606" t="s">
        <v>131</v>
      </c>
      <c r="B109" s="630">
        <f>B103+SUM(B105:B108)</f>
        <v>0</v>
      </c>
      <c r="C109" s="631">
        <f>C103+SUM(C105:C108)</f>
        <v>0</v>
      </c>
      <c r="D109" s="631">
        <f>D103+SUM(D105:D108)</f>
        <v>0</v>
      </c>
      <c r="E109" s="632">
        <f>E103+SUM(E105:E108)</f>
        <v>0</v>
      </c>
    </row>
    <row r="110" spans="1:5" ht="12.75">
      <c r="A110" s="607" t="s">
        <v>134</v>
      </c>
      <c r="B110" s="623">
        <f>C110+D110+E110</f>
        <v>0</v>
      </c>
      <c r="C110" s="624"/>
      <c r="D110" s="624"/>
      <c r="E110" s="625"/>
    </row>
    <row r="111" spans="1:5" ht="12.75">
      <c r="A111" s="608" t="s">
        <v>135</v>
      </c>
      <c r="B111" s="628">
        <f>C111+D111+E111</f>
        <v>0</v>
      </c>
      <c r="C111" s="629"/>
      <c r="D111" s="629"/>
      <c r="E111" s="629"/>
    </row>
    <row r="112" spans="1:5" ht="12.75">
      <c r="A112" s="608" t="s">
        <v>136</v>
      </c>
      <c r="B112" s="628">
        <f>C112+D112+E112</f>
        <v>0</v>
      </c>
      <c r="C112" s="629"/>
      <c r="D112" s="629"/>
      <c r="E112" s="629"/>
    </row>
    <row r="113" spans="1:5" ht="12.75">
      <c r="A113" s="608" t="s">
        <v>137</v>
      </c>
      <c r="B113" s="628">
        <f>C113+D113+E113</f>
        <v>0</v>
      </c>
      <c r="C113" s="629"/>
      <c r="D113" s="629"/>
      <c r="E113" s="629"/>
    </row>
    <row r="114" spans="1:5" ht="13.5" thickBot="1">
      <c r="A114" s="609"/>
      <c r="B114" s="633">
        <f>C114+D114+E114</f>
        <v>0</v>
      </c>
      <c r="C114" s="634"/>
      <c r="D114" s="634"/>
      <c r="E114" s="635"/>
    </row>
    <row r="115" spans="1:5" ht="13.5" thickBot="1">
      <c r="A115" s="610" t="s">
        <v>109</v>
      </c>
      <c r="B115" s="630">
        <f>SUM(B110:B114)</f>
        <v>0</v>
      </c>
      <c r="C115" s="631">
        <f>SUM(C110:C114)</f>
        <v>0</v>
      </c>
      <c r="D115" s="631">
        <f>SUM(D110:D114)</f>
        <v>0</v>
      </c>
      <c r="E115" s="632">
        <f>SUM(E110:E114)</f>
        <v>0</v>
      </c>
    </row>
    <row r="117" spans="1:5" ht="14.25">
      <c r="A117" s="783" t="s">
        <v>670</v>
      </c>
      <c r="B117" s="783"/>
      <c r="C117" s="784"/>
      <c r="D117" s="784"/>
      <c r="E117" s="784"/>
    </row>
    <row r="118" spans="1:5" ht="15.75" thickBot="1">
      <c r="A118" s="597"/>
      <c r="B118" s="597"/>
      <c r="C118" s="597"/>
      <c r="D118" s="597"/>
      <c r="E118" s="636" t="str">
        <f>$E$3</f>
        <v>2020. utáni szükséglet</v>
      </c>
    </row>
    <row r="119" spans="1:5" ht="13.5" thickBot="1">
      <c r="A119" s="785" t="s">
        <v>126</v>
      </c>
      <c r="B119" s="788" t="s">
        <v>665</v>
      </c>
      <c r="C119" s="789"/>
      <c r="D119" s="789"/>
      <c r="E119" s="790"/>
    </row>
    <row r="120" spans="1:5" ht="13.5" thickBot="1">
      <c r="A120" s="786"/>
      <c r="B120" s="791" t="s">
        <v>679</v>
      </c>
      <c r="C120" s="796" t="s">
        <v>666</v>
      </c>
      <c r="D120" s="797"/>
      <c r="E120" s="798"/>
    </row>
    <row r="121" spans="1:5" ht="12.75">
      <c r="A121" s="786"/>
      <c r="B121" s="792"/>
      <c r="C121" s="791" t="str">
        <f>CONCATENATE(TARTALOMJEGYZÉK!$A$1,". előtti tervezett forrás, kiadás")</f>
        <v>2020. előtti tervezett forrás, kiadás</v>
      </c>
      <c r="D121" s="791" t="str">
        <f>CONCATENATE(TARTALOMJEGYZÉK!$A$1,". évi eredeti előirányzat")</f>
        <v>2020. évi eredeti előirányzat</v>
      </c>
      <c r="E121" s="791" t="str">
        <f>CONCATENATE(TARTALOMJEGYZÉK!$A$1,". év utáni tervezett forrás, kiadás")</f>
        <v>2020. év utáni tervezett forrás, kiadás</v>
      </c>
    </row>
    <row r="122" spans="1:5" ht="13.5" thickBot="1">
      <c r="A122" s="787"/>
      <c r="B122" s="793"/>
      <c r="C122" s="799"/>
      <c r="D122" s="799"/>
      <c r="E122" s="793"/>
    </row>
    <row r="123" spans="1:5" ht="13.5" thickBot="1">
      <c r="A123" s="598" t="s">
        <v>482</v>
      </c>
      <c r="B123" s="599" t="s">
        <v>667</v>
      </c>
      <c r="C123" s="600" t="s">
        <v>484</v>
      </c>
      <c r="D123" s="601" t="s">
        <v>486</v>
      </c>
      <c r="E123" s="602" t="s">
        <v>485</v>
      </c>
    </row>
    <row r="124" spans="1:5" ht="12.75">
      <c r="A124" s="603" t="s">
        <v>127</v>
      </c>
      <c r="B124" s="623">
        <f aca="true" t="shared" si="5" ref="B124:B129">C124+D124+E124</f>
        <v>0</v>
      </c>
      <c r="C124" s="624"/>
      <c r="D124" s="624"/>
      <c r="E124" s="625"/>
    </row>
    <row r="125" spans="1:5" ht="12.75">
      <c r="A125" s="604" t="s">
        <v>138</v>
      </c>
      <c r="B125" s="626">
        <f t="shared" si="5"/>
        <v>0</v>
      </c>
      <c r="C125" s="627"/>
      <c r="D125" s="627"/>
      <c r="E125" s="627"/>
    </row>
    <row r="126" spans="1:5" ht="12.75">
      <c r="A126" s="605" t="s">
        <v>128</v>
      </c>
      <c r="B126" s="628">
        <f t="shared" si="5"/>
        <v>0</v>
      </c>
      <c r="C126" s="629"/>
      <c r="D126" s="629"/>
      <c r="E126" s="629"/>
    </row>
    <row r="127" spans="1:5" ht="12.75">
      <c r="A127" s="605" t="s">
        <v>140</v>
      </c>
      <c r="B127" s="628">
        <f t="shared" si="5"/>
        <v>0</v>
      </c>
      <c r="C127" s="629"/>
      <c r="D127" s="629"/>
      <c r="E127" s="629"/>
    </row>
    <row r="128" spans="1:5" ht="12.75">
      <c r="A128" s="605" t="s">
        <v>129</v>
      </c>
      <c r="B128" s="628">
        <f t="shared" si="5"/>
        <v>0</v>
      </c>
      <c r="C128" s="629"/>
      <c r="D128" s="629"/>
      <c r="E128" s="629"/>
    </row>
    <row r="129" spans="1:5" ht="13.5" thickBot="1">
      <c r="A129" s="605" t="s">
        <v>130</v>
      </c>
      <c r="B129" s="628">
        <f t="shared" si="5"/>
        <v>0</v>
      </c>
      <c r="C129" s="629"/>
      <c r="D129" s="629"/>
      <c r="E129" s="629"/>
    </row>
    <row r="130" spans="1:5" ht="13.5" thickBot="1">
      <c r="A130" s="606" t="s">
        <v>131</v>
      </c>
      <c r="B130" s="630">
        <f>B124+SUM(B126:B129)</f>
        <v>0</v>
      </c>
      <c r="C130" s="631">
        <f>C124+SUM(C126:C129)</f>
        <v>0</v>
      </c>
      <c r="D130" s="631">
        <f>D124+SUM(D126:D129)</f>
        <v>0</v>
      </c>
      <c r="E130" s="632">
        <f>E124+SUM(E126:E129)</f>
        <v>0</v>
      </c>
    </row>
    <row r="131" spans="1:5" ht="12.75">
      <c r="A131" s="607" t="s">
        <v>134</v>
      </c>
      <c r="B131" s="623">
        <f>C131+D131+E131</f>
        <v>0</v>
      </c>
      <c r="C131" s="624"/>
      <c r="D131" s="624"/>
      <c r="E131" s="625"/>
    </row>
    <row r="132" spans="1:5" ht="12.75">
      <c r="A132" s="608" t="s">
        <v>135</v>
      </c>
      <c r="B132" s="628">
        <f>C132+D132+E132</f>
        <v>0</v>
      </c>
      <c r="C132" s="629"/>
      <c r="D132" s="629"/>
      <c r="E132" s="629"/>
    </row>
    <row r="133" spans="1:5" ht="12.75">
      <c r="A133" s="608" t="s">
        <v>136</v>
      </c>
      <c r="B133" s="628">
        <f>C133+D133+E133</f>
        <v>0</v>
      </c>
      <c r="C133" s="629"/>
      <c r="D133" s="629"/>
      <c r="E133" s="629"/>
    </row>
    <row r="134" spans="1:5" ht="12.75">
      <c r="A134" s="608" t="s">
        <v>137</v>
      </c>
      <c r="B134" s="628">
        <f>C134+D134+E134</f>
        <v>0</v>
      </c>
      <c r="C134" s="629"/>
      <c r="D134" s="629"/>
      <c r="E134" s="629"/>
    </row>
    <row r="135" spans="1:5" ht="13.5" thickBot="1">
      <c r="A135" s="609"/>
      <c r="B135" s="633">
        <f>C135+D135+E135</f>
        <v>0</v>
      </c>
      <c r="C135" s="634"/>
      <c r="D135" s="634"/>
      <c r="E135" s="635"/>
    </row>
    <row r="136" spans="1:5" ht="13.5" thickBot="1">
      <c r="A136" s="610" t="s">
        <v>109</v>
      </c>
      <c r="B136" s="630">
        <f>SUM(B131:B135)</f>
        <v>0</v>
      </c>
      <c r="C136" s="631">
        <f>SUM(C131:C135)</f>
        <v>0</v>
      </c>
      <c r="D136" s="631">
        <f>SUM(D131:D135)</f>
        <v>0</v>
      </c>
      <c r="E136" s="632">
        <f>SUM(E131:E135)</f>
        <v>0</v>
      </c>
    </row>
    <row r="138" spans="1:5" ht="14.25">
      <c r="A138" s="783" t="s">
        <v>670</v>
      </c>
      <c r="B138" s="783"/>
      <c r="C138" s="784"/>
      <c r="D138" s="784"/>
      <c r="E138" s="784"/>
    </row>
    <row r="139" spans="1:5" ht="15.75" thickBot="1">
      <c r="A139" s="597"/>
      <c r="B139" s="597"/>
      <c r="C139" s="597"/>
      <c r="D139" s="597"/>
      <c r="E139" s="636" t="str">
        <f>$E$3</f>
        <v>2020. utáni szükséglet</v>
      </c>
    </row>
    <row r="140" spans="1:5" ht="13.5" thickBot="1">
      <c r="A140" s="785" t="s">
        <v>126</v>
      </c>
      <c r="B140" s="788" t="s">
        <v>665</v>
      </c>
      <c r="C140" s="789"/>
      <c r="D140" s="789"/>
      <c r="E140" s="790"/>
    </row>
    <row r="141" spans="1:5" ht="13.5" thickBot="1">
      <c r="A141" s="786"/>
      <c r="B141" s="791" t="s">
        <v>679</v>
      </c>
      <c r="C141" s="796" t="s">
        <v>666</v>
      </c>
      <c r="D141" s="797"/>
      <c r="E141" s="798"/>
    </row>
    <row r="142" spans="1:5" ht="12.75">
      <c r="A142" s="786"/>
      <c r="B142" s="792"/>
      <c r="C142" s="791" t="str">
        <f>CONCATENATE(TARTALOMJEGYZÉK!$A$1,". előtti tervezett forrás, kiadás")</f>
        <v>2020. előtti tervezett forrás, kiadás</v>
      </c>
      <c r="D142" s="791" t="str">
        <f>CONCATENATE(TARTALOMJEGYZÉK!$A$1,". évi eredeti előirányzat")</f>
        <v>2020. évi eredeti előirányzat</v>
      </c>
      <c r="E142" s="791" t="str">
        <f>CONCATENATE(TARTALOMJEGYZÉK!$A$1,". év utáni tervezett forrás, kiadás")</f>
        <v>2020. év utáni tervezett forrás, kiadás</v>
      </c>
    </row>
    <row r="143" spans="1:5" ht="13.5" thickBot="1">
      <c r="A143" s="787"/>
      <c r="B143" s="793"/>
      <c r="C143" s="799"/>
      <c r="D143" s="799"/>
      <c r="E143" s="793"/>
    </row>
    <row r="144" spans="1:5" ht="13.5" thickBot="1">
      <c r="A144" s="598" t="s">
        <v>482</v>
      </c>
      <c r="B144" s="599" t="s">
        <v>667</v>
      </c>
      <c r="C144" s="600" t="s">
        <v>484</v>
      </c>
      <c r="D144" s="601" t="s">
        <v>486</v>
      </c>
      <c r="E144" s="602" t="s">
        <v>485</v>
      </c>
    </row>
    <row r="145" spans="1:5" ht="12.75">
      <c r="A145" s="603" t="s">
        <v>127</v>
      </c>
      <c r="B145" s="623">
        <f aca="true" t="shared" si="6" ref="B145:B150">C145+D145+E145</f>
        <v>0</v>
      </c>
      <c r="C145" s="624"/>
      <c r="D145" s="624"/>
      <c r="E145" s="625"/>
    </row>
    <row r="146" spans="1:5" ht="12.75">
      <c r="A146" s="604" t="s">
        <v>138</v>
      </c>
      <c r="B146" s="626">
        <f t="shared" si="6"/>
        <v>0</v>
      </c>
      <c r="C146" s="627"/>
      <c r="D146" s="627"/>
      <c r="E146" s="627"/>
    </row>
    <row r="147" spans="1:5" ht="12.75">
      <c r="A147" s="605" t="s">
        <v>128</v>
      </c>
      <c r="B147" s="628">
        <f t="shared" si="6"/>
        <v>0</v>
      </c>
      <c r="C147" s="629"/>
      <c r="D147" s="629"/>
      <c r="E147" s="629"/>
    </row>
    <row r="148" spans="1:5" ht="12.75">
      <c r="A148" s="605" t="s">
        <v>140</v>
      </c>
      <c r="B148" s="628">
        <f t="shared" si="6"/>
        <v>0</v>
      </c>
      <c r="C148" s="629"/>
      <c r="D148" s="629"/>
      <c r="E148" s="629"/>
    </row>
    <row r="149" spans="1:5" ht="12.75">
      <c r="A149" s="605" t="s">
        <v>129</v>
      </c>
      <c r="B149" s="628">
        <f t="shared" si="6"/>
        <v>0</v>
      </c>
      <c r="C149" s="629"/>
      <c r="D149" s="629"/>
      <c r="E149" s="629"/>
    </row>
    <row r="150" spans="1:5" ht="13.5" thickBot="1">
      <c r="A150" s="605" t="s">
        <v>130</v>
      </c>
      <c r="B150" s="628">
        <f t="shared" si="6"/>
        <v>0</v>
      </c>
      <c r="C150" s="629"/>
      <c r="D150" s="629"/>
      <c r="E150" s="629"/>
    </row>
    <row r="151" spans="1:5" ht="13.5" thickBot="1">
      <c r="A151" s="606" t="s">
        <v>131</v>
      </c>
      <c r="B151" s="630">
        <f>B145+SUM(B147:B150)</f>
        <v>0</v>
      </c>
      <c r="C151" s="631">
        <f>C145+SUM(C147:C150)</f>
        <v>0</v>
      </c>
      <c r="D151" s="631">
        <f>D145+SUM(D147:D150)</f>
        <v>0</v>
      </c>
      <c r="E151" s="632">
        <f>E145+SUM(E147:E150)</f>
        <v>0</v>
      </c>
    </row>
    <row r="152" spans="1:5" ht="12.75">
      <c r="A152" s="607" t="s">
        <v>134</v>
      </c>
      <c r="B152" s="623">
        <f>C152+D152+E152</f>
        <v>0</v>
      </c>
      <c r="C152" s="624"/>
      <c r="D152" s="624"/>
      <c r="E152" s="625"/>
    </row>
    <row r="153" spans="1:5" ht="12.75">
      <c r="A153" s="608" t="s">
        <v>135</v>
      </c>
      <c r="B153" s="628">
        <f>C153+D153+E153</f>
        <v>0</v>
      </c>
      <c r="C153" s="629"/>
      <c r="D153" s="629"/>
      <c r="E153" s="629"/>
    </row>
    <row r="154" spans="1:5" ht="12.75">
      <c r="A154" s="608" t="s">
        <v>136</v>
      </c>
      <c r="B154" s="628">
        <f>C154+D154+E154</f>
        <v>0</v>
      </c>
      <c r="C154" s="629"/>
      <c r="D154" s="629"/>
      <c r="E154" s="629"/>
    </row>
    <row r="155" spans="1:5" ht="12.75">
      <c r="A155" s="608" t="s">
        <v>137</v>
      </c>
      <c r="B155" s="628">
        <f>C155+D155+E155</f>
        <v>0</v>
      </c>
      <c r="C155" s="629"/>
      <c r="D155" s="629"/>
      <c r="E155" s="629"/>
    </row>
    <row r="156" spans="1:5" ht="13.5" thickBot="1">
      <c r="A156" s="609"/>
      <c r="B156" s="633">
        <f>C156+D156+E156</f>
        <v>0</v>
      </c>
      <c r="C156" s="634"/>
      <c r="D156" s="634"/>
      <c r="E156" s="635"/>
    </row>
    <row r="157" spans="1:5" ht="13.5" thickBot="1">
      <c r="A157" s="610" t="s">
        <v>109</v>
      </c>
      <c r="B157" s="630">
        <f>SUM(B152:B156)</f>
        <v>0</v>
      </c>
      <c r="C157" s="631">
        <f>SUM(C152:C156)</f>
        <v>0</v>
      </c>
      <c r="D157" s="631">
        <f>SUM(D152:D156)</f>
        <v>0</v>
      </c>
      <c r="E157" s="632">
        <f>SUM(E152:E156)</f>
        <v>0</v>
      </c>
    </row>
    <row r="159" spans="1:5" ht="14.25">
      <c r="A159" s="783" t="s">
        <v>670</v>
      </c>
      <c r="B159" s="783"/>
      <c r="C159" s="784"/>
      <c r="D159" s="784"/>
      <c r="E159" s="784"/>
    </row>
    <row r="160" spans="1:5" ht="15.75" thickBot="1">
      <c r="A160" s="597"/>
      <c r="B160" s="597"/>
      <c r="C160" s="597"/>
      <c r="D160" s="597"/>
      <c r="E160" s="636" t="str">
        <f>$E$3</f>
        <v>2020. utáni szükséglet</v>
      </c>
    </row>
    <row r="161" spans="1:5" ht="13.5" thickBot="1">
      <c r="A161" s="785" t="s">
        <v>126</v>
      </c>
      <c r="B161" s="788" t="s">
        <v>665</v>
      </c>
      <c r="C161" s="789"/>
      <c r="D161" s="789"/>
      <c r="E161" s="790"/>
    </row>
    <row r="162" spans="1:5" ht="13.5" thickBot="1">
      <c r="A162" s="786"/>
      <c r="B162" s="791" t="s">
        <v>679</v>
      </c>
      <c r="C162" s="796" t="s">
        <v>666</v>
      </c>
      <c r="D162" s="797"/>
      <c r="E162" s="798"/>
    </row>
    <row r="163" spans="1:5" ht="12.75">
      <c r="A163" s="786"/>
      <c r="B163" s="792"/>
      <c r="C163" s="791" t="str">
        <f>CONCATENATE(TARTALOMJEGYZÉK!$A$1,". előtti tervezett forrás, kiadás")</f>
        <v>2020. előtti tervezett forrás, kiadás</v>
      </c>
      <c r="D163" s="791" t="str">
        <f>CONCATENATE(TARTALOMJEGYZÉK!$A$1,". évi eredeti előirányzat")</f>
        <v>2020. évi eredeti előirányzat</v>
      </c>
      <c r="E163" s="791" t="str">
        <f>CONCATENATE(TARTALOMJEGYZÉK!$A$1,". év utáni tervezett forrás, kiadás")</f>
        <v>2020. év utáni tervezett forrás, kiadás</v>
      </c>
    </row>
    <row r="164" spans="1:5" ht="13.5" thickBot="1">
      <c r="A164" s="787"/>
      <c r="B164" s="793"/>
      <c r="C164" s="799"/>
      <c r="D164" s="799"/>
      <c r="E164" s="793"/>
    </row>
    <row r="165" spans="1:5" ht="13.5" thickBot="1">
      <c r="A165" s="598" t="s">
        <v>482</v>
      </c>
      <c r="B165" s="599" t="s">
        <v>667</v>
      </c>
      <c r="C165" s="600" t="s">
        <v>484</v>
      </c>
      <c r="D165" s="601" t="s">
        <v>486</v>
      </c>
      <c r="E165" s="602" t="s">
        <v>485</v>
      </c>
    </row>
    <row r="166" spans="1:5" ht="12.75">
      <c r="A166" s="603" t="s">
        <v>127</v>
      </c>
      <c r="B166" s="623">
        <f aca="true" t="shared" si="7" ref="B166:B171">C166+D166+E166</f>
        <v>0</v>
      </c>
      <c r="C166" s="624"/>
      <c r="D166" s="624"/>
      <c r="E166" s="625"/>
    </row>
    <row r="167" spans="1:5" ht="12.75">
      <c r="A167" s="604" t="s">
        <v>138</v>
      </c>
      <c r="B167" s="626">
        <f t="shared" si="7"/>
        <v>0</v>
      </c>
      <c r="C167" s="627"/>
      <c r="D167" s="627"/>
      <c r="E167" s="627"/>
    </row>
    <row r="168" spans="1:5" ht="12.75">
      <c r="A168" s="605" t="s">
        <v>128</v>
      </c>
      <c r="B168" s="628">
        <f t="shared" si="7"/>
        <v>0</v>
      </c>
      <c r="C168" s="629"/>
      <c r="D168" s="629"/>
      <c r="E168" s="629"/>
    </row>
    <row r="169" spans="1:5" ht="12.75">
      <c r="A169" s="605" t="s">
        <v>140</v>
      </c>
      <c r="B169" s="628">
        <f t="shared" si="7"/>
        <v>0</v>
      </c>
      <c r="C169" s="629"/>
      <c r="D169" s="629"/>
      <c r="E169" s="629"/>
    </row>
    <row r="170" spans="1:5" ht="12.75">
      <c r="A170" s="605" t="s">
        <v>129</v>
      </c>
      <c r="B170" s="628">
        <f t="shared" si="7"/>
        <v>0</v>
      </c>
      <c r="C170" s="629"/>
      <c r="D170" s="629"/>
      <c r="E170" s="629"/>
    </row>
    <row r="171" spans="1:5" ht="13.5" thickBot="1">
      <c r="A171" s="605" t="s">
        <v>130</v>
      </c>
      <c r="B171" s="628">
        <f t="shared" si="7"/>
        <v>0</v>
      </c>
      <c r="C171" s="629"/>
      <c r="D171" s="629"/>
      <c r="E171" s="629"/>
    </row>
    <row r="172" spans="1:5" ht="13.5" thickBot="1">
      <c r="A172" s="606" t="s">
        <v>131</v>
      </c>
      <c r="B172" s="630">
        <f>B166+SUM(B168:B171)</f>
        <v>0</v>
      </c>
      <c r="C172" s="631">
        <f>C166+SUM(C168:C171)</f>
        <v>0</v>
      </c>
      <c r="D172" s="631">
        <f>D166+SUM(D168:D171)</f>
        <v>0</v>
      </c>
      <c r="E172" s="632">
        <f>E166+SUM(E168:E171)</f>
        <v>0</v>
      </c>
    </row>
    <row r="173" spans="1:5" ht="12.75">
      <c r="A173" s="607" t="s">
        <v>134</v>
      </c>
      <c r="B173" s="623">
        <f>C173+D173+E173</f>
        <v>0</v>
      </c>
      <c r="C173" s="624"/>
      <c r="D173" s="624"/>
      <c r="E173" s="625"/>
    </row>
    <row r="174" spans="1:5" ht="12.75">
      <c r="A174" s="608" t="s">
        <v>135</v>
      </c>
      <c r="B174" s="628">
        <f>C174+D174+E174</f>
        <v>0</v>
      </c>
      <c r="C174" s="629"/>
      <c r="D174" s="629"/>
      <c r="E174" s="629"/>
    </row>
    <row r="175" spans="1:5" ht="12.75">
      <c r="A175" s="608" t="s">
        <v>136</v>
      </c>
      <c r="B175" s="628">
        <f>C175+D175+E175</f>
        <v>0</v>
      </c>
      <c r="C175" s="629"/>
      <c r="D175" s="629"/>
      <c r="E175" s="629"/>
    </row>
    <row r="176" spans="1:5" ht="12.75">
      <c r="A176" s="608" t="s">
        <v>137</v>
      </c>
      <c r="B176" s="628">
        <f>C176+D176+E176</f>
        <v>0</v>
      </c>
      <c r="C176" s="629"/>
      <c r="D176" s="629"/>
      <c r="E176" s="629"/>
    </row>
    <row r="177" spans="1:5" ht="13.5" thickBot="1">
      <c r="A177" s="609"/>
      <c r="B177" s="633">
        <f>C177+D177+E177</f>
        <v>0</v>
      </c>
      <c r="C177" s="634"/>
      <c r="D177" s="634"/>
      <c r="E177" s="635"/>
    </row>
    <row r="178" spans="1:5" ht="13.5" thickBot="1">
      <c r="A178" s="610" t="s">
        <v>109</v>
      </c>
      <c r="B178" s="630">
        <f>SUM(B173:B177)</f>
        <v>0</v>
      </c>
      <c r="C178" s="631">
        <f>SUM(C173:C177)</f>
        <v>0</v>
      </c>
      <c r="D178" s="631">
        <f>SUM(D173:D177)</f>
        <v>0</v>
      </c>
      <c r="E178" s="632">
        <f>SUM(E173:E177)</f>
        <v>0</v>
      </c>
    </row>
    <row r="180" spans="1:5" ht="14.25">
      <c r="A180" s="783" t="s">
        <v>670</v>
      </c>
      <c r="B180" s="783"/>
      <c r="C180" s="784"/>
      <c r="D180" s="784"/>
      <c r="E180" s="784"/>
    </row>
    <row r="181" spans="1:5" ht="15.75" thickBot="1">
      <c r="A181" s="597"/>
      <c r="B181" s="597"/>
      <c r="C181" s="597"/>
      <c r="D181" s="597"/>
      <c r="E181" s="636" t="str">
        <f>$E$3</f>
        <v>2020. utáni szükséglet</v>
      </c>
    </row>
    <row r="182" spans="1:5" ht="13.5" thickBot="1">
      <c r="A182" s="785" t="s">
        <v>126</v>
      </c>
      <c r="B182" s="788" t="s">
        <v>665</v>
      </c>
      <c r="C182" s="789"/>
      <c r="D182" s="789"/>
      <c r="E182" s="790"/>
    </row>
    <row r="183" spans="1:5" ht="13.5" thickBot="1">
      <c r="A183" s="786"/>
      <c r="B183" s="791" t="s">
        <v>679</v>
      </c>
      <c r="C183" s="796" t="s">
        <v>666</v>
      </c>
      <c r="D183" s="797"/>
      <c r="E183" s="798"/>
    </row>
    <row r="184" spans="1:5" ht="12.75">
      <c r="A184" s="786"/>
      <c r="B184" s="792"/>
      <c r="C184" s="791" t="str">
        <f>CONCATENATE(TARTALOMJEGYZÉK!$A$1,". előtti tervezett forrás, kiadás")</f>
        <v>2020. előtti tervezett forrás, kiadás</v>
      </c>
      <c r="D184" s="791" t="str">
        <f>CONCATENATE(TARTALOMJEGYZÉK!$A$1,". évi eredeti előirányzat")</f>
        <v>2020. évi eredeti előirányzat</v>
      </c>
      <c r="E184" s="791" t="str">
        <f>CONCATENATE(TARTALOMJEGYZÉK!$A$1,". év utáni tervezett forrás, kiadás")</f>
        <v>2020. év utáni tervezett forrás, kiadás</v>
      </c>
    </row>
    <row r="185" spans="1:5" ht="13.5" thickBot="1">
      <c r="A185" s="787"/>
      <c r="B185" s="793"/>
      <c r="C185" s="799"/>
      <c r="D185" s="799"/>
      <c r="E185" s="793"/>
    </row>
    <row r="186" spans="1:5" ht="13.5" thickBot="1">
      <c r="A186" s="598" t="s">
        <v>482</v>
      </c>
      <c r="B186" s="599" t="s">
        <v>667</v>
      </c>
      <c r="C186" s="600" t="s">
        <v>484</v>
      </c>
      <c r="D186" s="601" t="s">
        <v>486</v>
      </c>
      <c r="E186" s="602" t="s">
        <v>485</v>
      </c>
    </row>
    <row r="187" spans="1:5" ht="12.75">
      <c r="A187" s="603" t="s">
        <v>127</v>
      </c>
      <c r="B187" s="623">
        <f aca="true" t="shared" si="8" ref="B187:B192">C187+D187+E187</f>
        <v>0</v>
      </c>
      <c r="C187" s="624"/>
      <c r="D187" s="624"/>
      <c r="E187" s="625"/>
    </row>
    <row r="188" spans="1:5" ht="12.75">
      <c r="A188" s="604" t="s">
        <v>138</v>
      </c>
      <c r="B188" s="626">
        <f t="shared" si="8"/>
        <v>0</v>
      </c>
      <c r="C188" s="627"/>
      <c r="D188" s="627"/>
      <c r="E188" s="627"/>
    </row>
    <row r="189" spans="1:5" ht="12.75">
      <c r="A189" s="605" t="s">
        <v>128</v>
      </c>
      <c r="B189" s="628">
        <f t="shared" si="8"/>
        <v>0</v>
      </c>
      <c r="C189" s="629"/>
      <c r="D189" s="629"/>
      <c r="E189" s="629"/>
    </row>
    <row r="190" spans="1:5" ht="12.75">
      <c r="A190" s="605" t="s">
        <v>140</v>
      </c>
      <c r="B190" s="628">
        <f t="shared" si="8"/>
        <v>0</v>
      </c>
      <c r="C190" s="629"/>
      <c r="D190" s="629"/>
      <c r="E190" s="629"/>
    </row>
    <row r="191" spans="1:5" ht="12.75">
      <c r="A191" s="605" t="s">
        <v>129</v>
      </c>
      <c r="B191" s="628">
        <f t="shared" si="8"/>
        <v>0</v>
      </c>
      <c r="C191" s="629"/>
      <c r="D191" s="629"/>
      <c r="E191" s="629"/>
    </row>
    <row r="192" spans="1:5" ht="13.5" thickBot="1">
      <c r="A192" s="605" t="s">
        <v>130</v>
      </c>
      <c r="B192" s="628">
        <f t="shared" si="8"/>
        <v>0</v>
      </c>
      <c r="C192" s="629"/>
      <c r="D192" s="629"/>
      <c r="E192" s="629"/>
    </row>
    <row r="193" spans="1:5" ht="13.5" thickBot="1">
      <c r="A193" s="606" t="s">
        <v>131</v>
      </c>
      <c r="B193" s="630">
        <f>B187+SUM(B189:B192)</f>
        <v>0</v>
      </c>
      <c r="C193" s="631">
        <f>C187+SUM(C189:C192)</f>
        <v>0</v>
      </c>
      <c r="D193" s="631">
        <f>D187+SUM(D189:D192)</f>
        <v>0</v>
      </c>
      <c r="E193" s="632">
        <f>E187+SUM(E189:E192)</f>
        <v>0</v>
      </c>
    </row>
    <row r="194" spans="1:5" ht="12.75">
      <c r="A194" s="607" t="s">
        <v>134</v>
      </c>
      <c r="B194" s="623">
        <f>C194+D194+E194</f>
        <v>0</v>
      </c>
      <c r="C194" s="624"/>
      <c r="D194" s="624"/>
      <c r="E194" s="625"/>
    </row>
    <row r="195" spans="1:5" ht="12.75">
      <c r="A195" s="608" t="s">
        <v>135</v>
      </c>
      <c r="B195" s="628">
        <f>C195+D195+E195</f>
        <v>0</v>
      </c>
      <c r="C195" s="629"/>
      <c r="D195" s="629"/>
      <c r="E195" s="629"/>
    </row>
    <row r="196" spans="1:5" ht="12.75">
      <c r="A196" s="608" t="s">
        <v>136</v>
      </c>
      <c r="B196" s="628">
        <f>C196+D196+E196</f>
        <v>0</v>
      </c>
      <c r="C196" s="629"/>
      <c r="D196" s="629"/>
      <c r="E196" s="629"/>
    </row>
    <row r="197" spans="1:5" ht="12.75">
      <c r="A197" s="608" t="s">
        <v>137</v>
      </c>
      <c r="B197" s="628">
        <f>C197+D197+E197</f>
        <v>0</v>
      </c>
      <c r="C197" s="629"/>
      <c r="D197" s="629"/>
      <c r="E197" s="629"/>
    </row>
    <row r="198" spans="1:5" ht="13.5" thickBot="1">
      <c r="A198" s="609"/>
      <c r="B198" s="633">
        <f>C198+D198+E198</f>
        <v>0</v>
      </c>
      <c r="C198" s="634"/>
      <c r="D198" s="634"/>
      <c r="E198" s="635"/>
    </row>
    <row r="199" spans="1:5" ht="13.5" thickBot="1">
      <c r="A199" s="610" t="s">
        <v>109</v>
      </c>
      <c r="B199" s="630">
        <f>SUM(B194:B198)</f>
        <v>0</v>
      </c>
      <c r="C199" s="631">
        <f>SUM(C194:C198)</f>
        <v>0</v>
      </c>
      <c r="D199" s="631">
        <f>SUM(D194:D198)</f>
        <v>0</v>
      </c>
      <c r="E199" s="632">
        <f>SUM(E194:E198)</f>
        <v>0</v>
      </c>
    </row>
    <row r="201" spans="1:5" ht="14.25">
      <c r="A201" s="783" t="s">
        <v>670</v>
      </c>
      <c r="B201" s="783"/>
      <c r="C201" s="784"/>
      <c r="D201" s="784"/>
      <c r="E201" s="784"/>
    </row>
    <row r="202" spans="1:5" ht="15.75" thickBot="1">
      <c r="A202" s="597"/>
      <c r="B202" s="597"/>
      <c r="C202" s="597"/>
      <c r="D202" s="597"/>
      <c r="E202" s="636" t="str">
        <f>$E$3</f>
        <v>2020. utáni szükséglet</v>
      </c>
    </row>
    <row r="203" spans="1:5" ht="13.5" thickBot="1">
      <c r="A203" s="785" t="s">
        <v>126</v>
      </c>
      <c r="B203" s="788" t="s">
        <v>665</v>
      </c>
      <c r="C203" s="789"/>
      <c r="D203" s="789"/>
      <c r="E203" s="790"/>
    </row>
    <row r="204" spans="1:5" ht="13.5" thickBot="1">
      <c r="A204" s="786"/>
      <c r="B204" s="791" t="s">
        <v>679</v>
      </c>
      <c r="C204" s="796" t="s">
        <v>666</v>
      </c>
      <c r="D204" s="797"/>
      <c r="E204" s="798"/>
    </row>
    <row r="205" spans="1:5" ht="12.75">
      <c r="A205" s="786"/>
      <c r="B205" s="792"/>
      <c r="C205" s="791" t="str">
        <f>CONCATENATE(TARTALOMJEGYZÉK!$A$1,". előtti tervezett forrás, kiadás")</f>
        <v>2020. előtti tervezett forrás, kiadás</v>
      </c>
      <c r="D205" s="791" t="str">
        <f>CONCATENATE(TARTALOMJEGYZÉK!$A$1,". évi eredeti előirányzat")</f>
        <v>2020. évi eredeti előirányzat</v>
      </c>
      <c r="E205" s="791" t="str">
        <f>CONCATENATE(TARTALOMJEGYZÉK!$A$1,". év utáni tervezett forrás, kiadás")</f>
        <v>2020. év utáni tervezett forrás, kiadás</v>
      </c>
    </row>
    <row r="206" spans="1:5" ht="13.5" thickBot="1">
      <c r="A206" s="787"/>
      <c r="B206" s="793"/>
      <c r="C206" s="799"/>
      <c r="D206" s="799"/>
      <c r="E206" s="793"/>
    </row>
    <row r="207" spans="1:5" ht="13.5" thickBot="1">
      <c r="A207" s="598" t="s">
        <v>482</v>
      </c>
      <c r="B207" s="599" t="s">
        <v>667</v>
      </c>
      <c r="C207" s="600" t="s">
        <v>484</v>
      </c>
      <c r="D207" s="601" t="s">
        <v>486</v>
      </c>
      <c r="E207" s="602" t="s">
        <v>485</v>
      </c>
    </row>
    <row r="208" spans="1:5" ht="12.75">
      <c r="A208" s="603" t="s">
        <v>127</v>
      </c>
      <c r="B208" s="623">
        <f aca="true" t="shared" si="9" ref="B208:B213">C208+D208+E208</f>
        <v>0</v>
      </c>
      <c r="C208" s="624"/>
      <c r="D208" s="624"/>
      <c r="E208" s="625"/>
    </row>
    <row r="209" spans="1:5" ht="12.75">
      <c r="A209" s="604" t="s">
        <v>138</v>
      </c>
      <c r="B209" s="626">
        <f t="shared" si="9"/>
        <v>0</v>
      </c>
      <c r="C209" s="627"/>
      <c r="D209" s="627"/>
      <c r="E209" s="627"/>
    </row>
    <row r="210" spans="1:5" ht="12.75">
      <c r="A210" s="605" t="s">
        <v>128</v>
      </c>
      <c r="B210" s="628">
        <f t="shared" si="9"/>
        <v>0</v>
      </c>
      <c r="C210" s="629"/>
      <c r="D210" s="629"/>
      <c r="E210" s="629"/>
    </row>
    <row r="211" spans="1:5" ht="12.75">
      <c r="A211" s="605" t="s">
        <v>140</v>
      </c>
      <c r="B211" s="628">
        <f t="shared" si="9"/>
        <v>0</v>
      </c>
      <c r="C211" s="629"/>
      <c r="D211" s="629"/>
      <c r="E211" s="629"/>
    </row>
    <row r="212" spans="1:5" ht="12.75">
      <c r="A212" s="605" t="s">
        <v>129</v>
      </c>
      <c r="B212" s="628">
        <f t="shared" si="9"/>
        <v>0</v>
      </c>
      <c r="C212" s="629"/>
      <c r="D212" s="629"/>
      <c r="E212" s="629"/>
    </row>
    <row r="213" spans="1:5" ht="13.5" thickBot="1">
      <c r="A213" s="605" t="s">
        <v>130</v>
      </c>
      <c r="B213" s="628">
        <f t="shared" si="9"/>
        <v>0</v>
      </c>
      <c r="C213" s="629"/>
      <c r="D213" s="629"/>
      <c r="E213" s="629"/>
    </row>
    <row r="214" spans="1:5" ht="13.5" thickBot="1">
      <c r="A214" s="606" t="s">
        <v>131</v>
      </c>
      <c r="B214" s="630">
        <f>B208+SUM(B210:B213)</f>
        <v>0</v>
      </c>
      <c r="C214" s="631">
        <f>C208+SUM(C210:C213)</f>
        <v>0</v>
      </c>
      <c r="D214" s="631">
        <f>D208+SUM(D210:D213)</f>
        <v>0</v>
      </c>
      <c r="E214" s="632">
        <f>E208+SUM(E210:E213)</f>
        <v>0</v>
      </c>
    </row>
    <row r="215" spans="1:5" ht="12.75">
      <c r="A215" s="607" t="s">
        <v>134</v>
      </c>
      <c r="B215" s="623">
        <f>C215+D215+E215</f>
        <v>0</v>
      </c>
      <c r="C215" s="624"/>
      <c r="D215" s="624"/>
      <c r="E215" s="625"/>
    </row>
    <row r="216" spans="1:5" ht="12.75">
      <c r="A216" s="608" t="s">
        <v>135</v>
      </c>
      <c r="B216" s="628">
        <f>C216+D216+E216</f>
        <v>0</v>
      </c>
      <c r="C216" s="629"/>
      <c r="D216" s="629"/>
      <c r="E216" s="629"/>
    </row>
    <row r="217" spans="1:5" ht="12.75">
      <c r="A217" s="608" t="s">
        <v>136</v>
      </c>
      <c r="B217" s="628">
        <f>C217+D217+E217</f>
        <v>0</v>
      </c>
      <c r="C217" s="629"/>
      <c r="D217" s="629"/>
      <c r="E217" s="629"/>
    </row>
    <row r="218" spans="1:5" ht="12.75">
      <c r="A218" s="608" t="s">
        <v>137</v>
      </c>
      <c r="B218" s="628">
        <f>C218+D218+E218</f>
        <v>0</v>
      </c>
      <c r="C218" s="629"/>
      <c r="D218" s="629"/>
      <c r="E218" s="629"/>
    </row>
    <row r="219" spans="1:5" ht="13.5" thickBot="1">
      <c r="A219" s="609"/>
      <c r="B219" s="633">
        <f>C219+D219+E219</f>
        <v>0</v>
      </c>
      <c r="C219" s="634"/>
      <c r="D219" s="634"/>
      <c r="E219" s="635"/>
    </row>
    <row r="220" spans="1:5" ht="13.5" thickBot="1">
      <c r="A220" s="610" t="s">
        <v>109</v>
      </c>
      <c r="B220" s="630">
        <f>SUM(B215:B219)</f>
        <v>0</v>
      </c>
      <c r="C220" s="631">
        <f>SUM(C215:C219)</f>
        <v>0</v>
      </c>
      <c r="D220" s="631">
        <f>SUM(D215:D219)</f>
        <v>0</v>
      </c>
      <c r="E220" s="632">
        <f>SUM(E215:E219)</f>
        <v>0</v>
      </c>
    </row>
  </sheetData>
  <sheetProtection/>
  <mergeCells count="99">
    <mergeCell ref="A201:B201"/>
    <mergeCell ref="C201:E201"/>
    <mergeCell ref="A203:A206"/>
    <mergeCell ref="B203:E203"/>
    <mergeCell ref="B204:B206"/>
    <mergeCell ref="C204:E204"/>
    <mergeCell ref="C205:C206"/>
    <mergeCell ref="D205:D206"/>
    <mergeCell ref="E205:E206"/>
    <mergeCell ref="A180:B180"/>
    <mergeCell ref="C180:E180"/>
    <mergeCell ref="A182:A185"/>
    <mergeCell ref="B182:E182"/>
    <mergeCell ref="B183:B185"/>
    <mergeCell ref="C183:E183"/>
    <mergeCell ref="C184:C185"/>
    <mergeCell ref="D184:D185"/>
    <mergeCell ref="E184:E185"/>
    <mergeCell ref="A159:B159"/>
    <mergeCell ref="C159:E159"/>
    <mergeCell ref="A161:A164"/>
    <mergeCell ref="B161:E161"/>
    <mergeCell ref="B162:B164"/>
    <mergeCell ref="C162:E162"/>
    <mergeCell ref="C163:C164"/>
    <mergeCell ref="D163:D164"/>
    <mergeCell ref="E163:E164"/>
    <mergeCell ref="A138:B138"/>
    <mergeCell ref="C138:E138"/>
    <mergeCell ref="A140:A143"/>
    <mergeCell ref="B140:E140"/>
    <mergeCell ref="B141:B143"/>
    <mergeCell ref="C141:E141"/>
    <mergeCell ref="C142:C143"/>
    <mergeCell ref="D142:D143"/>
    <mergeCell ref="E142:E143"/>
    <mergeCell ref="A117:B117"/>
    <mergeCell ref="C117:E117"/>
    <mergeCell ref="A119:A122"/>
    <mergeCell ref="B119:E119"/>
    <mergeCell ref="B120:B122"/>
    <mergeCell ref="C120:E120"/>
    <mergeCell ref="C121:C122"/>
    <mergeCell ref="D121:D122"/>
    <mergeCell ref="E121:E122"/>
    <mergeCell ref="A96:B96"/>
    <mergeCell ref="C96:E96"/>
    <mergeCell ref="A98:A101"/>
    <mergeCell ref="B98:E98"/>
    <mergeCell ref="B99:B101"/>
    <mergeCell ref="C99:E99"/>
    <mergeCell ref="C100:C101"/>
    <mergeCell ref="D100:D101"/>
    <mergeCell ref="E100:E101"/>
    <mergeCell ref="A75:B75"/>
    <mergeCell ref="C75:E75"/>
    <mergeCell ref="A77:A80"/>
    <mergeCell ref="B77:E77"/>
    <mergeCell ref="B78:B80"/>
    <mergeCell ref="C78:E78"/>
    <mergeCell ref="C79:C80"/>
    <mergeCell ref="D79:D80"/>
    <mergeCell ref="E79:E80"/>
    <mergeCell ref="F1:F31"/>
    <mergeCell ref="A54:B54"/>
    <mergeCell ref="C54:E54"/>
    <mergeCell ref="A56:A59"/>
    <mergeCell ref="B56:E56"/>
    <mergeCell ref="B57:B59"/>
    <mergeCell ref="C57:E57"/>
    <mergeCell ref="C58:C59"/>
    <mergeCell ref="D58:D59"/>
    <mergeCell ref="E58:E59"/>
    <mergeCell ref="A33:B33"/>
    <mergeCell ref="C33:E33"/>
    <mergeCell ref="A35:A38"/>
    <mergeCell ref="B35:E35"/>
    <mergeCell ref="B36:B38"/>
    <mergeCell ref="C36:E36"/>
    <mergeCell ref="C37:C38"/>
    <mergeCell ref="D37:D38"/>
    <mergeCell ref="E37:E38"/>
    <mergeCell ref="B13:E13"/>
    <mergeCell ref="B14:B16"/>
    <mergeCell ref="A10:E10"/>
    <mergeCell ref="C14:E14"/>
    <mergeCell ref="C15:C16"/>
    <mergeCell ref="D15:D16"/>
    <mergeCell ref="E15:E16"/>
    <mergeCell ref="A2:E2"/>
    <mergeCell ref="A4:D4"/>
    <mergeCell ref="A5:D5"/>
    <mergeCell ref="A6:D6"/>
    <mergeCell ref="A7:D7"/>
    <mergeCell ref="A31:E31"/>
    <mergeCell ref="A9:E9"/>
    <mergeCell ref="A11:B11"/>
    <mergeCell ref="C11:E11"/>
    <mergeCell ref="A13:A1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rowBreaks count="9" manualBreakCount="9">
    <brk id="32" max="255" man="1"/>
    <brk id="53" max="255" man="1"/>
    <brk id="74" max="255" man="1"/>
    <brk id="95" max="255" man="1"/>
    <brk id="116" max="255" man="1"/>
    <brk id="137" max="255" man="1"/>
    <brk id="158" max="255" man="1"/>
    <brk id="179" max="255" man="1"/>
    <brk id="20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179"/>
  <sheetViews>
    <sheetView zoomScale="120" zoomScaleNormal="120" zoomScaleSheetLayoutView="85" workbookViewId="0" topLeftCell="A135">
      <selection activeCell="A1" sqref="A1:C159"/>
    </sheetView>
  </sheetViews>
  <sheetFormatPr defaultColWidth="9.00390625" defaultRowHeight="12.75"/>
  <cols>
    <col min="1" max="1" width="19.50390625" style="330" customWidth="1"/>
    <col min="2" max="2" width="72.00390625" style="331" customWidth="1"/>
    <col min="3" max="3" width="25.00390625" style="332" customWidth="1"/>
    <col min="4" max="4" width="17.375" style="3" customWidth="1"/>
    <col min="5" max="16384" width="9.375" style="3" customWidth="1"/>
  </cols>
  <sheetData>
    <row r="1" spans="1:3" s="2" customFormat="1" ht="16.5" customHeight="1" thickBot="1">
      <c r="A1" s="526"/>
      <c r="B1" s="527"/>
      <c r="C1" s="523" t="s">
        <v>766</v>
      </c>
    </row>
    <row r="2" spans="1:3" s="63" customFormat="1" ht="21" customHeight="1">
      <c r="A2" s="528" t="s">
        <v>60</v>
      </c>
      <c r="B2" s="529" t="str">
        <f>CONCATENATE(ALAPADATOK!A3)</f>
        <v>Karácsond Községi Önkormányzat</v>
      </c>
      <c r="C2" s="530" t="s">
        <v>53</v>
      </c>
    </row>
    <row r="3" spans="1:3" s="63" customFormat="1" ht="16.5" thickBot="1">
      <c r="A3" s="531" t="s">
        <v>195</v>
      </c>
      <c r="B3" s="532" t="s">
        <v>388</v>
      </c>
      <c r="C3" s="533" t="s">
        <v>53</v>
      </c>
    </row>
    <row r="4" spans="1:3" s="64" customFormat="1" ht="22.5" customHeight="1" thickBot="1">
      <c r="A4" s="534"/>
      <c r="B4" s="534"/>
      <c r="C4" s="535" t="s">
        <v>740</v>
      </c>
    </row>
    <row r="5" spans="1:3" ht="13.5" thickBot="1">
      <c r="A5" s="536" t="s">
        <v>197</v>
      </c>
      <c r="B5" s="537" t="s">
        <v>550</v>
      </c>
      <c r="C5" s="538" t="s">
        <v>54</v>
      </c>
    </row>
    <row r="6" spans="1:3" s="43" customFormat="1" ht="12.75" customHeight="1" thickBot="1">
      <c r="A6" s="539"/>
      <c r="B6" s="540" t="s">
        <v>482</v>
      </c>
      <c r="C6" s="541" t="s">
        <v>483</v>
      </c>
    </row>
    <row r="7" spans="1:3" s="43" customFormat="1" ht="15.75" customHeight="1" thickBot="1">
      <c r="A7" s="542"/>
      <c r="B7" s="543" t="s">
        <v>55</v>
      </c>
      <c r="C7" s="544"/>
    </row>
    <row r="8" spans="1:3" s="43" customFormat="1" ht="12" customHeight="1" thickBot="1">
      <c r="A8" s="29" t="s">
        <v>18</v>
      </c>
      <c r="B8" s="21" t="s">
        <v>244</v>
      </c>
      <c r="C8" s="241">
        <f>+C9+C10+C11+C12+C13+C14</f>
        <v>180353584</v>
      </c>
    </row>
    <row r="9" spans="1:4" s="65" customFormat="1" ht="12" customHeight="1">
      <c r="A9" s="373" t="s">
        <v>97</v>
      </c>
      <c r="B9" s="354" t="s">
        <v>245</v>
      </c>
      <c r="C9" s="244">
        <v>82994587</v>
      </c>
      <c r="D9" s="65">
        <v>62271454</v>
      </c>
    </row>
    <row r="10" spans="1:3" s="66" customFormat="1" ht="12" customHeight="1">
      <c r="A10" s="374" t="s">
        <v>98</v>
      </c>
      <c r="B10" s="355" t="s">
        <v>246</v>
      </c>
      <c r="C10" s="243">
        <v>61353950</v>
      </c>
    </row>
    <row r="11" spans="1:3" s="66" customFormat="1" ht="12" customHeight="1">
      <c r="A11" s="374" t="s">
        <v>99</v>
      </c>
      <c r="B11" s="355" t="s">
        <v>538</v>
      </c>
      <c r="C11" s="243">
        <v>32277067</v>
      </c>
    </row>
    <row r="12" spans="1:3" s="66" customFormat="1" ht="12" customHeight="1">
      <c r="A12" s="374" t="s">
        <v>100</v>
      </c>
      <c r="B12" s="355" t="s">
        <v>248</v>
      </c>
      <c r="C12" s="243">
        <v>3727980</v>
      </c>
    </row>
    <row r="13" spans="1:3" s="66" customFormat="1" ht="12" customHeight="1">
      <c r="A13" s="374" t="s">
        <v>141</v>
      </c>
      <c r="B13" s="355" t="s">
        <v>495</v>
      </c>
      <c r="C13" s="243"/>
    </row>
    <row r="14" spans="1:3" s="65" customFormat="1" ht="12" customHeight="1" thickBot="1">
      <c r="A14" s="375" t="s">
        <v>101</v>
      </c>
      <c r="B14" s="486" t="s">
        <v>562</v>
      </c>
      <c r="C14" s="243"/>
    </row>
    <row r="15" spans="1:3" s="65" customFormat="1" ht="12" customHeight="1" thickBot="1">
      <c r="A15" s="29" t="s">
        <v>19</v>
      </c>
      <c r="B15" s="236" t="s">
        <v>249</v>
      </c>
      <c r="C15" s="241">
        <f>+C16+C17+C18+C19+C20</f>
        <v>22455065</v>
      </c>
    </row>
    <row r="16" spans="1:3" s="65" customFormat="1" ht="12" customHeight="1">
      <c r="A16" s="373" t="s">
        <v>103</v>
      </c>
      <c r="B16" s="354" t="s">
        <v>250</v>
      </c>
      <c r="C16" s="244"/>
    </row>
    <row r="17" spans="1:3" s="65" customFormat="1" ht="12" customHeight="1">
      <c r="A17" s="374" t="s">
        <v>104</v>
      </c>
      <c r="B17" s="355" t="s">
        <v>251</v>
      </c>
      <c r="C17" s="243"/>
    </row>
    <row r="18" spans="1:3" s="65" customFormat="1" ht="12" customHeight="1">
      <c r="A18" s="374" t="s">
        <v>105</v>
      </c>
      <c r="B18" s="355" t="s">
        <v>411</v>
      </c>
      <c r="C18" s="243"/>
    </row>
    <row r="19" spans="1:3" s="65" customFormat="1" ht="12" customHeight="1">
      <c r="A19" s="374" t="s">
        <v>106</v>
      </c>
      <c r="B19" s="355" t="s">
        <v>412</v>
      </c>
      <c r="C19" s="243"/>
    </row>
    <row r="20" spans="1:3" s="65" customFormat="1" ht="12" customHeight="1">
      <c r="A20" s="374" t="s">
        <v>107</v>
      </c>
      <c r="B20" s="355" t="s">
        <v>252</v>
      </c>
      <c r="C20" s="243">
        <v>22455065</v>
      </c>
    </row>
    <row r="21" spans="1:3" s="66" customFormat="1" ht="12" customHeight="1" thickBot="1">
      <c r="A21" s="375" t="s">
        <v>116</v>
      </c>
      <c r="B21" s="486" t="s">
        <v>563</v>
      </c>
      <c r="C21" s="245"/>
    </row>
    <row r="22" spans="1:3" s="66" customFormat="1" ht="12" customHeight="1" thickBot="1">
      <c r="A22" s="29" t="s">
        <v>20</v>
      </c>
      <c r="B22" s="21" t="s">
        <v>254</v>
      </c>
      <c r="C22" s="241">
        <f>+C23+C24+C25+C26+C27</f>
        <v>4999992</v>
      </c>
    </row>
    <row r="23" spans="1:3" s="66" customFormat="1" ht="12" customHeight="1">
      <c r="A23" s="373" t="s">
        <v>86</v>
      </c>
      <c r="B23" s="354" t="s">
        <v>255</v>
      </c>
      <c r="C23" s="244"/>
    </row>
    <row r="24" spans="1:3" s="65" customFormat="1" ht="12" customHeight="1">
      <c r="A24" s="374" t="s">
        <v>87</v>
      </c>
      <c r="B24" s="355" t="s">
        <v>256</v>
      </c>
      <c r="C24" s="243"/>
    </row>
    <row r="25" spans="1:3" s="66" customFormat="1" ht="12" customHeight="1">
      <c r="A25" s="374" t="s">
        <v>88</v>
      </c>
      <c r="B25" s="355" t="s">
        <v>413</v>
      </c>
      <c r="C25" s="243"/>
    </row>
    <row r="26" spans="1:3" s="66" customFormat="1" ht="12" customHeight="1">
      <c r="A26" s="374" t="s">
        <v>89</v>
      </c>
      <c r="B26" s="355" t="s">
        <v>414</v>
      </c>
      <c r="C26" s="243"/>
    </row>
    <row r="27" spans="1:3" s="66" customFormat="1" ht="12" customHeight="1">
      <c r="A27" s="374" t="s">
        <v>164</v>
      </c>
      <c r="B27" s="355" t="s">
        <v>257</v>
      </c>
      <c r="C27" s="243">
        <v>4999992</v>
      </c>
    </row>
    <row r="28" spans="1:3" s="66" customFormat="1" ht="12" customHeight="1" thickBot="1">
      <c r="A28" s="375" t="s">
        <v>165</v>
      </c>
      <c r="B28" s="486" t="s">
        <v>555</v>
      </c>
      <c r="C28" s="487"/>
    </row>
    <row r="29" spans="1:3" s="66" customFormat="1" ht="12" customHeight="1" thickBot="1">
      <c r="A29" s="29" t="s">
        <v>166</v>
      </c>
      <c r="B29" s="21" t="s">
        <v>547</v>
      </c>
      <c r="C29" s="247">
        <f>C30+C31+C32+C33+C34+C35+C36</f>
        <v>73000000</v>
      </c>
    </row>
    <row r="30" spans="1:3" s="66" customFormat="1" ht="12" customHeight="1">
      <c r="A30" s="373" t="s">
        <v>260</v>
      </c>
      <c r="B30" s="354" t="s">
        <v>739</v>
      </c>
      <c r="C30" s="244">
        <v>500000</v>
      </c>
    </row>
    <row r="31" spans="1:3" s="66" customFormat="1" ht="12" customHeight="1">
      <c r="A31" s="374" t="s">
        <v>261</v>
      </c>
      <c r="B31" s="354" t="str">
        <f>'Össz.ÖNK'!B33</f>
        <v>Idegenforgalmi adó</v>
      </c>
      <c r="C31" s="243"/>
    </row>
    <row r="32" spans="1:3" s="66" customFormat="1" ht="12" customHeight="1">
      <c r="A32" s="374" t="s">
        <v>262</v>
      </c>
      <c r="B32" s="354" t="str">
        <f>'Össz.ÖNK'!B34</f>
        <v>Iparűzési adó</v>
      </c>
      <c r="C32" s="243">
        <v>62000000</v>
      </c>
    </row>
    <row r="33" spans="1:3" s="66" customFormat="1" ht="12" customHeight="1">
      <c r="A33" s="374" t="s">
        <v>263</v>
      </c>
      <c r="B33" s="354" t="str">
        <f>'Össz.ÖNK'!B35</f>
        <v>Talajterhelési díj</v>
      </c>
      <c r="C33" s="243">
        <v>2000000</v>
      </c>
    </row>
    <row r="34" spans="1:3" s="66" customFormat="1" ht="12" customHeight="1">
      <c r="A34" s="374" t="s">
        <v>540</v>
      </c>
      <c r="B34" s="354" t="str">
        <f>'Össz.ÖNK'!B36</f>
        <v>Gépjárműadó</v>
      </c>
      <c r="C34" s="243"/>
    </row>
    <row r="35" spans="1:3" s="66" customFormat="1" ht="12" customHeight="1">
      <c r="A35" s="374" t="s">
        <v>541</v>
      </c>
      <c r="B35" s="354" t="s">
        <v>738</v>
      </c>
      <c r="C35" s="243">
        <v>1000000</v>
      </c>
    </row>
    <row r="36" spans="1:3" s="66" customFormat="1" ht="12" customHeight="1" thickBot="1">
      <c r="A36" s="375" t="s">
        <v>542</v>
      </c>
      <c r="B36" s="354" t="str">
        <f>'Össz.ÖNK'!B38</f>
        <v>Kommunális adó</v>
      </c>
      <c r="C36" s="245">
        <v>7500000</v>
      </c>
    </row>
    <row r="37" spans="1:3" s="66" customFormat="1" ht="12" customHeight="1" thickBot="1">
      <c r="A37" s="29" t="s">
        <v>22</v>
      </c>
      <c r="B37" s="21" t="s">
        <v>423</v>
      </c>
      <c r="C37" s="241">
        <f>SUM(C38:C48)</f>
        <v>4000000</v>
      </c>
    </row>
    <row r="38" spans="1:3" s="66" customFormat="1" ht="12" customHeight="1">
      <c r="A38" s="373" t="s">
        <v>90</v>
      </c>
      <c r="B38" s="354" t="s">
        <v>267</v>
      </c>
      <c r="C38" s="244"/>
    </row>
    <row r="39" spans="1:3" s="66" customFormat="1" ht="12" customHeight="1">
      <c r="A39" s="374" t="s">
        <v>91</v>
      </c>
      <c r="B39" s="355" t="s">
        <v>268</v>
      </c>
      <c r="C39" s="243"/>
    </row>
    <row r="40" spans="1:3" s="66" customFormat="1" ht="12" customHeight="1">
      <c r="A40" s="374" t="s">
        <v>92</v>
      </c>
      <c r="B40" s="355" t="s">
        <v>269</v>
      </c>
      <c r="C40" s="243"/>
    </row>
    <row r="41" spans="1:3" s="66" customFormat="1" ht="12" customHeight="1">
      <c r="A41" s="374" t="s">
        <v>168</v>
      </c>
      <c r="B41" s="355" t="s">
        <v>270</v>
      </c>
      <c r="C41" s="243">
        <v>2500000</v>
      </c>
    </row>
    <row r="42" spans="1:3" s="66" customFormat="1" ht="12" customHeight="1">
      <c r="A42" s="374" t="s">
        <v>169</v>
      </c>
      <c r="B42" s="355" t="s">
        <v>271</v>
      </c>
      <c r="C42" s="243"/>
    </row>
    <row r="43" spans="1:3" s="66" customFormat="1" ht="12" customHeight="1">
      <c r="A43" s="374" t="s">
        <v>170</v>
      </c>
      <c r="B43" s="355" t="s">
        <v>272</v>
      </c>
      <c r="C43" s="243"/>
    </row>
    <row r="44" spans="1:3" s="66" customFormat="1" ht="12" customHeight="1">
      <c r="A44" s="374" t="s">
        <v>171</v>
      </c>
      <c r="B44" s="355" t="s">
        <v>273</v>
      </c>
      <c r="C44" s="243"/>
    </row>
    <row r="45" spans="1:3" s="66" customFormat="1" ht="12" customHeight="1">
      <c r="A45" s="374" t="s">
        <v>172</v>
      </c>
      <c r="B45" s="355" t="s">
        <v>546</v>
      </c>
      <c r="C45" s="243"/>
    </row>
    <row r="46" spans="1:3" s="66" customFormat="1" ht="12" customHeight="1">
      <c r="A46" s="374" t="s">
        <v>265</v>
      </c>
      <c r="B46" s="355" t="s">
        <v>275</v>
      </c>
      <c r="C46" s="246"/>
    </row>
    <row r="47" spans="1:3" s="66" customFormat="1" ht="12" customHeight="1">
      <c r="A47" s="375" t="s">
        <v>266</v>
      </c>
      <c r="B47" s="356" t="s">
        <v>425</v>
      </c>
      <c r="C47" s="343"/>
    </row>
    <row r="48" spans="1:3" s="66" customFormat="1" ht="12" customHeight="1" thickBot="1">
      <c r="A48" s="375" t="s">
        <v>424</v>
      </c>
      <c r="B48" s="486" t="s">
        <v>564</v>
      </c>
      <c r="C48" s="489">
        <v>1500000</v>
      </c>
    </row>
    <row r="49" spans="1:3" s="66" customFormat="1" ht="12" customHeight="1" thickBot="1">
      <c r="A49" s="29" t="s">
        <v>23</v>
      </c>
      <c r="B49" s="21" t="s">
        <v>277</v>
      </c>
      <c r="C49" s="241">
        <f>SUM(C50:C54)</f>
        <v>0</v>
      </c>
    </row>
    <row r="50" spans="1:3" s="66" customFormat="1" ht="12" customHeight="1">
      <c r="A50" s="373" t="s">
        <v>93</v>
      </c>
      <c r="B50" s="354" t="s">
        <v>281</v>
      </c>
      <c r="C50" s="398"/>
    </row>
    <row r="51" spans="1:3" s="66" customFormat="1" ht="12" customHeight="1">
      <c r="A51" s="374" t="s">
        <v>94</v>
      </c>
      <c r="B51" s="355" t="s">
        <v>282</v>
      </c>
      <c r="C51" s="246"/>
    </row>
    <row r="52" spans="1:3" s="66" customFormat="1" ht="12" customHeight="1">
      <c r="A52" s="374" t="s">
        <v>278</v>
      </c>
      <c r="B52" s="355" t="s">
        <v>283</v>
      </c>
      <c r="C52" s="246"/>
    </row>
    <row r="53" spans="1:3" s="66" customFormat="1" ht="12" customHeight="1">
      <c r="A53" s="374" t="s">
        <v>279</v>
      </c>
      <c r="B53" s="355" t="s">
        <v>284</v>
      </c>
      <c r="C53" s="246"/>
    </row>
    <row r="54" spans="1:3" s="66" customFormat="1" ht="12" customHeight="1" thickBot="1">
      <c r="A54" s="375" t="s">
        <v>280</v>
      </c>
      <c r="B54" s="356" t="s">
        <v>285</v>
      </c>
      <c r="C54" s="343"/>
    </row>
    <row r="55" spans="1:3" s="66" customFormat="1" ht="12" customHeight="1" thickBot="1">
      <c r="A55" s="29" t="s">
        <v>173</v>
      </c>
      <c r="B55" s="21" t="s">
        <v>286</v>
      </c>
      <c r="C55" s="241">
        <f>SUM(C56:C58)</f>
        <v>16428828</v>
      </c>
    </row>
    <row r="56" spans="1:3" s="66" customFormat="1" ht="12" customHeight="1">
      <c r="A56" s="373" t="s">
        <v>95</v>
      </c>
      <c r="B56" s="354" t="s">
        <v>287</v>
      </c>
      <c r="C56" s="244"/>
    </row>
    <row r="57" spans="1:3" s="66" customFormat="1" ht="12" customHeight="1">
      <c r="A57" s="374" t="s">
        <v>96</v>
      </c>
      <c r="B57" s="355" t="s">
        <v>415</v>
      </c>
      <c r="C57" s="243"/>
    </row>
    <row r="58" spans="1:3" s="66" customFormat="1" ht="12" customHeight="1">
      <c r="A58" s="374" t="s">
        <v>290</v>
      </c>
      <c r="B58" s="355" t="s">
        <v>288</v>
      </c>
      <c r="C58" s="243">
        <v>16428828</v>
      </c>
    </row>
    <row r="59" spans="1:3" s="66" customFormat="1" ht="12" customHeight="1" thickBot="1">
      <c r="A59" s="375" t="s">
        <v>291</v>
      </c>
      <c r="B59" s="356" t="s">
        <v>289</v>
      </c>
      <c r="C59" s="245"/>
    </row>
    <row r="60" spans="1:3" s="66" customFormat="1" ht="12" customHeight="1" thickBot="1">
      <c r="A60" s="29" t="s">
        <v>25</v>
      </c>
      <c r="B60" s="236" t="s">
        <v>292</v>
      </c>
      <c r="C60" s="241">
        <f>SUM(C61:C63)</f>
        <v>1758395</v>
      </c>
    </row>
    <row r="61" spans="1:3" s="66" customFormat="1" ht="12" customHeight="1">
      <c r="A61" s="373" t="s">
        <v>174</v>
      </c>
      <c r="B61" s="354" t="s">
        <v>294</v>
      </c>
      <c r="C61" s="246"/>
    </row>
    <row r="62" spans="1:3" s="66" customFormat="1" ht="12" customHeight="1">
      <c r="A62" s="374" t="s">
        <v>175</v>
      </c>
      <c r="B62" s="355" t="s">
        <v>416</v>
      </c>
      <c r="C62" s="246">
        <v>1758395</v>
      </c>
    </row>
    <row r="63" spans="1:3" s="66" customFormat="1" ht="12" customHeight="1">
      <c r="A63" s="374" t="s">
        <v>223</v>
      </c>
      <c r="B63" s="355" t="s">
        <v>295</v>
      </c>
      <c r="C63" s="246"/>
    </row>
    <row r="64" spans="1:3" s="66" customFormat="1" ht="12" customHeight="1" thickBot="1">
      <c r="A64" s="375" t="s">
        <v>293</v>
      </c>
      <c r="B64" s="356" t="s">
        <v>296</v>
      </c>
      <c r="C64" s="246"/>
    </row>
    <row r="65" spans="1:3" s="66" customFormat="1" ht="12" customHeight="1" thickBot="1">
      <c r="A65" s="29" t="s">
        <v>26</v>
      </c>
      <c r="B65" s="21" t="s">
        <v>297</v>
      </c>
      <c r="C65" s="247">
        <f>+C8+C15+C22+C29+C37+C49+C55+C60</f>
        <v>302995864</v>
      </c>
    </row>
    <row r="66" spans="1:3" s="66" customFormat="1" ht="12" customHeight="1" thickBot="1">
      <c r="A66" s="376" t="s">
        <v>384</v>
      </c>
      <c r="B66" s="236" t="s">
        <v>299</v>
      </c>
      <c r="C66" s="241">
        <f>SUM(C67:C69)</f>
        <v>0</v>
      </c>
    </row>
    <row r="67" spans="1:3" s="66" customFormat="1" ht="12" customHeight="1">
      <c r="A67" s="373" t="s">
        <v>327</v>
      </c>
      <c r="B67" s="354" t="s">
        <v>300</v>
      </c>
      <c r="C67" s="246"/>
    </row>
    <row r="68" spans="1:3" s="66" customFormat="1" ht="12" customHeight="1">
      <c r="A68" s="374" t="s">
        <v>336</v>
      </c>
      <c r="B68" s="355" t="s">
        <v>301</v>
      </c>
      <c r="C68" s="246"/>
    </row>
    <row r="69" spans="1:3" s="66" customFormat="1" ht="12" customHeight="1" thickBot="1">
      <c r="A69" s="375" t="s">
        <v>337</v>
      </c>
      <c r="B69" s="357" t="s">
        <v>450</v>
      </c>
      <c r="C69" s="246"/>
    </row>
    <row r="70" spans="1:3" s="66" customFormat="1" ht="12" customHeight="1" thickBot="1">
      <c r="A70" s="376" t="s">
        <v>303</v>
      </c>
      <c r="B70" s="236" t="s">
        <v>304</v>
      </c>
      <c r="C70" s="241">
        <f>SUM(C71:C74)</f>
        <v>0</v>
      </c>
    </row>
    <row r="71" spans="1:3" s="66" customFormat="1" ht="12" customHeight="1">
      <c r="A71" s="373" t="s">
        <v>142</v>
      </c>
      <c r="B71" s="354" t="s">
        <v>305</v>
      </c>
      <c r="C71" s="246"/>
    </row>
    <row r="72" spans="1:3" s="66" customFormat="1" ht="12" customHeight="1">
      <c r="A72" s="374" t="s">
        <v>143</v>
      </c>
      <c r="B72" s="355" t="s">
        <v>557</v>
      </c>
      <c r="C72" s="246"/>
    </row>
    <row r="73" spans="1:3" s="66" customFormat="1" ht="12" customHeight="1">
      <c r="A73" s="374" t="s">
        <v>328</v>
      </c>
      <c r="B73" s="355" t="s">
        <v>306</v>
      </c>
      <c r="C73" s="246"/>
    </row>
    <row r="74" spans="1:3" s="66" customFormat="1" ht="12" customHeight="1">
      <c r="A74" s="374" t="s">
        <v>329</v>
      </c>
      <c r="B74" s="237" t="s">
        <v>558</v>
      </c>
      <c r="C74" s="246"/>
    </row>
    <row r="75" spans="1:3" s="66" customFormat="1" ht="12" customHeight="1" thickBot="1">
      <c r="A75" s="380" t="s">
        <v>307</v>
      </c>
      <c r="B75" s="508" t="s">
        <v>308</v>
      </c>
      <c r="C75" s="417">
        <f>SUM(C76:C77)</f>
        <v>289232439</v>
      </c>
    </row>
    <row r="76" spans="1:3" s="66" customFormat="1" ht="12" customHeight="1">
      <c r="A76" s="373" t="s">
        <v>330</v>
      </c>
      <c r="B76" s="354" t="s">
        <v>309</v>
      </c>
      <c r="C76" s="246">
        <v>289232439</v>
      </c>
    </row>
    <row r="77" spans="1:3" s="66" customFormat="1" ht="12" customHeight="1" thickBot="1">
      <c r="A77" s="375" t="s">
        <v>331</v>
      </c>
      <c r="B77" s="356" t="s">
        <v>310</v>
      </c>
      <c r="C77" s="246"/>
    </row>
    <row r="78" spans="1:3" s="65" customFormat="1" ht="12" customHeight="1" thickBot="1">
      <c r="A78" s="376" t="s">
        <v>311</v>
      </c>
      <c r="B78" s="236" t="s">
        <v>312</v>
      </c>
      <c r="C78" s="241">
        <f>SUM(C79:C81)</f>
        <v>0</v>
      </c>
    </row>
    <row r="79" spans="1:3" s="66" customFormat="1" ht="12" customHeight="1">
      <c r="A79" s="373" t="s">
        <v>332</v>
      </c>
      <c r="B79" s="354" t="s">
        <v>313</v>
      </c>
      <c r="C79" s="246"/>
    </row>
    <row r="80" spans="1:3" s="66" customFormat="1" ht="12" customHeight="1">
      <c r="A80" s="374" t="s">
        <v>333</v>
      </c>
      <c r="B80" s="355" t="s">
        <v>314</v>
      </c>
      <c r="C80" s="246"/>
    </row>
    <row r="81" spans="1:3" s="66" customFormat="1" ht="12" customHeight="1" thickBot="1">
      <c r="A81" s="375" t="s">
        <v>334</v>
      </c>
      <c r="B81" s="356" t="s">
        <v>559</v>
      </c>
      <c r="C81" s="246"/>
    </row>
    <row r="82" spans="1:3" s="66" customFormat="1" ht="12" customHeight="1" thickBot="1">
      <c r="A82" s="376" t="s">
        <v>315</v>
      </c>
      <c r="B82" s="236" t="s">
        <v>335</v>
      </c>
      <c r="C82" s="241">
        <f>SUM(C83:C86)</f>
        <v>0</v>
      </c>
    </row>
    <row r="83" spans="1:3" s="66" customFormat="1" ht="12" customHeight="1">
      <c r="A83" s="377" t="s">
        <v>316</v>
      </c>
      <c r="B83" s="354" t="s">
        <v>317</v>
      </c>
      <c r="C83" s="246"/>
    </row>
    <row r="84" spans="1:3" s="66" customFormat="1" ht="12" customHeight="1">
      <c r="A84" s="378" t="s">
        <v>318</v>
      </c>
      <c r="B84" s="355" t="s">
        <v>319</v>
      </c>
      <c r="C84" s="246"/>
    </row>
    <row r="85" spans="1:3" s="66" customFormat="1" ht="12" customHeight="1">
      <c r="A85" s="378" t="s">
        <v>320</v>
      </c>
      <c r="B85" s="355" t="s">
        <v>321</v>
      </c>
      <c r="C85" s="246"/>
    </row>
    <row r="86" spans="1:3" s="65" customFormat="1" ht="12" customHeight="1" thickBot="1">
      <c r="A86" s="379" t="s">
        <v>322</v>
      </c>
      <c r="B86" s="356" t="s">
        <v>323</v>
      </c>
      <c r="C86" s="246"/>
    </row>
    <row r="87" spans="1:3" s="65" customFormat="1" ht="12" customHeight="1" thickBot="1">
      <c r="A87" s="376" t="s">
        <v>324</v>
      </c>
      <c r="B87" s="236" t="s">
        <v>464</v>
      </c>
      <c r="C87" s="399"/>
    </row>
    <row r="88" spans="1:3" s="65" customFormat="1" ht="12" customHeight="1" thickBot="1">
      <c r="A88" s="376" t="s">
        <v>496</v>
      </c>
      <c r="B88" s="236" t="s">
        <v>325</v>
      </c>
      <c r="C88" s="399"/>
    </row>
    <row r="89" spans="1:3" s="65" customFormat="1" ht="12" customHeight="1" thickBot="1">
      <c r="A89" s="376" t="s">
        <v>497</v>
      </c>
      <c r="B89" s="361" t="s">
        <v>467</v>
      </c>
      <c r="C89" s="247">
        <f>+C66+C70+C75+C78+C82+C88+C87</f>
        <v>289232439</v>
      </c>
    </row>
    <row r="90" spans="1:3" s="65" customFormat="1" ht="12" customHeight="1" thickBot="1">
      <c r="A90" s="380" t="s">
        <v>498</v>
      </c>
      <c r="B90" s="362" t="s">
        <v>499</v>
      </c>
      <c r="C90" s="247">
        <f>+C65+C89</f>
        <v>592228303</v>
      </c>
    </row>
    <row r="91" spans="1:3" s="66" customFormat="1" ht="6.75" customHeight="1" thickBot="1">
      <c r="A91" s="181"/>
      <c r="B91" s="182"/>
      <c r="C91" s="306"/>
    </row>
    <row r="92" spans="1:3" s="43" customFormat="1" ht="16.5" customHeight="1" thickBot="1">
      <c r="A92" s="185"/>
      <c r="B92" s="186" t="s">
        <v>56</v>
      </c>
      <c r="C92" s="308"/>
    </row>
    <row r="93" spans="1:3" s="67" customFormat="1" ht="12" customHeight="1" thickBot="1">
      <c r="A93" s="348" t="s">
        <v>18</v>
      </c>
      <c r="B93" s="26" t="s">
        <v>503</v>
      </c>
      <c r="C93" s="240">
        <f>+C94+C95+C96+C97+C98+C111</f>
        <v>152550218</v>
      </c>
    </row>
    <row r="94" spans="1:3" ht="12" customHeight="1">
      <c r="A94" s="381" t="s">
        <v>97</v>
      </c>
      <c r="B94" s="10" t="s">
        <v>48</v>
      </c>
      <c r="C94" s="242">
        <f>'ÖNK-Kötelező'!C94+'ÖNK-Önként v.'!C94+'ÖNK-ÁIG'!C94</f>
        <v>48608640</v>
      </c>
    </row>
    <row r="95" spans="1:3" ht="12" customHeight="1">
      <c r="A95" s="374" t="s">
        <v>98</v>
      </c>
      <c r="B95" s="8" t="s">
        <v>176</v>
      </c>
      <c r="C95" s="243">
        <f>'ÖNK-Kötelező'!C95+'ÖNK-Önként v.'!C95+'ÖNK-ÁIG'!C95</f>
        <v>8835463</v>
      </c>
    </row>
    <row r="96" spans="1:3" ht="12" customHeight="1">
      <c r="A96" s="374" t="s">
        <v>99</v>
      </c>
      <c r="B96" s="8" t="s">
        <v>133</v>
      </c>
      <c r="C96" s="245">
        <v>65972105</v>
      </c>
    </row>
    <row r="97" spans="1:3" ht="12" customHeight="1">
      <c r="A97" s="374" t="s">
        <v>100</v>
      </c>
      <c r="B97" s="11" t="s">
        <v>177</v>
      </c>
      <c r="C97" s="245">
        <v>1834010</v>
      </c>
    </row>
    <row r="98" spans="1:3" ht="12" customHeight="1">
      <c r="A98" s="374" t="s">
        <v>111</v>
      </c>
      <c r="B98" s="19" t="s">
        <v>178</v>
      </c>
      <c r="C98" s="245">
        <v>24210000</v>
      </c>
    </row>
    <row r="99" spans="1:3" ht="12" customHeight="1">
      <c r="A99" s="374" t="s">
        <v>101</v>
      </c>
      <c r="B99" s="8" t="s">
        <v>500</v>
      </c>
      <c r="C99" s="245">
        <v>3600000</v>
      </c>
    </row>
    <row r="100" spans="1:3" ht="12" customHeight="1">
      <c r="A100" s="374" t="s">
        <v>102</v>
      </c>
      <c r="B100" s="109" t="s">
        <v>430</v>
      </c>
      <c r="C100" s="245"/>
    </row>
    <row r="101" spans="1:3" ht="12" customHeight="1">
      <c r="A101" s="374" t="s">
        <v>112</v>
      </c>
      <c r="B101" s="109" t="s">
        <v>429</v>
      </c>
      <c r="C101" s="245"/>
    </row>
    <row r="102" spans="1:3" ht="12" customHeight="1">
      <c r="A102" s="374" t="s">
        <v>113</v>
      </c>
      <c r="B102" s="109" t="s">
        <v>341</v>
      </c>
      <c r="C102" s="245"/>
    </row>
    <row r="103" spans="1:3" ht="12" customHeight="1">
      <c r="A103" s="374" t="s">
        <v>114</v>
      </c>
      <c r="B103" s="110" t="s">
        <v>342</v>
      </c>
      <c r="C103" s="245"/>
    </row>
    <row r="104" spans="1:3" ht="12" customHeight="1">
      <c r="A104" s="374" t="s">
        <v>115</v>
      </c>
      <c r="B104" s="110" t="s">
        <v>343</v>
      </c>
      <c r="C104" s="245"/>
    </row>
    <row r="105" spans="1:3" ht="12" customHeight="1">
      <c r="A105" s="374" t="s">
        <v>117</v>
      </c>
      <c r="B105" s="109" t="s">
        <v>344</v>
      </c>
      <c r="C105" s="245">
        <v>13800000</v>
      </c>
    </row>
    <row r="106" spans="1:3" ht="12" customHeight="1">
      <c r="A106" s="374" t="s">
        <v>179</v>
      </c>
      <c r="B106" s="109" t="s">
        <v>345</v>
      </c>
      <c r="C106" s="245"/>
    </row>
    <row r="107" spans="1:3" ht="12" customHeight="1">
      <c r="A107" s="374" t="s">
        <v>339</v>
      </c>
      <c r="B107" s="110" t="s">
        <v>346</v>
      </c>
      <c r="C107" s="245"/>
    </row>
    <row r="108" spans="1:3" ht="12" customHeight="1">
      <c r="A108" s="382" t="s">
        <v>340</v>
      </c>
      <c r="B108" s="111" t="s">
        <v>347</v>
      </c>
      <c r="C108" s="245"/>
    </row>
    <row r="109" spans="1:3" ht="12" customHeight="1">
      <c r="A109" s="374" t="s">
        <v>427</v>
      </c>
      <c r="B109" s="111" t="s">
        <v>348</v>
      </c>
      <c r="C109" s="245"/>
    </row>
    <row r="110" spans="1:3" ht="12" customHeight="1">
      <c r="A110" s="374" t="s">
        <v>428</v>
      </c>
      <c r="B110" s="110" t="s">
        <v>349</v>
      </c>
      <c r="C110" s="243">
        <v>6810000</v>
      </c>
    </row>
    <row r="111" spans="1:3" ht="12" customHeight="1">
      <c r="A111" s="374" t="s">
        <v>432</v>
      </c>
      <c r="B111" s="11" t="s">
        <v>49</v>
      </c>
      <c r="C111" s="243">
        <v>3090000</v>
      </c>
    </row>
    <row r="112" spans="1:3" ht="12" customHeight="1">
      <c r="A112" s="375" t="s">
        <v>433</v>
      </c>
      <c r="B112" s="8" t="s">
        <v>501</v>
      </c>
      <c r="C112" s="245">
        <v>3090000</v>
      </c>
    </row>
    <row r="113" spans="1:3" ht="12" customHeight="1" thickBot="1">
      <c r="A113" s="383" t="s">
        <v>434</v>
      </c>
      <c r="B113" s="112" t="s">
        <v>502</v>
      </c>
      <c r="C113" s="249"/>
    </row>
    <row r="114" spans="1:3" ht="12" customHeight="1" thickBot="1">
      <c r="A114" s="29" t="s">
        <v>19</v>
      </c>
      <c r="B114" s="25" t="s">
        <v>350</v>
      </c>
      <c r="C114" s="241">
        <f>+C115+C117+C119</f>
        <v>268348257</v>
      </c>
    </row>
    <row r="115" spans="1:3" ht="12" customHeight="1">
      <c r="A115" s="373" t="s">
        <v>103</v>
      </c>
      <c r="B115" s="8" t="s">
        <v>222</v>
      </c>
      <c r="C115" s="244">
        <v>21516043</v>
      </c>
    </row>
    <row r="116" spans="1:3" ht="12" customHeight="1">
      <c r="A116" s="373" t="s">
        <v>104</v>
      </c>
      <c r="B116" s="12" t="s">
        <v>354</v>
      </c>
      <c r="C116" s="244"/>
    </row>
    <row r="117" spans="1:3" ht="12" customHeight="1">
      <c r="A117" s="373" t="s">
        <v>105</v>
      </c>
      <c r="B117" s="12" t="s">
        <v>180</v>
      </c>
      <c r="C117" s="243">
        <v>246832214</v>
      </c>
    </row>
    <row r="118" spans="1:3" ht="12" customHeight="1">
      <c r="A118" s="373" t="s">
        <v>106</v>
      </c>
      <c r="B118" s="12" t="s">
        <v>355</v>
      </c>
      <c r="C118" s="209"/>
    </row>
    <row r="119" spans="1:3" ht="12" customHeight="1">
      <c r="A119" s="373" t="s">
        <v>107</v>
      </c>
      <c r="B119" s="238" t="s">
        <v>224</v>
      </c>
      <c r="C119" s="209"/>
    </row>
    <row r="120" spans="1:3" ht="12" customHeight="1">
      <c r="A120" s="373" t="s">
        <v>116</v>
      </c>
      <c r="B120" s="237" t="s">
        <v>417</v>
      </c>
      <c r="C120" s="209"/>
    </row>
    <row r="121" spans="1:3" ht="12" customHeight="1">
      <c r="A121" s="373" t="s">
        <v>118</v>
      </c>
      <c r="B121" s="350" t="s">
        <v>360</v>
      </c>
      <c r="C121" s="209"/>
    </row>
    <row r="122" spans="1:3" ht="12" customHeight="1">
      <c r="A122" s="373" t="s">
        <v>181</v>
      </c>
      <c r="B122" s="110" t="s">
        <v>343</v>
      </c>
      <c r="C122" s="209"/>
    </row>
    <row r="123" spans="1:3" ht="12" customHeight="1">
      <c r="A123" s="373" t="s">
        <v>182</v>
      </c>
      <c r="B123" s="110" t="s">
        <v>359</v>
      </c>
      <c r="C123" s="209"/>
    </row>
    <row r="124" spans="1:3" ht="12" customHeight="1">
      <c r="A124" s="373" t="s">
        <v>183</v>
      </c>
      <c r="B124" s="110" t="s">
        <v>358</v>
      </c>
      <c r="C124" s="209"/>
    </row>
    <row r="125" spans="1:3" ht="12" customHeight="1">
      <c r="A125" s="373" t="s">
        <v>351</v>
      </c>
      <c r="B125" s="110" t="s">
        <v>346</v>
      </c>
      <c r="C125" s="209"/>
    </row>
    <row r="126" spans="1:3" ht="12" customHeight="1">
      <c r="A126" s="373" t="s">
        <v>352</v>
      </c>
      <c r="B126" s="110" t="s">
        <v>357</v>
      </c>
      <c r="C126" s="209"/>
    </row>
    <row r="127" spans="1:3" ht="12" customHeight="1" thickBot="1">
      <c r="A127" s="382" t="s">
        <v>353</v>
      </c>
      <c r="B127" s="110" t="s">
        <v>356</v>
      </c>
      <c r="C127" s="211"/>
    </row>
    <row r="128" spans="1:3" ht="12" customHeight="1" thickBot="1">
      <c r="A128" s="29" t="s">
        <v>20</v>
      </c>
      <c r="B128" s="91" t="s">
        <v>437</v>
      </c>
      <c r="C128" s="241">
        <f>+C93+C114</f>
        <v>420898475</v>
      </c>
    </row>
    <row r="129" spans="1:3" ht="12" customHeight="1" thickBot="1">
      <c r="A129" s="29" t="s">
        <v>21</v>
      </c>
      <c r="B129" s="91" t="s">
        <v>438</v>
      </c>
      <c r="C129" s="241">
        <f>+C130+C131+C132</f>
        <v>0</v>
      </c>
    </row>
    <row r="130" spans="1:3" s="67" customFormat="1" ht="12" customHeight="1">
      <c r="A130" s="373" t="s">
        <v>260</v>
      </c>
      <c r="B130" s="9" t="s">
        <v>506</v>
      </c>
      <c r="C130" s="209"/>
    </row>
    <row r="131" spans="1:3" ht="12" customHeight="1">
      <c r="A131" s="373" t="s">
        <v>261</v>
      </c>
      <c r="B131" s="9" t="s">
        <v>446</v>
      </c>
      <c r="C131" s="209"/>
    </row>
    <row r="132" spans="1:3" ht="12" customHeight="1" thickBot="1">
      <c r="A132" s="382" t="s">
        <v>262</v>
      </c>
      <c r="B132" s="7" t="s">
        <v>505</v>
      </c>
      <c r="C132" s="209"/>
    </row>
    <row r="133" spans="1:3" ht="12" customHeight="1" thickBot="1">
      <c r="A133" s="29" t="s">
        <v>22</v>
      </c>
      <c r="B133" s="91" t="s">
        <v>439</v>
      </c>
      <c r="C133" s="241">
        <f>+C134+C135+C136+C137+C138+C139</f>
        <v>0</v>
      </c>
    </row>
    <row r="134" spans="1:3" ht="12" customHeight="1">
      <c r="A134" s="373" t="s">
        <v>90</v>
      </c>
      <c r="B134" s="9" t="s">
        <v>448</v>
      </c>
      <c r="C134" s="209"/>
    </row>
    <row r="135" spans="1:3" ht="12" customHeight="1">
      <c r="A135" s="373" t="s">
        <v>91</v>
      </c>
      <c r="B135" s="9" t="s">
        <v>440</v>
      </c>
      <c r="C135" s="209"/>
    </row>
    <row r="136" spans="1:3" ht="12" customHeight="1">
      <c r="A136" s="373" t="s">
        <v>92</v>
      </c>
      <c r="B136" s="9" t="s">
        <v>441</v>
      </c>
      <c r="C136" s="209"/>
    </row>
    <row r="137" spans="1:3" ht="12" customHeight="1">
      <c r="A137" s="373" t="s">
        <v>168</v>
      </c>
      <c r="B137" s="9" t="s">
        <v>504</v>
      </c>
      <c r="C137" s="209"/>
    </row>
    <row r="138" spans="1:3" ht="12" customHeight="1">
      <c r="A138" s="373" t="s">
        <v>169</v>
      </c>
      <c r="B138" s="9" t="s">
        <v>443</v>
      </c>
      <c r="C138" s="209"/>
    </row>
    <row r="139" spans="1:3" s="67" customFormat="1" ht="12" customHeight="1" thickBot="1">
      <c r="A139" s="382" t="s">
        <v>170</v>
      </c>
      <c r="B139" s="7" t="s">
        <v>444</v>
      </c>
      <c r="C139" s="209"/>
    </row>
    <row r="140" spans="1:11" ht="12" customHeight="1" thickBot="1">
      <c r="A140" s="29" t="s">
        <v>23</v>
      </c>
      <c r="B140" s="91" t="s">
        <v>529</v>
      </c>
      <c r="C140" s="247">
        <f>+C141+C142+C144+C145+C143</f>
        <v>171329828</v>
      </c>
      <c r="K140" s="192"/>
    </row>
    <row r="141" spans="1:3" ht="12.75">
      <c r="A141" s="373" t="s">
        <v>93</v>
      </c>
      <c r="B141" s="9" t="s">
        <v>361</v>
      </c>
      <c r="C141" s="209"/>
    </row>
    <row r="142" spans="1:3" ht="12" customHeight="1">
      <c r="A142" s="373" t="s">
        <v>94</v>
      </c>
      <c r="B142" s="9" t="s">
        <v>362</v>
      </c>
      <c r="C142" s="209">
        <v>6385218</v>
      </c>
    </row>
    <row r="143" spans="1:3" ht="12" customHeight="1">
      <c r="A143" s="373" t="s">
        <v>278</v>
      </c>
      <c r="B143" s="9" t="s">
        <v>528</v>
      </c>
      <c r="C143" s="209">
        <f>'KÖZÖS HIVATAL'!C41+ÁMK!D40</f>
        <v>164944610</v>
      </c>
    </row>
    <row r="144" spans="1:3" s="67" customFormat="1" ht="12" customHeight="1">
      <c r="A144" s="373" t="s">
        <v>279</v>
      </c>
      <c r="B144" s="9" t="s">
        <v>453</v>
      </c>
      <c r="C144" s="209"/>
    </row>
    <row r="145" spans="1:3" s="67" customFormat="1" ht="12" customHeight="1" thickBot="1">
      <c r="A145" s="382" t="s">
        <v>280</v>
      </c>
      <c r="B145" s="7" t="s">
        <v>380</v>
      </c>
      <c r="C145" s="209"/>
    </row>
    <row r="146" spans="1:3" s="67" customFormat="1" ht="12" customHeight="1" thickBot="1">
      <c r="A146" s="29" t="s">
        <v>24</v>
      </c>
      <c r="B146" s="91" t="s">
        <v>454</v>
      </c>
      <c r="C146" s="250">
        <f>+C147+C148+C149+C150+C151</f>
        <v>0</v>
      </c>
    </row>
    <row r="147" spans="1:3" s="67" customFormat="1" ht="12" customHeight="1">
      <c r="A147" s="373" t="s">
        <v>95</v>
      </c>
      <c r="B147" s="9" t="s">
        <v>449</v>
      </c>
      <c r="C147" s="209"/>
    </row>
    <row r="148" spans="1:3" s="67" customFormat="1" ht="12" customHeight="1">
      <c r="A148" s="373" t="s">
        <v>96</v>
      </c>
      <c r="B148" s="9" t="s">
        <v>456</v>
      </c>
      <c r="C148" s="209"/>
    </row>
    <row r="149" spans="1:3" s="67" customFormat="1" ht="12" customHeight="1">
      <c r="A149" s="373" t="s">
        <v>290</v>
      </c>
      <c r="B149" s="9" t="s">
        <v>451</v>
      </c>
      <c r="C149" s="209"/>
    </row>
    <row r="150" spans="1:3" s="67" customFormat="1" ht="12" customHeight="1">
      <c r="A150" s="373" t="s">
        <v>291</v>
      </c>
      <c r="B150" s="9" t="s">
        <v>507</v>
      </c>
      <c r="C150" s="209"/>
    </row>
    <row r="151" spans="1:3" ht="12.75" customHeight="1" thickBot="1">
      <c r="A151" s="382" t="s">
        <v>455</v>
      </c>
      <c r="B151" s="7" t="s">
        <v>458</v>
      </c>
      <c r="C151" s="211"/>
    </row>
    <row r="152" spans="1:3" ht="12.75" customHeight="1" thickBot="1">
      <c r="A152" s="422" t="s">
        <v>25</v>
      </c>
      <c r="B152" s="91" t="s">
        <v>459</v>
      </c>
      <c r="C152" s="250"/>
    </row>
    <row r="153" spans="1:3" ht="12.75" customHeight="1" thickBot="1">
      <c r="A153" s="422" t="s">
        <v>26</v>
      </c>
      <c r="B153" s="91" t="s">
        <v>460</v>
      </c>
      <c r="C153" s="250"/>
    </row>
    <row r="154" spans="1:3" ht="12" customHeight="1" thickBot="1">
      <c r="A154" s="29" t="s">
        <v>27</v>
      </c>
      <c r="B154" s="91" t="s">
        <v>462</v>
      </c>
      <c r="C154" s="364">
        <f>+C129+C133+C140+C146+C152+C153</f>
        <v>171329828</v>
      </c>
    </row>
    <row r="155" spans="1:3" ht="15" customHeight="1" thickBot="1">
      <c r="A155" s="384" t="s">
        <v>28</v>
      </c>
      <c r="B155" s="320" t="s">
        <v>461</v>
      </c>
      <c r="C155" s="364">
        <f>+C128+C154</f>
        <v>592228303</v>
      </c>
    </row>
    <row r="156" spans="1:3" ht="13.5" thickBot="1">
      <c r="A156" s="328"/>
      <c r="B156" s="329"/>
      <c r="C156" s="548">
        <f>C90-C155</f>
        <v>0</v>
      </c>
    </row>
    <row r="157" spans="1:3" ht="15" customHeight="1" thickBot="1">
      <c r="A157" s="190" t="s">
        <v>508</v>
      </c>
      <c r="B157" s="191"/>
      <c r="C157" s="88">
        <v>14</v>
      </c>
    </row>
    <row r="158" spans="1:3" ht="14.25" customHeight="1" thickBot="1">
      <c r="A158" s="190" t="s">
        <v>198</v>
      </c>
      <c r="B158" s="191"/>
      <c r="C158" s="88">
        <v>18</v>
      </c>
    </row>
    <row r="159" spans="1:3" ht="12.75">
      <c r="A159" s="545"/>
      <c r="B159" s="546"/>
      <c r="C159" s="588"/>
    </row>
    <row r="160" spans="1:2" ht="12.75">
      <c r="A160" s="545"/>
      <c r="B160" s="546"/>
    </row>
    <row r="161" spans="1:3" ht="12.75">
      <c r="A161" s="545"/>
      <c r="B161" s="546"/>
      <c r="C161" s="547"/>
    </row>
    <row r="162" spans="1:3" ht="12.75">
      <c r="A162" s="545"/>
      <c r="B162" s="546"/>
      <c r="C162" s="547"/>
    </row>
    <row r="163" spans="1:3" ht="12.75">
      <c r="A163" s="545"/>
      <c r="B163" s="546"/>
      <c r="C163" s="547"/>
    </row>
    <row r="164" spans="1:3" ht="12.75">
      <c r="A164" s="545"/>
      <c r="B164" s="546"/>
      <c r="C164" s="547"/>
    </row>
    <row r="165" spans="1:3" ht="12.75">
      <c r="A165" s="545"/>
      <c r="B165" s="546"/>
      <c r="C165" s="547"/>
    </row>
    <row r="166" spans="1:3" ht="12.75">
      <c r="A166" s="545"/>
      <c r="B166" s="546"/>
      <c r="C166" s="547"/>
    </row>
    <row r="167" spans="1:3" ht="12.75">
      <c r="A167" s="545"/>
      <c r="B167" s="546"/>
      <c r="C167" s="547"/>
    </row>
    <row r="168" spans="1:3" ht="12.75">
      <c r="A168" s="545"/>
      <c r="B168" s="546"/>
      <c r="C168" s="547"/>
    </row>
    <row r="169" spans="1:3" ht="12.75">
      <c r="A169" s="545"/>
      <c r="B169" s="546"/>
      <c r="C169" s="547"/>
    </row>
    <row r="170" spans="1:3" ht="12.75">
      <c r="A170" s="545"/>
      <c r="B170" s="546"/>
      <c r="C170" s="547"/>
    </row>
    <row r="171" spans="1:3" ht="12.75">
      <c r="A171" s="545"/>
      <c r="B171" s="546"/>
      <c r="C171" s="547"/>
    </row>
    <row r="172" spans="1:3" ht="12.75">
      <c r="A172" s="545"/>
      <c r="B172" s="546"/>
      <c r="C172" s="547"/>
    </row>
    <row r="173" spans="1:3" ht="12.75">
      <c r="A173" s="545"/>
      <c r="B173" s="546"/>
      <c r="C173" s="547"/>
    </row>
    <row r="174" spans="1:3" ht="12.75">
      <c r="A174" s="545"/>
      <c r="B174" s="546"/>
      <c r="C174" s="547"/>
    </row>
    <row r="175" spans="1:3" ht="12.75">
      <c r="A175" s="545"/>
      <c r="B175" s="546"/>
      <c r="C175" s="547"/>
    </row>
    <row r="176" spans="1:3" ht="12.75">
      <c r="A176" s="545"/>
      <c r="B176" s="546"/>
      <c r="C176" s="547"/>
    </row>
    <row r="177" spans="1:3" ht="12.75">
      <c r="A177" s="545"/>
      <c r="B177" s="546"/>
      <c r="C177" s="547"/>
    </row>
    <row r="178" spans="1:3" ht="12.75">
      <c r="A178" s="545"/>
      <c r="B178" s="546"/>
      <c r="C178" s="547"/>
    </row>
    <row r="179" spans="1:3" ht="12.75">
      <c r="A179" s="545"/>
      <c r="B179" s="546"/>
      <c r="C179" s="54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8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176"/>
  <sheetViews>
    <sheetView zoomScale="120" zoomScaleNormal="120" zoomScaleSheetLayoutView="85" workbookViewId="0" topLeftCell="A127">
      <selection activeCell="A1" sqref="A1:C158"/>
    </sheetView>
  </sheetViews>
  <sheetFormatPr defaultColWidth="9.00390625" defaultRowHeight="12.75"/>
  <cols>
    <col min="1" max="1" width="19.50390625" style="330" customWidth="1"/>
    <col min="2" max="2" width="72.00390625" style="331" customWidth="1"/>
    <col min="3" max="3" width="25.00390625" style="332" customWidth="1"/>
    <col min="4" max="4" width="19.625" style="3" customWidth="1"/>
    <col min="5" max="16384" width="9.375" style="3" customWidth="1"/>
  </cols>
  <sheetData>
    <row r="1" spans="1:3" s="2" customFormat="1" ht="16.5" customHeight="1" thickBot="1">
      <c r="A1" s="526"/>
      <c r="B1" s="527"/>
      <c r="C1" s="523" t="s">
        <v>767</v>
      </c>
    </row>
    <row r="2" spans="1:3" s="63" customFormat="1" ht="21" customHeight="1">
      <c r="A2" s="528" t="s">
        <v>60</v>
      </c>
      <c r="B2" s="529" t="str">
        <f>CONCATENATE(ALAPADATOK!A3)</f>
        <v>Karácsond Községi Önkormányzat</v>
      </c>
      <c r="C2" s="530" t="s">
        <v>53</v>
      </c>
    </row>
    <row r="3" spans="1:3" s="63" customFormat="1" ht="16.5" thickBot="1">
      <c r="A3" s="531" t="s">
        <v>195</v>
      </c>
      <c r="B3" s="532" t="s">
        <v>418</v>
      </c>
      <c r="C3" s="533" t="s">
        <v>58</v>
      </c>
    </row>
    <row r="4" spans="1:3" s="64" customFormat="1" ht="22.5" customHeight="1" thickBot="1">
      <c r="A4" s="534"/>
      <c r="B4" s="534"/>
      <c r="C4" s="535" t="str">
        <f>'ÖNKORM.'!C4</f>
        <v>Ft-ban</v>
      </c>
    </row>
    <row r="5" spans="1:3" ht="13.5" thickBot="1">
      <c r="A5" s="536" t="s">
        <v>197</v>
      </c>
      <c r="B5" s="537" t="s">
        <v>550</v>
      </c>
      <c r="C5" s="538" t="s">
        <v>54</v>
      </c>
    </row>
    <row r="6" spans="1:3" s="43" customFormat="1" ht="12.75" customHeight="1" thickBot="1">
      <c r="A6" s="539"/>
      <c r="B6" s="540" t="s">
        <v>482</v>
      </c>
      <c r="C6" s="541" t="s">
        <v>483</v>
      </c>
    </row>
    <row r="7" spans="1:3" s="43" customFormat="1" ht="15.75" customHeight="1" thickBot="1">
      <c r="A7" s="175"/>
      <c r="B7" s="176" t="s">
        <v>55</v>
      </c>
      <c r="C7" s="301"/>
    </row>
    <row r="8" spans="1:3" s="43" customFormat="1" ht="12" customHeight="1" thickBot="1">
      <c r="A8" s="29" t="s">
        <v>18</v>
      </c>
      <c r="B8" s="21" t="s">
        <v>244</v>
      </c>
      <c r="C8" s="241">
        <f>+C9+C10+C11+C12+C13+C14</f>
        <v>180353584</v>
      </c>
    </row>
    <row r="9" spans="1:3" s="65" customFormat="1" ht="12" customHeight="1">
      <c r="A9" s="373" t="s">
        <v>97</v>
      </c>
      <c r="B9" s="354" t="s">
        <v>245</v>
      </c>
      <c r="C9" s="244">
        <v>82994587</v>
      </c>
    </row>
    <row r="10" spans="1:3" s="66" customFormat="1" ht="12" customHeight="1">
      <c r="A10" s="374" t="s">
        <v>98</v>
      </c>
      <c r="B10" s="355" t="s">
        <v>246</v>
      </c>
      <c r="C10" s="243">
        <v>61353950</v>
      </c>
    </row>
    <row r="11" spans="1:3" s="66" customFormat="1" ht="12" customHeight="1">
      <c r="A11" s="374" t="s">
        <v>99</v>
      </c>
      <c r="B11" s="355" t="s">
        <v>538</v>
      </c>
      <c r="C11" s="243">
        <v>32277067</v>
      </c>
    </row>
    <row r="12" spans="1:3" s="66" customFormat="1" ht="12" customHeight="1">
      <c r="A12" s="374" t="s">
        <v>100</v>
      </c>
      <c r="B12" s="355" t="s">
        <v>248</v>
      </c>
      <c r="C12" s="243">
        <v>3727980</v>
      </c>
    </row>
    <row r="13" spans="1:3" s="66" customFormat="1" ht="12" customHeight="1">
      <c r="A13" s="374" t="s">
        <v>141</v>
      </c>
      <c r="B13" s="355" t="s">
        <v>495</v>
      </c>
      <c r="C13" s="243"/>
    </row>
    <row r="14" spans="1:3" s="65" customFormat="1" ht="12" customHeight="1" thickBot="1">
      <c r="A14" s="375" t="s">
        <v>101</v>
      </c>
      <c r="B14" s="356" t="s">
        <v>422</v>
      </c>
      <c r="C14" s="243"/>
    </row>
    <row r="15" spans="1:3" s="65" customFormat="1" ht="12" customHeight="1" thickBot="1">
      <c r="A15" s="29" t="s">
        <v>19</v>
      </c>
      <c r="B15" s="236" t="s">
        <v>249</v>
      </c>
      <c r="C15" s="241">
        <f>+C16+C17+C18+C19+C20</f>
        <v>22455065</v>
      </c>
    </row>
    <row r="16" spans="1:3" s="65" customFormat="1" ht="12" customHeight="1">
      <c r="A16" s="373" t="s">
        <v>103</v>
      </c>
      <c r="B16" s="354" t="s">
        <v>250</v>
      </c>
      <c r="C16" s="244"/>
    </row>
    <row r="17" spans="1:3" s="65" customFormat="1" ht="12" customHeight="1">
      <c r="A17" s="374" t="s">
        <v>104</v>
      </c>
      <c r="B17" s="355" t="s">
        <v>251</v>
      </c>
      <c r="C17" s="243"/>
    </row>
    <row r="18" spans="1:3" s="65" customFormat="1" ht="12" customHeight="1">
      <c r="A18" s="374" t="s">
        <v>105</v>
      </c>
      <c r="B18" s="355" t="s">
        <v>411</v>
      </c>
      <c r="C18" s="243"/>
    </row>
    <row r="19" spans="1:3" s="65" customFormat="1" ht="12" customHeight="1">
      <c r="A19" s="374" t="s">
        <v>106</v>
      </c>
      <c r="B19" s="355" t="s">
        <v>412</v>
      </c>
      <c r="C19" s="243"/>
    </row>
    <row r="20" spans="1:3" s="65" customFormat="1" ht="12" customHeight="1">
      <c r="A20" s="374" t="s">
        <v>107</v>
      </c>
      <c r="B20" s="355" t="s">
        <v>252</v>
      </c>
      <c r="C20" s="243">
        <v>22455065</v>
      </c>
    </row>
    <row r="21" spans="1:3" s="66" customFormat="1" ht="12" customHeight="1" thickBot="1">
      <c r="A21" s="375" t="s">
        <v>116</v>
      </c>
      <c r="B21" s="356" t="s">
        <v>253</v>
      </c>
      <c r="C21" s="245"/>
    </row>
    <row r="22" spans="1:3" s="66" customFormat="1" ht="12" customHeight="1" thickBot="1">
      <c r="A22" s="29" t="s">
        <v>20</v>
      </c>
      <c r="B22" s="21" t="s">
        <v>254</v>
      </c>
      <c r="C22" s="241">
        <f>+C23+C24+C25+C26+C27</f>
        <v>0</v>
      </c>
    </row>
    <row r="23" spans="1:3" s="66" customFormat="1" ht="12" customHeight="1">
      <c r="A23" s="373" t="s">
        <v>86</v>
      </c>
      <c r="B23" s="354" t="s">
        <v>255</v>
      </c>
      <c r="C23" s="244"/>
    </row>
    <row r="24" spans="1:3" s="65" customFormat="1" ht="12" customHeight="1">
      <c r="A24" s="374" t="s">
        <v>87</v>
      </c>
      <c r="B24" s="355" t="s">
        <v>256</v>
      </c>
      <c r="C24" s="243"/>
    </row>
    <row r="25" spans="1:3" s="66" customFormat="1" ht="12" customHeight="1">
      <c r="A25" s="374" t="s">
        <v>88</v>
      </c>
      <c r="B25" s="355" t="s">
        <v>413</v>
      </c>
      <c r="C25" s="243"/>
    </row>
    <row r="26" spans="1:3" s="66" customFormat="1" ht="12" customHeight="1">
      <c r="A26" s="374" t="s">
        <v>89</v>
      </c>
      <c r="B26" s="355" t="s">
        <v>414</v>
      </c>
      <c r="C26" s="243"/>
    </row>
    <row r="27" spans="1:3" s="66" customFormat="1" ht="12" customHeight="1">
      <c r="A27" s="374" t="s">
        <v>164</v>
      </c>
      <c r="B27" s="355" t="s">
        <v>257</v>
      </c>
      <c r="C27" s="243"/>
    </row>
    <row r="28" spans="1:3" s="66" customFormat="1" ht="12" customHeight="1" thickBot="1">
      <c r="A28" s="375" t="s">
        <v>165</v>
      </c>
      <c r="B28" s="356" t="s">
        <v>258</v>
      </c>
      <c r="C28" s="245"/>
    </row>
    <row r="29" spans="1:3" s="66" customFormat="1" ht="12" customHeight="1" thickBot="1">
      <c r="A29" s="29" t="s">
        <v>166</v>
      </c>
      <c r="B29" s="21" t="s">
        <v>547</v>
      </c>
      <c r="C29" s="247">
        <f>SUM(C30:C36)</f>
        <v>73550000</v>
      </c>
    </row>
    <row r="30" spans="1:3" s="66" customFormat="1" ht="12" customHeight="1">
      <c r="A30" s="373" t="s">
        <v>260</v>
      </c>
      <c r="B30" s="354" t="s">
        <v>739</v>
      </c>
      <c r="C30" s="244">
        <v>500000</v>
      </c>
    </row>
    <row r="31" spans="1:3" s="66" customFormat="1" ht="12" customHeight="1">
      <c r="A31" s="374" t="s">
        <v>261</v>
      </c>
      <c r="B31" s="354" t="str">
        <f>'Össz.ÖNK'!B33</f>
        <v>Idegenforgalmi adó</v>
      </c>
      <c r="C31" s="243">
        <v>550000</v>
      </c>
    </row>
    <row r="32" spans="1:3" s="66" customFormat="1" ht="12" customHeight="1">
      <c r="A32" s="374" t="s">
        <v>262</v>
      </c>
      <c r="B32" s="354" t="str">
        <f>'Össz.ÖNK'!B34</f>
        <v>Iparűzési adó</v>
      </c>
      <c r="C32" s="243">
        <v>62000000</v>
      </c>
    </row>
    <row r="33" spans="1:3" s="66" customFormat="1" ht="12" customHeight="1">
      <c r="A33" s="374" t="s">
        <v>263</v>
      </c>
      <c r="B33" s="354" t="str">
        <f>'Össz.ÖNK'!B35</f>
        <v>Talajterhelési díj</v>
      </c>
      <c r="C33" s="243">
        <v>2000000</v>
      </c>
    </row>
    <row r="34" spans="1:3" s="66" customFormat="1" ht="12" customHeight="1">
      <c r="A34" s="374" t="s">
        <v>540</v>
      </c>
      <c r="B34" s="354" t="str">
        <f>'Össz.ÖNK'!B36</f>
        <v>Gépjárműadó</v>
      </c>
      <c r="C34" s="243"/>
    </row>
    <row r="35" spans="1:3" s="66" customFormat="1" ht="12" customHeight="1">
      <c r="A35" s="374" t="s">
        <v>541</v>
      </c>
      <c r="B35" s="354" t="s">
        <v>738</v>
      </c>
      <c r="C35" s="243">
        <v>1000000</v>
      </c>
    </row>
    <row r="36" spans="1:3" s="66" customFormat="1" ht="12" customHeight="1" thickBot="1">
      <c r="A36" s="375" t="s">
        <v>542</v>
      </c>
      <c r="B36" s="354" t="str">
        <f>'Össz.ÖNK'!B38</f>
        <v>Kommunális adó</v>
      </c>
      <c r="C36" s="245">
        <v>7500000</v>
      </c>
    </row>
    <row r="37" spans="1:3" s="66" customFormat="1" ht="12" customHeight="1" thickBot="1">
      <c r="A37" s="29" t="s">
        <v>22</v>
      </c>
      <c r="B37" s="21" t="s">
        <v>423</v>
      </c>
      <c r="C37" s="241">
        <f>SUM(C38:C48)</f>
        <v>2500000</v>
      </c>
    </row>
    <row r="38" spans="1:3" s="66" customFormat="1" ht="12" customHeight="1">
      <c r="A38" s="373" t="s">
        <v>90</v>
      </c>
      <c r="B38" s="354" t="s">
        <v>267</v>
      </c>
      <c r="C38" s="244"/>
    </row>
    <row r="39" spans="1:3" s="66" customFormat="1" ht="12" customHeight="1">
      <c r="A39" s="374" t="s">
        <v>91</v>
      </c>
      <c r="B39" s="355" t="s">
        <v>268</v>
      </c>
      <c r="C39" s="243"/>
    </row>
    <row r="40" spans="1:3" s="66" customFormat="1" ht="12" customHeight="1">
      <c r="A40" s="374" t="s">
        <v>92</v>
      </c>
      <c r="B40" s="355" t="s">
        <v>269</v>
      </c>
      <c r="C40" s="243"/>
    </row>
    <row r="41" spans="1:3" s="66" customFormat="1" ht="12" customHeight="1">
      <c r="A41" s="374" t="s">
        <v>168</v>
      </c>
      <c r="B41" s="355" t="s">
        <v>270</v>
      </c>
      <c r="C41" s="243">
        <v>2500000</v>
      </c>
    </row>
    <row r="42" spans="1:3" s="66" customFormat="1" ht="12" customHeight="1">
      <c r="A42" s="374" t="s">
        <v>169</v>
      </c>
      <c r="B42" s="355" t="s">
        <v>271</v>
      </c>
      <c r="C42" s="243"/>
    </row>
    <row r="43" spans="1:3" s="66" customFormat="1" ht="12" customHeight="1">
      <c r="A43" s="374" t="s">
        <v>170</v>
      </c>
      <c r="B43" s="355" t="s">
        <v>272</v>
      </c>
      <c r="C43" s="243"/>
    </row>
    <row r="44" spans="1:3" s="66" customFormat="1" ht="12" customHeight="1">
      <c r="A44" s="374" t="s">
        <v>171</v>
      </c>
      <c r="B44" s="355" t="s">
        <v>273</v>
      </c>
      <c r="C44" s="243"/>
    </row>
    <row r="45" spans="1:3" s="66" customFormat="1" ht="12" customHeight="1">
      <c r="A45" s="374" t="s">
        <v>172</v>
      </c>
      <c r="B45" s="355" t="s">
        <v>546</v>
      </c>
      <c r="C45" s="243"/>
    </row>
    <row r="46" spans="1:3" s="66" customFormat="1" ht="12" customHeight="1">
      <c r="A46" s="374" t="s">
        <v>265</v>
      </c>
      <c r="B46" s="355" t="s">
        <v>275</v>
      </c>
      <c r="C46" s="246"/>
    </row>
    <row r="47" spans="1:3" s="66" customFormat="1" ht="12" customHeight="1">
      <c r="A47" s="375" t="s">
        <v>266</v>
      </c>
      <c r="B47" s="356" t="s">
        <v>425</v>
      </c>
      <c r="C47" s="343"/>
    </row>
    <row r="48" spans="1:3" s="66" customFormat="1" ht="12" customHeight="1" thickBot="1">
      <c r="A48" s="375" t="s">
        <v>424</v>
      </c>
      <c r="B48" s="356" t="s">
        <v>276</v>
      </c>
      <c r="C48" s="343"/>
    </row>
    <row r="49" spans="1:3" s="66" customFormat="1" ht="12" customHeight="1" thickBot="1">
      <c r="A49" s="29" t="s">
        <v>23</v>
      </c>
      <c r="B49" s="21" t="s">
        <v>277</v>
      </c>
      <c r="C49" s="241">
        <f>SUM(C50:C54)</f>
        <v>0</v>
      </c>
    </row>
    <row r="50" spans="1:3" s="66" customFormat="1" ht="12" customHeight="1">
      <c r="A50" s="373" t="s">
        <v>93</v>
      </c>
      <c r="B50" s="354" t="s">
        <v>281</v>
      </c>
      <c r="C50" s="398"/>
    </row>
    <row r="51" spans="1:3" s="66" customFormat="1" ht="12" customHeight="1">
      <c r="A51" s="374" t="s">
        <v>94</v>
      </c>
      <c r="B51" s="355" t="s">
        <v>282</v>
      </c>
      <c r="C51" s="246"/>
    </row>
    <row r="52" spans="1:3" s="66" customFormat="1" ht="12" customHeight="1">
      <c r="A52" s="374" t="s">
        <v>278</v>
      </c>
      <c r="B52" s="355" t="s">
        <v>283</v>
      </c>
      <c r="C52" s="246"/>
    </row>
    <row r="53" spans="1:3" s="66" customFormat="1" ht="12" customHeight="1">
      <c r="A53" s="374" t="s">
        <v>279</v>
      </c>
      <c r="B53" s="355" t="s">
        <v>284</v>
      </c>
      <c r="C53" s="246"/>
    </row>
    <row r="54" spans="1:3" s="66" customFormat="1" ht="12" customHeight="1" thickBot="1">
      <c r="A54" s="375" t="s">
        <v>280</v>
      </c>
      <c r="B54" s="356" t="s">
        <v>285</v>
      </c>
      <c r="C54" s="343"/>
    </row>
    <row r="55" spans="1:3" s="66" customFormat="1" ht="12" customHeight="1" thickBot="1">
      <c r="A55" s="29" t="s">
        <v>173</v>
      </c>
      <c r="B55" s="21" t="s">
        <v>286</v>
      </c>
      <c r="C55" s="241">
        <f>SUM(C56:C58)</f>
        <v>0</v>
      </c>
    </row>
    <row r="56" spans="1:3" s="66" customFormat="1" ht="12" customHeight="1">
      <c r="A56" s="373" t="s">
        <v>95</v>
      </c>
      <c r="B56" s="354" t="s">
        <v>287</v>
      </c>
      <c r="C56" s="244"/>
    </row>
    <row r="57" spans="1:3" s="66" customFormat="1" ht="12" customHeight="1">
      <c r="A57" s="374" t="s">
        <v>96</v>
      </c>
      <c r="B57" s="355" t="s">
        <v>415</v>
      </c>
      <c r="C57" s="243"/>
    </row>
    <row r="58" spans="1:3" s="66" customFormat="1" ht="12" customHeight="1">
      <c r="A58" s="374" t="s">
        <v>290</v>
      </c>
      <c r="B58" s="355" t="s">
        <v>288</v>
      </c>
      <c r="C58" s="243"/>
    </row>
    <row r="59" spans="1:3" s="66" customFormat="1" ht="12" customHeight="1" thickBot="1">
      <c r="A59" s="375" t="s">
        <v>291</v>
      </c>
      <c r="B59" s="356" t="s">
        <v>289</v>
      </c>
      <c r="C59" s="245"/>
    </row>
    <row r="60" spans="1:3" s="66" customFormat="1" ht="12" customHeight="1" thickBot="1">
      <c r="A60" s="29" t="s">
        <v>25</v>
      </c>
      <c r="B60" s="236" t="s">
        <v>292</v>
      </c>
      <c r="C60" s="241">
        <f>SUM(C61:C63)</f>
        <v>16428828</v>
      </c>
    </row>
    <row r="61" spans="1:3" s="66" customFormat="1" ht="12" customHeight="1">
      <c r="A61" s="373" t="s">
        <v>174</v>
      </c>
      <c r="B61" s="354" t="s">
        <v>294</v>
      </c>
      <c r="C61" s="246"/>
    </row>
    <row r="62" spans="1:3" s="66" customFormat="1" ht="12" customHeight="1">
      <c r="A62" s="374" t="s">
        <v>175</v>
      </c>
      <c r="B62" s="355" t="s">
        <v>416</v>
      </c>
      <c r="C62" s="246"/>
    </row>
    <row r="63" spans="1:3" s="66" customFormat="1" ht="12" customHeight="1">
      <c r="A63" s="374" t="s">
        <v>223</v>
      </c>
      <c r="B63" s="355" t="s">
        <v>295</v>
      </c>
      <c r="C63" s="246">
        <v>16428828</v>
      </c>
    </row>
    <row r="64" spans="1:3" s="66" customFormat="1" ht="12" customHeight="1" thickBot="1">
      <c r="A64" s="375" t="s">
        <v>293</v>
      </c>
      <c r="B64" s="356" t="s">
        <v>296</v>
      </c>
      <c r="C64" s="246"/>
    </row>
    <row r="65" spans="1:3" s="66" customFormat="1" ht="12" customHeight="1" thickBot="1">
      <c r="A65" s="29" t="s">
        <v>26</v>
      </c>
      <c r="B65" s="21" t="s">
        <v>297</v>
      </c>
      <c r="C65" s="247">
        <f>+C8+C15+C22+C29+C37+C49+C55+C60</f>
        <v>295287477</v>
      </c>
    </row>
    <row r="66" spans="1:3" s="66" customFormat="1" ht="12" customHeight="1" thickBot="1">
      <c r="A66" s="376" t="s">
        <v>384</v>
      </c>
      <c r="B66" s="236" t="s">
        <v>299</v>
      </c>
      <c r="C66" s="241">
        <f>SUM(C67:C69)</f>
        <v>0</v>
      </c>
    </row>
    <row r="67" spans="1:3" s="66" customFormat="1" ht="12" customHeight="1">
      <c r="A67" s="373" t="s">
        <v>327</v>
      </c>
      <c r="B67" s="354" t="s">
        <v>300</v>
      </c>
      <c r="C67" s="246"/>
    </row>
    <row r="68" spans="1:3" s="66" customFormat="1" ht="12" customHeight="1">
      <c r="A68" s="374" t="s">
        <v>336</v>
      </c>
      <c r="B68" s="355" t="s">
        <v>301</v>
      </c>
      <c r="C68" s="246"/>
    </row>
    <row r="69" spans="1:3" s="66" customFormat="1" ht="12" customHeight="1" thickBot="1">
      <c r="A69" s="375" t="s">
        <v>337</v>
      </c>
      <c r="B69" s="357" t="s">
        <v>302</v>
      </c>
      <c r="C69" s="246"/>
    </row>
    <row r="70" spans="1:3" s="66" customFormat="1" ht="12" customHeight="1" thickBot="1">
      <c r="A70" s="376" t="s">
        <v>303</v>
      </c>
      <c r="B70" s="236" t="s">
        <v>304</v>
      </c>
      <c r="C70" s="241">
        <f>SUM(C71:C74)</f>
        <v>0</v>
      </c>
    </row>
    <row r="71" spans="1:3" s="66" customFormat="1" ht="12" customHeight="1">
      <c r="A71" s="373" t="s">
        <v>142</v>
      </c>
      <c r="B71" s="354" t="s">
        <v>305</v>
      </c>
      <c r="C71" s="246"/>
    </row>
    <row r="72" spans="1:3" s="66" customFormat="1" ht="12" customHeight="1">
      <c r="A72" s="374" t="s">
        <v>143</v>
      </c>
      <c r="B72" s="355" t="s">
        <v>557</v>
      </c>
      <c r="C72" s="246"/>
    </row>
    <row r="73" spans="1:3" s="66" customFormat="1" ht="12" customHeight="1">
      <c r="A73" s="374" t="s">
        <v>328</v>
      </c>
      <c r="B73" s="355" t="s">
        <v>306</v>
      </c>
      <c r="C73" s="246"/>
    </row>
    <row r="74" spans="1:3" s="66" customFormat="1" ht="12" customHeight="1">
      <c r="A74" s="374" t="s">
        <v>329</v>
      </c>
      <c r="B74" s="237" t="s">
        <v>558</v>
      </c>
      <c r="C74" s="246"/>
    </row>
    <row r="75" spans="1:3" s="66" customFormat="1" ht="12" customHeight="1" thickBot="1">
      <c r="A75" s="380" t="s">
        <v>307</v>
      </c>
      <c r="B75" s="508" t="s">
        <v>308</v>
      </c>
      <c r="C75" s="417">
        <f>SUM(C76:C77)</f>
        <v>289232439</v>
      </c>
    </row>
    <row r="76" spans="1:3" s="66" customFormat="1" ht="12" customHeight="1">
      <c r="A76" s="373" t="s">
        <v>330</v>
      </c>
      <c r="B76" s="354" t="s">
        <v>309</v>
      </c>
      <c r="C76" s="246">
        <v>289232439</v>
      </c>
    </row>
    <row r="77" spans="1:3" s="66" customFormat="1" ht="12" customHeight="1" thickBot="1">
      <c r="A77" s="375" t="s">
        <v>331</v>
      </c>
      <c r="B77" s="356" t="s">
        <v>310</v>
      </c>
      <c r="C77" s="246"/>
    </row>
    <row r="78" spans="1:3" s="65" customFormat="1" ht="12" customHeight="1" thickBot="1">
      <c r="A78" s="376" t="s">
        <v>311</v>
      </c>
      <c r="B78" s="236" t="s">
        <v>312</v>
      </c>
      <c r="C78" s="241">
        <f>SUM(C79:C81)</f>
        <v>0</v>
      </c>
    </row>
    <row r="79" spans="1:3" s="66" customFormat="1" ht="12" customHeight="1">
      <c r="A79" s="373" t="s">
        <v>332</v>
      </c>
      <c r="B79" s="354" t="s">
        <v>313</v>
      </c>
      <c r="C79" s="246"/>
    </row>
    <row r="80" spans="1:3" s="66" customFormat="1" ht="12" customHeight="1">
      <c r="A80" s="374" t="s">
        <v>333</v>
      </c>
      <c r="B80" s="355" t="s">
        <v>314</v>
      </c>
      <c r="C80" s="246"/>
    </row>
    <row r="81" spans="1:3" s="66" customFormat="1" ht="12" customHeight="1" thickBot="1">
      <c r="A81" s="375" t="s">
        <v>334</v>
      </c>
      <c r="B81" s="356" t="s">
        <v>559</v>
      </c>
      <c r="C81" s="246"/>
    </row>
    <row r="82" spans="1:3" s="66" customFormat="1" ht="12" customHeight="1" thickBot="1">
      <c r="A82" s="376" t="s">
        <v>315</v>
      </c>
      <c r="B82" s="236" t="s">
        <v>335</v>
      </c>
      <c r="C82" s="241">
        <f>SUM(C83:C86)</f>
        <v>0</v>
      </c>
    </row>
    <row r="83" spans="1:3" s="66" customFormat="1" ht="12" customHeight="1">
      <c r="A83" s="377" t="s">
        <v>316</v>
      </c>
      <c r="B83" s="354" t="s">
        <v>317</v>
      </c>
      <c r="C83" s="246"/>
    </row>
    <row r="84" spans="1:3" s="66" customFormat="1" ht="12" customHeight="1">
      <c r="A84" s="378" t="s">
        <v>318</v>
      </c>
      <c r="B84" s="355" t="s">
        <v>319</v>
      </c>
      <c r="C84" s="246"/>
    </row>
    <row r="85" spans="1:3" s="66" customFormat="1" ht="12" customHeight="1">
      <c r="A85" s="378" t="s">
        <v>320</v>
      </c>
      <c r="B85" s="355" t="s">
        <v>321</v>
      </c>
      <c r="C85" s="246"/>
    </row>
    <row r="86" spans="1:3" s="65" customFormat="1" ht="12" customHeight="1" thickBot="1">
      <c r="A86" s="379" t="s">
        <v>322</v>
      </c>
      <c r="B86" s="356" t="s">
        <v>323</v>
      </c>
      <c r="C86" s="246"/>
    </row>
    <row r="87" spans="1:3" s="65" customFormat="1" ht="12" customHeight="1" thickBot="1">
      <c r="A87" s="376" t="s">
        <v>324</v>
      </c>
      <c r="B87" s="236" t="s">
        <v>464</v>
      </c>
      <c r="C87" s="399"/>
    </row>
    <row r="88" spans="1:3" s="65" customFormat="1" ht="12" customHeight="1" thickBot="1">
      <c r="A88" s="376" t="s">
        <v>496</v>
      </c>
      <c r="B88" s="236" t="s">
        <v>325</v>
      </c>
      <c r="C88" s="399"/>
    </row>
    <row r="89" spans="1:3" s="65" customFormat="1" ht="12" customHeight="1" thickBot="1">
      <c r="A89" s="376" t="s">
        <v>497</v>
      </c>
      <c r="B89" s="361" t="s">
        <v>467</v>
      </c>
      <c r="C89" s="247">
        <f>+C66+C70+C75+C78+C82+C88+C87</f>
        <v>289232439</v>
      </c>
    </row>
    <row r="90" spans="1:3" s="65" customFormat="1" ht="12" customHeight="1" thickBot="1">
      <c r="A90" s="380" t="s">
        <v>498</v>
      </c>
      <c r="B90" s="362" t="s">
        <v>499</v>
      </c>
      <c r="C90" s="247">
        <f>+C65+C89</f>
        <v>584519916</v>
      </c>
    </row>
    <row r="91" spans="1:3" s="66" customFormat="1" ht="6.75" customHeight="1" thickBot="1">
      <c r="A91" s="181"/>
      <c r="B91" s="182"/>
      <c r="C91" s="306"/>
    </row>
    <row r="92" spans="1:3" s="43" customFormat="1" ht="16.5" customHeight="1" thickBot="1">
      <c r="A92" s="185"/>
      <c r="B92" s="186" t="s">
        <v>56</v>
      </c>
      <c r="C92" s="308"/>
    </row>
    <row r="93" spans="1:3" s="67" customFormat="1" ht="12" customHeight="1" thickBot="1">
      <c r="A93" s="348" t="s">
        <v>18</v>
      </c>
      <c r="B93" s="26" t="s">
        <v>503</v>
      </c>
      <c r="C93" s="240">
        <f>+C94+C95+C96+C97+C98+C111</f>
        <v>69561988</v>
      </c>
    </row>
    <row r="94" spans="1:4" ht="12" customHeight="1">
      <c r="A94" s="381" t="s">
        <v>97</v>
      </c>
      <c r="B94" s="10" t="s">
        <v>48</v>
      </c>
      <c r="C94" s="242">
        <f>4875472+18639660</f>
        <v>23515132</v>
      </c>
      <c r="D94" s="3" t="s">
        <v>683</v>
      </c>
    </row>
    <row r="95" spans="1:3" ht="12" customHeight="1">
      <c r="A95" s="374" t="s">
        <v>98</v>
      </c>
      <c r="B95" s="8" t="s">
        <v>176</v>
      </c>
      <c r="C95" s="243">
        <f>24528+840000+3261941</f>
        <v>4126469</v>
      </c>
    </row>
    <row r="96" spans="1:3" ht="12" customHeight="1">
      <c r="A96" s="374" t="s">
        <v>99</v>
      </c>
      <c r="B96" s="8" t="s">
        <v>133</v>
      </c>
      <c r="C96" s="245">
        <v>35230387</v>
      </c>
    </row>
    <row r="97" spans="1:3" ht="12" customHeight="1">
      <c r="A97" s="374" t="s">
        <v>100</v>
      </c>
      <c r="B97" s="11" t="s">
        <v>177</v>
      </c>
      <c r="C97" s="245"/>
    </row>
    <row r="98" spans="1:3" ht="12" customHeight="1">
      <c r="A98" s="374" t="s">
        <v>111</v>
      </c>
      <c r="B98" s="19" t="s">
        <v>178</v>
      </c>
      <c r="C98" s="245">
        <v>3600000</v>
      </c>
    </row>
    <row r="99" spans="1:3" ht="12" customHeight="1">
      <c r="A99" s="374" t="s">
        <v>101</v>
      </c>
      <c r="B99" s="8" t="s">
        <v>500</v>
      </c>
      <c r="C99" s="245">
        <v>3600000</v>
      </c>
    </row>
    <row r="100" spans="1:3" ht="12" customHeight="1">
      <c r="A100" s="374" t="s">
        <v>102</v>
      </c>
      <c r="B100" s="109" t="s">
        <v>430</v>
      </c>
      <c r="C100" s="245"/>
    </row>
    <row r="101" spans="1:3" ht="12" customHeight="1">
      <c r="A101" s="374" t="s">
        <v>112</v>
      </c>
      <c r="B101" s="109" t="s">
        <v>429</v>
      </c>
      <c r="C101" s="245"/>
    </row>
    <row r="102" spans="1:3" ht="12" customHeight="1">
      <c r="A102" s="374" t="s">
        <v>113</v>
      </c>
      <c r="B102" s="109" t="s">
        <v>341</v>
      </c>
      <c r="C102" s="245"/>
    </row>
    <row r="103" spans="1:3" ht="12" customHeight="1">
      <c r="A103" s="374" t="s">
        <v>114</v>
      </c>
      <c r="B103" s="110" t="s">
        <v>342</v>
      </c>
      <c r="C103" s="245"/>
    </row>
    <row r="104" spans="1:3" ht="12" customHeight="1">
      <c r="A104" s="374" t="s">
        <v>115</v>
      </c>
      <c r="B104" s="110" t="s">
        <v>343</v>
      </c>
      <c r="C104" s="245"/>
    </row>
    <row r="105" spans="1:3" ht="12" customHeight="1">
      <c r="A105" s="374" t="s">
        <v>117</v>
      </c>
      <c r="B105" s="109" t="s">
        <v>344</v>
      </c>
      <c r="C105" s="245"/>
    </row>
    <row r="106" spans="1:3" ht="12" customHeight="1">
      <c r="A106" s="374" t="s">
        <v>179</v>
      </c>
      <c r="B106" s="109" t="s">
        <v>345</v>
      </c>
      <c r="C106" s="245"/>
    </row>
    <row r="107" spans="1:3" ht="12" customHeight="1">
      <c r="A107" s="374" t="s">
        <v>339</v>
      </c>
      <c r="B107" s="110" t="s">
        <v>346</v>
      </c>
      <c r="C107" s="245"/>
    </row>
    <row r="108" spans="1:3" ht="12" customHeight="1">
      <c r="A108" s="382" t="s">
        <v>340</v>
      </c>
      <c r="B108" s="111" t="s">
        <v>347</v>
      </c>
      <c r="C108" s="245"/>
    </row>
    <row r="109" spans="1:3" ht="12" customHeight="1">
      <c r="A109" s="374" t="s">
        <v>427</v>
      </c>
      <c r="B109" s="111" t="s">
        <v>348</v>
      </c>
      <c r="C109" s="245"/>
    </row>
    <row r="110" spans="1:3" ht="12" customHeight="1">
      <c r="A110" s="374" t="s">
        <v>428</v>
      </c>
      <c r="B110" s="110" t="s">
        <v>349</v>
      </c>
      <c r="C110" s="243"/>
    </row>
    <row r="111" spans="1:3" ht="12" customHeight="1">
      <c r="A111" s="374" t="s">
        <v>432</v>
      </c>
      <c r="B111" s="11" t="s">
        <v>49</v>
      </c>
      <c r="C111" s="243">
        <v>3090000</v>
      </c>
    </row>
    <row r="112" spans="1:3" ht="12" customHeight="1">
      <c r="A112" s="375" t="s">
        <v>433</v>
      </c>
      <c r="B112" s="8" t="s">
        <v>501</v>
      </c>
      <c r="C112" s="245">
        <v>3090000</v>
      </c>
    </row>
    <row r="113" spans="1:3" ht="12" customHeight="1" thickBot="1">
      <c r="A113" s="383" t="s">
        <v>434</v>
      </c>
      <c r="B113" s="112" t="s">
        <v>502</v>
      </c>
      <c r="C113" s="249"/>
    </row>
    <row r="114" spans="1:3" ht="12" customHeight="1" thickBot="1">
      <c r="A114" s="29" t="s">
        <v>19</v>
      </c>
      <c r="B114" s="25" t="s">
        <v>350</v>
      </c>
      <c r="C114" s="241">
        <f>+C115+C117+C119</f>
        <v>0</v>
      </c>
    </row>
    <row r="115" spans="1:3" ht="12" customHeight="1">
      <c r="A115" s="373" t="s">
        <v>103</v>
      </c>
      <c r="B115" s="8" t="s">
        <v>222</v>
      </c>
      <c r="C115" s="244"/>
    </row>
    <row r="116" spans="1:3" ht="12" customHeight="1">
      <c r="A116" s="373" t="s">
        <v>104</v>
      </c>
      <c r="B116" s="12" t="s">
        <v>354</v>
      </c>
      <c r="C116" s="244"/>
    </row>
    <row r="117" spans="1:3" ht="12" customHeight="1">
      <c r="A117" s="373" t="s">
        <v>105</v>
      </c>
      <c r="B117" s="12" t="s">
        <v>180</v>
      </c>
      <c r="C117" s="243"/>
    </row>
    <row r="118" spans="1:3" ht="12" customHeight="1">
      <c r="A118" s="373" t="s">
        <v>106</v>
      </c>
      <c r="B118" s="12" t="s">
        <v>355</v>
      </c>
      <c r="C118" s="209"/>
    </row>
    <row r="119" spans="1:3" ht="12" customHeight="1">
      <c r="A119" s="373" t="s">
        <v>107</v>
      </c>
      <c r="B119" s="238" t="s">
        <v>224</v>
      </c>
      <c r="C119" s="209"/>
    </row>
    <row r="120" spans="1:3" ht="12" customHeight="1">
      <c r="A120" s="373" t="s">
        <v>116</v>
      </c>
      <c r="B120" s="237" t="s">
        <v>417</v>
      </c>
      <c r="C120" s="209"/>
    </row>
    <row r="121" spans="1:3" ht="12" customHeight="1">
      <c r="A121" s="373" t="s">
        <v>118</v>
      </c>
      <c r="B121" s="350" t="s">
        <v>360</v>
      </c>
      <c r="C121" s="209"/>
    </row>
    <row r="122" spans="1:3" ht="12" customHeight="1">
      <c r="A122" s="373" t="s">
        <v>181</v>
      </c>
      <c r="B122" s="110" t="s">
        <v>343</v>
      </c>
      <c r="C122" s="209"/>
    </row>
    <row r="123" spans="1:3" ht="12" customHeight="1">
      <c r="A123" s="373" t="s">
        <v>182</v>
      </c>
      <c r="B123" s="110" t="s">
        <v>359</v>
      </c>
      <c r="C123" s="209"/>
    </row>
    <row r="124" spans="1:3" ht="12" customHeight="1">
      <c r="A124" s="373" t="s">
        <v>183</v>
      </c>
      <c r="B124" s="110" t="s">
        <v>358</v>
      </c>
      <c r="C124" s="209"/>
    </row>
    <row r="125" spans="1:3" ht="12" customHeight="1">
      <c r="A125" s="373" t="s">
        <v>351</v>
      </c>
      <c r="B125" s="110" t="s">
        <v>346</v>
      </c>
      <c r="C125" s="209"/>
    </row>
    <row r="126" spans="1:3" ht="12" customHeight="1">
      <c r="A126" s="373" t="s">
        <v>352</v>
      </c>
      <c r="B126" s="110" t="s">
        <v>357</v>
      </c>
      <c r="C126" s="209"/>
    </row>
    <row r="127" spans="1:3" ht="12" customHeight="1" thickBot="1">
      <c r="A127" s="382" t="s">
        <v>353</v>
      </c>
      <c r="B127" s="110" t="s">
        <v>356</v>
      </c>
      <c r="C127" s="211"/>
    </row>
    <row r="128" spans="1:3" ht="12" customHeight="1" thickBot="1">
      <c r="A128" s="29" t="s">
        <v>20</v>
      </c>
      <c r="B128" s="91" t="s">
        <v>437</v>
      </c>
      <c r="C128" s="241">
        <f>+C93+C114</f>
        <v>69561988</v>
      </c>
    </row>
    <row r="129" spans="1:3" ht="12" customHeight="1" thickBot="1">
      <c r="A129" s="29" t="s">
        <v>21</v>
      </c>
      <c r="B129" s="91" t="s">
        <v>438</v>
      </c>
      <c r="C129" s="241">
        <f>+C130+C131+C132</f>
        <v>0</v>
      </c>
    </row>
    <row r="130" spans="1:3" s="67" customFormat="1" ht="12" customHeight="1">
      <c r="A130" s="373" t="s">
        <v>260</v>
      </c>
      <c r="B130" s="9" t="s">
        <v>506</v>
      </c>
      <c r="C130" s="209"/>
    </row>
    <row r="131" spans="1:3" ht="12" customHeight="1">
      <c r="A131" s="373" t="s">
        <v>261</v>
      </c>
      <c r="B131" s="9" t="s">
        <v>446</v>
      </c>
      <c r="C131" s="209"/>
    </row>
    <row r="132" spans="1:3" ht="12" customHeight="1" thickBot="1">
      <c r="A132" s="382" t="s">
        <v>262</v>
      </c>
      <c r="B132" s="7" t="s">
        <v>505</v>
      </c>
      <c r="C132" s="209"/>
    </row>
    <row r="133" spans="1:3" ht="12" customHeight="1" thickBot="1">
      <c r="A133" s="29" t="s">
        <v>22</v>
      </c>
      <c r="B133" s="91" t="s">
        <v>439</v>
      </c>
      <c r="C133" s="241">
        <f>+C134+C135+C136+C137+C138+C139</f>
        <v>0</v>
      </c>
    </row>
    <row r="134" spans="1:3" ht="12" customHeight="1">
      <c r="A134" s="373" t="s">
        <v>90</v>
      </c>
      <c r="B134" s="9" t="s">
        <v>448</v>
      </c>
      <c r="C134" s="209"/>
    </row>
    <row r="135" spans="1:3" ht="12" customHeight="1">
      <c r="A135" s="373" t="s">
        <v>91</v>
      </c>
      <c r="B135" s="9" t="s">
        <v>440</v>
      </c>
      <c r="C135" s="209"/>
    </row>
    <row r="136" spans="1:3" ht="12" customHeight="1">
      <c r="A136" s="373" t="s">
        <v>92</v>
      </c>
      <c r="B136" s="9" t="s">
        <v>441</v>
      </c>
      <c r="C136" s="209"/>
    </row>
    <row r="137" spans="1:3" ht="12" customHeight="1">
      <c r="A137" s="373" t="s">
        <v>168</v>
      </c>
      <c r="B137" s="9" t="s">
        <v>504</v>
      </c>
      <c r="C137" s="209"/>
    </row>
    <row r="138" spans="1:3" ht="12" customHeight="1">
      <c r="A138" s="373" t="s">
        <v>169</v>
      </c>
      <c r="B138" s="9" t="s">
        <v>443</v>
      </c>
      <c r="C138" s="209"/>
    </row>
    <row r="139" spans="1:3" s="67" customFormat="1" ht="12" customHeight="1" thickBot="1">
      <c r="A139" s="382" t="s">
        <v>170</v>
      </c>
      <c r="B139" s="7" t="s">
        <v>444</v>
      </c>
      <c r="C139" s="209"/>
    </row>
    <row r="140" spans="1:11" ht="12" customHeight="1" thickBot="1">
      <c r="A140" s="29" t="s">
        <v>23</v>
      </c>
      <c r="B140" s="91" t="s">
        <v>529</v>
      </c>
      <c r="C140" s="247">
        <f>+C141+C142+C144+C145+C143</f>
        <v>171329828</v>
      </c>
      <c r="K140" s="192"/>
    </row>
    <row r="141" spans="1:3" ht="12.75">
      <c r="A141" s="373" t="s">
        <v>93</v>
      </c>
      <c r="B141" s="9" t="s">
        <v>361</v>
      </c>
      <c r="C141" s="209"/>
    </row>
    <row r="142" spans="1:3" ht="12" customHeight="1">
      <c r="A142" s="373" t="s">
        <v>94</v>
      </c>
      <c r="B142" s="9" t="s">
        <v>362</v>
      </c>
      <c r="C142" s="209">
        <v>6385218</v>
      </c>
    </row>
    <row r="143" spans="1:3" s="67" customFormat="1" ht="12" customHeight="1">
      <c r="A143" s="373" t="s">
        <v>278</v>
      </c>
      <c r="B143" s="9" t="s">
        <v>528</v>
      </c>
      <c r="C143" s="209">
        <f>'KÖZÖS HIVATAL'!C41+ÁMK!D40</f>
        <v>164944610</v>
      </c>
    </row>
    <row r="144" spans="1:3" s="67" customFormat="1" ht="12" customHeight="1">
      <c r="A144" s="373" t="s">
        <v>279</v>
      </c>
      <c r="B144" s="9" t="s">
        <v>453</v>
      </c>
      <c r="C144" s="209"/>
    </row>
    <row r="145" spans="1:3" s="67" customFormat="1" ht="12" customHeight="1" thickBot="1">
      <c r="A145" s="382" t="s">
        <v>280</v>
      </c>
      <c r="B145" s="7" t="s">
        <v>380</v>
      </c>
      <c r="C145" s="209"/>
    </row>
    <row r="146" spans="1:3" s="67" customFormat="1" ht="12" customHeight="1" thickBot="1">
      <c r="A146" s="29" t="s">
        <v>24</v>
      </c>
      <c r="B146" s="91" t="s">
        <v>454</v>
      </c>
      <c r="C146" s="250">
        <f>+C147+C148+C149+C150+C151</f>
        <v>0</v>
      </c>
    </row>
    <row r="147" spans="1:3" s="67" customFormat="1" ht="12" customHeight="1">
      <c r="A147" s="373" t="s">
        <v>95</v>
      </c>
      <c r="B147" s="9" t="s">
        <v>449</v>
      </c>
      <c r="C147" s="209"/>
    </row>
    <row r="148" spans="1:3" s="67" customFormat="1" ht="12" customHeight="1">
      <c r="A148" s="373" t="s">
        <v>96</v>
      </c>
      <c r="B148" s="9" t="s">
        <v>456</v>
      </c>
      <c r="C148" s="209"/>
    </row>
    <row r="149" spans="1:3" s="67" customFormat="1" ht="12" customHeight="1">
      <c r="A149" s="373" t="s">
        <v>290</v>
      </c>
      <c r="B149" s="9" t="s">
        <v>451</v>
      </c>
      <c r="C149" s="209"/>
    </row>
    <row r="150" spans="1:3" ht="12.75" customHeight="1">
      <c r="A150" s="373" t="s">
        <v>291</v>
      </c>
      <c r="B150" s="9" t="s">
        <v>507</v>
      </c>
      <c r="C150" s="209"/>
    </row>
    <row r="151" spans="1:3" ht="12.75" customHeight="1" thickBot="1">
      <c r="A151" s="382" t="s">
        <v>455</v>
      </c>
      <c r="B151" s="7" t="s">
        <v>458</v>
      </c>
      <c r="C151" s="211"/>
    </row>
    <row r="152" spans="1:3" ht="12.75" customHeight="1" thickBot="1">
      <c r="A152" s="422" t="s">
        <v>25</v>
      </c>
      <c r="B152" s="91" t="s">
        <v>459</v>
      </c>
      <c r="C152" s="250"/>
    </row>
    <row r="153" spans="1:3" ht="12" customHeight="1" thickBot="1">
      <c r="A153" s="422" t="s">
        <v>26</v>
      </c>
      <c r="B153" s="91" t="s">
        <v>460</v>
      </c>
      <c r="C153" s="250"/>
    </row>
    <row r="154" spans="1:3" ht="15" customHeight="1" thickBot="1">
      <c r="A154" s="29" t="s">
        <v>27</v>
      </c>
      <c r="B154" s="91" t="s">
        <v>462</v>
      </c>
      <c r="C154" s="364">
        <f>+C129+C133+C140+C146+C152+C153</f>
        <v>171329828</v>
      </c>
    </row>
    <row r="155" spans="1:3" ht="13.5" thickBot="1">
      <c r="A155" s="384" t="s">
        <v>28</v>
      </c>
      <c r="B155" s="320" t="s">
        <v>461</v>
      </c>
      <c r="C155" s="364">
        <f>+C128+C154</f>
        <v>240891816</v>
      </c>
    </row>
    <row r="156" spans="1:3" ht="9" customHeight="1">
      <c r="A156" s="328"/>
      <c r="B156" s="329"/>
      <c r="C156" s="548">
        <f>C90-C155</f>
        <v>343628100</v>
      </c>
    </row>
    <row r="157" spans="1:3" ht="12.75">
      <c r="A157" s="545"/>
      <c r="B157" s="546"/>
      <c r="C157" s="547"/>
    </row>
    <row r="158" spans="1:2" ht="12.75">
      <c r="A158" s="545"/>
      <c r="B158" s="546"/>
    </row>
    <row r="159" spans="1:3" ht="12.75">
      <c r="A159" s="545"/>
      <c r="B159" s="546"/>
      <c r="C159" s="547"/>
    </row>
    <row r="160" spans="1:3" ht="12.75">
      <c r="A160" s="545"/>
      <c r="B160" s="546"/>
      <c r="C160" s="547"/>
    </row>
    <row r="161" spans="1:3" ht="12.75">
      <c r="A161" s="545"/>
      <c r="B161" s="546"/>
      <c r="C161" s="547"/>
    </row>
    <row r="162" spans="1:3" ht="12.75">
      <c r="A162" s="545"/>
      <c r="B162" s="546"/>
      <c r="C162" s="547"/>
    </row>
    <row r="163" spans="1:3" ht="12.75">
      <c r="A163" s="545"/>
      <c r="B163" s="546"/>
      <c r="C163" s="547"/>
    </row>
    <row r="164" spans="1:3" ht="12.75">
      <c r="A164" s="545"/>
      <c r="B164" s="546"/>
      <c r="C164" s="547"/>
    </row>
    <row r="165" spans="1:3" ht="12.75">
      <c r="A165" s="545"/>
      <c r="B165" s="546"/>
      <c r="C165" s="547"/>
    </row>
    <row r="166" spans="1:3" ht="12.75">
      <c r="A166" s="545"/>
      <c r="B166" s="546"/>
      <c r="C166" s="547"/>
    </row>
    <row r="167" spans="1:3" ht="12.75">
      <c r="A167" s="545"/>
      <c r="B167" s="546"/>
      <c r="C167" s="547"/>
    </row>
    <row r="168" spans="1:3" ht="12.75">
      <c r="A168" s="545"/>
      <c r="B168" s="546"/>
      <c r="C168" s="547"/>
    </row>
    <row r="169" spans="1:3" ht="12.75">
      <c r="A169" s="545"/>
      <c r="B169" s="546"/>
      <c r="C169" s="547"/>
    </row>
    <row r="170" spans="1:3" ht="12.75">
      <c r="A170" s="545"/>
      <c r="B170" s="546"/>
      <c r="C170" s="547"/>
    </row>
    <row r="171" spans="1:3" ht="12.75">
      <c r="A171" s="545"/>
      <c r="B171" s="546"/>
      <c r="C171" s="547"/>
    </row>
    <row r="172" spans="1:3" ht="12.75">
      <c r="A172" s="545"/>
      <c r="B172" s="546"/>
      <c r="C172" s="547"/>
    </row>
    <row r="173" spans="1:3" ht="12.75">
      <c r="A173" s="545"/>
      <c r="B173" s="546"/>
      <c r="C173" s="547"/>
    </row>
    <row r="174" spans="1:3" ht="12.75">
      <c r="A174" s="545"/>
      <c r="B174" s="546"/>
      <c r="C174" s="547"/>
    </row>
    <row r="175" spans="1:3" ht="12.75">
      <c r="A175" s="545"/>
      <c r="B175" s="546"/>
      <c r="C175" s="547"/>
    </row>
    <row r="176" spans="1:3" ht="12.75">
      <c r="A176" s="545"/>
      <c r="B176" s="546"/>
      <c r="C176" s="54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8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176"/>
  <sheetViews>
    <sheetView zoomScale="120" zoomScaleNormal="120" zoomScaleSheetLayoutView="85" workbookViewId="0" topLeftCell="A126">
      <selection activeCell="A1" sqref="A1:C157"/>
    </sheetView>
  </sheetViews>
  <sheetFormatPr defaultColWidth="9.00390625" defaultRowHeight="12.75"/>
  <cols>
    <col min="1" max="1" width="19.50390625" style="330" customWidth="1"/>
    <col min="2" max="2" width="72.00390625" style="331" customWidth="1"/>
    <col min="3" max="3" width="25.00390625" style="332" customWidth="1"/>
    <col min="4" max="4" width="26.125" style="3" customWidth="1"/>
    <col min="5" max="16384" width="9.375" style="3" customWidth="1"/>
  </cols>
  <sheetData>
    <row r="1" spans="1:3" s="2" customFormat="1" ht="16.5" customHeight="1" thickBot="1">
      <c r="A1" s="526"/>
      <c r="B1" s="527"/>
      <c r="C1" s="523" t="s">
        <v>768</v>
      </c>
    </row>
    <row r="2" spans="1:3" s="63" customFormat="1" ht="21" customHeight="1">
      <c r="A2" s="528" t="s">
        <v>60</v>
      </c>
      <c r="B2" s="529" t="str">
        <f>CONCATENATE(ALAPADATOK!A3)</f>
        <v>Karácsond Községi Önkormányzat</v>
      </c>
      <c r="C2" s="530" t="s">
        <v>53</v>
      </c>
    </row>
    <row r="3" spans="1:3" s="63" customFormat="1" ht="16.5" thickBot="1">
      <c r="A3" s="531" t="s">
        <v>195</v>
      </c>
      <c r="B3" s="532" t="s">
        <v>419</v>
      </c>
      <c r="C3" s="533" t="s">
        <v>59</v>
      </c>
    </row>
    <row r="4" spans="1:3" s="64" customFormat="1" ht="22.5" customHeight="1" thickBot="1">
      <c r="A4" s="534"/>
      <c r="B4" s="534"/>
      <c r="C4" s="535" t="str">
        <f>'ÖNK-Kötelező'!C4</f>
        <v>Ft-ban</v>
      </c>
    </row>
    <row r="5" spans="1:3" ht="13.5" thickBot="1">
      <c r="A5" s="536" t="s">
        <v>197</v>
      </c>
      <c r="B5" s="537" t="s">
        <v>550</v>
      </c>
      <c r="C5" s="538" t="s">
        <v>54</v>
      </c>
    </row>
    <row r="6" spans="1:3" s="43" customFormat="1" ht="12.75" customHeight="1" thickBot="1">
      <c r="A6" s="539"/>
      <c r="B6" s="540" t="s">
        <v>482</v>
      </c>
      <c r="C6" s="541" t="s">
        <v>483</v>
      </c>
    </row>
    <row r="7" spans="1:3" s="43" customFormat="1" ht="15.75" customHeight="1" thickBot="1">
      <c r="A7" s="175"/>
      <c r="B7" s="176" t="s">
        <v>55</v>
      </c>
      <c r="C7" s="301"/>
    </row>
    <row r="8" spans="1:3" s="43" customFormat="1" ht="12" customHeight="1" thickBot="1">
      <c r="A8" s="29" t="s">
        <v>18</v>
      </c>
      <c r="B8" s="21" t="s">
        <v>244</v>
      </c>
      <c r="C8" s="241">
        <f>+C9+C10+C11+C12+C13+C14</f>
        <v>0</v>
      </c>
    </row>
    <row r="9" spans="1:3" s="65" customFormat="1" ht="12" customHeight="1">
      <c r="A9" s="373" t="s">
        <v>97</v>
      </c>
      <c r="B9" s="354" t="s">
        <v>245</v>
      </c>
      <c r="C9" s="244"/>
    </row>
    <row r="10" spans="1:3" s="66" customFormat="1" ht="12" customHeight="1">
      <c r="A10" s="374" t="s">
        <v>98</v>
      </c>
      <c r="B10" s="355" t="s">
        <v>246</v>
      </c>
      <c r="C10" s="243"/>
    </row>
    <row r="11" spans="1:3" s="66" customFormat="1" ht="12" customHeight="1">
      <c r="A11" s="374" t="s">
        <v>99</v>
      </c>
      <c r="B11" s="355" t="s">
        <v>538</v>
      </c>
      <c r="C11" s="243"/>
    </row>
    <row r="12" spans="1:3" s="66" customFormat="1" ht="12" customHeight="1">
      <c r="A12" s="374" t="s">
        <v>100</v>
      </c>
      <c r="B12" s="355" t="s">
        <v>248</v>
      </c>
      <c r="C12" s="243"/>
    </row>
    <row r="13" spans="1:3" s="66" customFormat="1" ht="12" customHeight="1">
      <c r="A13" s="374" t="s">
        <v>141</v>
      </c>
      <c r="B13" s="355" t="s">
        <v>495</v>
      </c>
      <c r="C13" s="243"/>
    </row>
    <row r="14" spans="1:3" s="65" customFormat="1" ht="12" customHeight="1" thickBot="1">
      <c r="A14" s="375" t="s">
        <v>101</v>
      </c>
      <c r="B14" s="356" t="s">
        <v>422</v>
      </c>
      <c r="C14" s="243"/>
    </row>
    <row r="15" spans="1:3" s="65" customFormat="1" ht="12" customHeight="1" thickBot="1">
      <c r="A15" s="29" t="s">
        <v>19</v>
      </c>
      <c r="B15" s="236" t="s">
        <v>249</v>
      </c>
      <c r="C15" s="241">
        <f>+C16+C17+C18+C19+C20</f>
        <v>0</v>
      </c>
    </row>
    <row r="16" spans="1:3" s="65" customFormat="1" ht="12" customHeight="1">
      <c r="A16" s="373" t="s">
        <v>103</v>
      </c>
      <c r="B16" s="354" t="s">
        <v>250</v>
      </c>
      <c r="C16" s="244"/>
    </row>
    <row r="17" spans="1:3" s="65" customFormat="1" ht="12" customHeight="1">
      <c r="A17" s="374" t="s">
        <v>104</v>
      </c>
      <c r="B17" s="355" t="s">
        <v>251</v>
      </c>
      <c r="C17" s="243"/>
    </row>
    <row r="18" spans="1:3" s="65" customFormat="1" ht="12" customHeight="1">
      <c r="A18" s="374" t="s">
        <v>105</v>
      </c>
      <c r="B18" s="355" t="s">
        <v>411</v>
      </c>
      <c r="C18" s="243"/>
    </row>
    <row r="19" spans="1:3" s="65" customFormat="1" ht="12" customHeight="1">
      <c r="A19" s="374" t="s">
        <v>106</v>
      </c>
      <c r="B19" s="355" t="s">
        <v>412</v>
      </c>
      <c r="C19" s="243"/>
    </row>
    <row r="20" spans="1:3" s="65" customFormat="1" ht="12" customHeight="1">
      <c r="A20" s="374" t="s">
        <v>107</v>
      </c>
      <c r="B20" s="355" t="s">
        <v>252</v>
      </c>
      <c r="C20" s="243"/>
    </row>
    <row r="21" spans="1:3" s="66" customFormat="1" ht="12" customHeight="1" thickBot="1">
      <c r="A21" s="375" t="s">
        <v>116</v>
      </c>
      <c r="B21" s="356" t="s">
        <v>253</v>
      </c>
      <c r="C21" s="245"/>
    </row>
    <row r="22" spans="1:3" s="66" customFormat="1" ht="12" customHeight="1" thickBot="1">
      <c r="A22" s="29" t="s">
        <v>20</v>
      </c>
      <c r="B22" s="21" t="s">
        <v>254</v>
      </c>
      <c r="C22" s="241">
        <f>+C23+C24+C25+C26+C27</f>
        <v>4999992</v>
      </c>
    </row>
    <row r="23" spans="1:3" s="66" customFormat="1" ht="12" customHeight="1">
      <c r="A23" s="373" t="s">
        <v>86</v>
      </c>
      <c r="B23" s="354" t="s">
        <v>255</v>
      </c>
      <c r="C23" s="244"/>
    </row>
    <row r="24" spans="1:3" s="65" customFormat="1" ht="12" customHeight="1">
      <c r="A24" s="374" t="s">
        <v>87</v>
      </c>
      <c r="B24" s="355" t="s">
        <v>256</v>
      </c>
      <c r="C24" s="243"/>
    </row>
    <row r="25" spans="1:3" s="66" customFormat="1" ht="12" customHeight="1">
      <c r="A25" s="374" t="s">
        <v>88</v>
      </c>
      <c r="B25" s="355" t="s">
        <v>413</v>
      </c>
      <c r="C25" s="243"/>
    </row>
    <row r="26" spans="1:3" s="66" customFormat="1" ht="12" customHeight="1">
      <c r="A26" s="374" t="s">
        <v>89</v>
      </c>
      <c r="B26" s="355" t="s">
        <v>414</v>
      </c>
      <c r="C26" s="243"/>
    </row>
    <row r="27" spans="1:3" s="66" customFormat="1" ht="12" customHeight="1">
      <c r="A27" s="374" t="s">
        <v>164</v>
      </c>
      <c r="B27" s="355" t="s">
        <v>257</v>
      </c>
      <c r="C27" s="243">
        <v>4999992</v>
      </c>
    </row>
    <row r="28" spans="1:3" s="66" customFormat="1" ht="12" customHeight="1" thickBot="1">
      <c r="A28" s="375" t="s">
        <v>165</v>
      </c>
      <c r="B28" s="356" t="s">
        <v>258</v>
      </c>
      <c r="C28" s="245"/>
    </row>
    <row r="29" spans="1:3" s="66" customFormat="1" ht="12" customHeight="1" thickBot="1">
      <c r="A29" s="29" t="s">
        <v>166</v>
      </c>
      <c r="B29" s="21" t="s">
        <v>259</v>
      </c>
      <c r="C29" s="247">
        <f>SUM(C30:C36)</f>
        <v>0</v>
      </c>
    </row>
    <row r="30" spans="1:3" s="66" customFormat="1" ht="12" customHeight="1">
      <c r="A30" s="373" t="s">
        <v>260</v>
      </c>
      <c r="B30" s="354" t="str">
        <f>'Össz.ÖNK'!B32</f>
        <v>Késedelmi pótlék</v>
      </c>
      <c r="C30" s="244"/>
    </row>
    <row r="31" spans="1:3" s="66" customFormat="1" ht="12" customHeight="1">
      <c r="A31" s="374" t="s">
        <v>261</v>
      </c>
      <c r="B31" s="354" t="str">
        <f>'Össz.ÖNK'!B33</f>
        <v>Idegenforgalmi adó</v>
      </c>
      <c r="C31" s="243"/>
    </row>
    <row r="32" spans="1:3" s="66" customFormat="1" ht="12" customHeight="1">
      <c r="A32" s="374" t="s">
        <v>262</v>
      </c>
      <c r="B32" s="354" t="str">
        <f>'Össz.ÖNK'!B34</f>
        <v>Iparűzési adó</v>
      </c>
      <c r="C32" s="243"/>
    </row>
    <row r="33" spans="1:3" s="66" customFormat="1" ht="12" customHeight="1">
      <c r="A33" s="374" t="s">
        <v>263</v>
      </c>
      <c r="B33" s="354" t="str">
        <f>'Össz.ÖNK'!B35</f>
        <v>Talajterhelési díj</v>
      </c>
      <c r="C33" s="243"/>
    </row>
    <row r="34" spans="1:3" s="66" customFormat="1" ht="12" customHeight="1">
      <c r="A34" s="374" t="s">
        <v>540</v>
      </c>
      <c r="B34" s="354" t="str">
        <f>'Össz.ÖNK'!B36</f>
        <v>Gépjárműadó</v>
      </c>
      <c r="C34" s="243"/>
    </row>
    <row r="35" spans="1:3" s="66" customFormat="1" ht="12" customHeight="1">
      <c r="A35" s="374" t="s">
        <v>541</v>
      </c>
      <c r="B35" s="354" t="str">
        <f>'Össz.ÖNK'!B37</f>
        <v>Egyéb bírság</v>
      </c>
      <c r="C35" s="243"/>
    </row>
    <row r="36" spans="1:3" s="66" customFormat="1" ht="12" customHeight="1" thickBot="1">
      <c r="A36" s="375" t="s">
        <v>542</v>
      </c>
      <c r="B36" s="354" t="str">
        <f>'Össz.ÖNK'!B38</f>
        <v>Kommunális adó</v>
      </c>
      <c r="C36" s="245"/>
    </row>
    <row r="37" spans="1:3" s="66" customFormat="1" ht="12" customHeight="1" thickBot="1">
      <c r="A37" s="29" t="s">
        <v>22</v>
      </c>
      <c r="B37" s="21" t="s">
        <v>423</v>
      </c>
      <c r="C37" s="241">
        <f>SUM(C38:C48)</f>
        <v>1500000</v>
      </c>
    </row>
    <row r="38" spans="1:3" s="66" customFormat="1" ht="12" customHeight="1">
      <c r="A38" s="373" t="s">
        <v>90</v>
      </c>
      <c r="B38" s="354" t="s">
        <v>267</v>
      </c>
      <c r="C38" s="244"/>
    </row>
    <row r="39" spans="1:3" s="66" customFormat="1" ht="12" customHeight="1">
      <c r="A39" s="374" t="s">
        <v>91</v>
      </c>
      <c r="B39" s="355" t="s">
        <v>268</v>
      </c>
      <c r="C39" s="243"/>
    </row>
    <row r="40" spans="1:3" s="66" customFormat="1" ht="12" customHeight="1">
      <c r="A40" s="374" t="s">
        <v>92</v>
      </c>
      <c r="B40" s="355" t="s">
        <v>269</v>
      </c>
      <c r="C40" s="243"/>
    </row>
    <row r="41" spans="1:3" s="66" customFormat="1" ht="12" customHeight="1">
      <c r="A41" s="374" t="s">
        <v>168</v>
      </c>
      <c r="B41" s="355" t="s">
        <v>270</v>
      </c>
      <c r="C41" s="243"/>
    </row>
    <row r="42" spans="1:3" s="66" customFormat="1" ht="12" customHeight="1">
      <c r="A42" s="374" t="s">
        <v>169</v>
      </c>
      <c r="B42" s="355" t="s">
        <v>271</v>
      </c>
      <c r="C42" s="243"/>
    </row>
    <row r="43" spans="1:3" s="66" customFormat="1" ht="12" customHeight="1">
      <c r="A43" s="374" t="s">
        <v>170</v>
      </c>
      <c r="B43" s="355" t="s">
        <v>272</v>
      </c>
      <c r="C43" s="243"/>
    </row>
    <row r="44" spans="1:3" s="66" customFormat="1" ht="12" customHeight="1">
      <c r="A44" s="374" t="s">
        <v>171</v>
      </c>
      <c r="B44" s="355" t="s">
        <v>273</v>
      </c>
      <c r="C44" s="243"/>
    </row>
    <row r="45" spans="1:3" s="66" customFormat="1" ht="12" customHeight="1">
      <c r="A45" s="374" t="s">
        <v>172</v>
      </c>
      <c r="B45" s="355" t="s">
        <v>548</v>
      </c>
      <c r="C45" s="243"/>
    </row>
    <row r="46" spans="1:3" s="66" customFormat="1" ht="12" customHeight="1">
      <c r="A46" s="374" t="s">
        <v>265</v>
      </c>
      <c r="B46" s="355" t="s">
        <v>275</v>
      </c>
      <c r="C46" s="246"/>
    </row>
    <row r="47" spans="1:3" s="66" customFormat="1" ht="12" customHeight="1">
      <c r="A47" s="375" t="s">
        <v>266</v>
      </c>
      <c r="B47" s="356" t="s">
        <v>425</v>
      </c>
      <c r="C47" s="343"/>
    </row>
    <row r="48" spans="1:3" s="66" customFormat="1" ht="12" customHeight="1" thickBot="1">
      <c r="A48" s="375" t="s">
        <v>424</v>
      </c>
      <c r="B48" s="356" t="s">
        <v>276</v>
      </c>
      <c r="C48" s="343">
        <v>1500000</v>
      </c>
    </row>
    <row r="49" spans="1:3" s="66" customFormat="1" ht="12" customHeight="1" thickBot="1">
      <c r="A49" s="29" t="s">
        <v>23</v>
      </c>
      <c r="B49" s="21" t="s">
        <v>277</v>
      </c>
      <c r="C49" s="241">
        <f>SUM(C50:C54)</f>
        <v>0</v>
      </c>
    </row>
    <row r="50" spans="1:3" s="66" customFormat="1" ht="12" customHeight="1">
      <c r="A50" s="373" t="s">
        <v>93</v>
      </c>
      <c r="B50" s="354" t="s">
        <v>281</v>
      </c>
      <c r="C50" s="398"/>
    </row>
    <row r="51" spans="1:3" s="66" customFormat="1" ht="12" customHeight="1">
      <c r="A51" s="374" t="s">
        <v>94</v>
      </c>
      <c r="B51" s="355" t="s">
        <v>282</v>
      </c>
      <c r="C51" s="246"/>
    </row>
    <row r="52" spans="1:3" s="66" customFormat="1" ht="12" customHeight="1">
      <c r="A52" s="374" t="s">
        <v>278</v>
      </c>
      <c r="B52" s="355" t="s">
        <v>283</v>
      </c>
      <c r="C52" s="246"/>
    </row>
    <row r="53" spans="1:3" s="66" customFormat="1" ht="12" customHeight="1">
      <c r="A53" s="374" t="s">
        <v>279</v>
      </c>
      <c r="B53" s="355" t="s">
        <v>284</v>
      </c>
      <c r="C53" s="246"/>
    </row>
    <row r="54" spans="1:3" s="66" customFormat="1" ht="12" customHeight="1" thickBot="1">
      <c r="A54" s="375" t="s">
        <v>280</v>
      </c>
      <c r="B54" s="356" t="s">
        <v>285</v>
      </c>
      <c r="C54" s="343"/>
    </row>
    <row r="55" spans="1:3" s="66" customFormat="1" ht="12" customHeight="1" thickBot="1">
      <c r="A55" s="29" t="s">
        <v>173</v>
      </c>
      <c r="B55" s="21" t="s">
        <v>286</v>
      </c>
      <c r="C55" s="241">
        <f>SUM(C56:C58)</f>
        <v>0</v>
      </c>
    </row>
    <row r="56" spans="1:3" s="66" customFormat="1" ht="12" customHeight="1">
      <c r="A56" s="373" t="s">
        <v>95</v>
      </c>
      <c r="B56" s="354" t="s">
        <v>287</v>
      </c>
      <c r="C56" s="244"/>
    </row>
    <row r="57" spans="1:3" s="66" customFormat="1" ht="12" customHeight="1">
      <c r="A57" s="374" t="s">
        <v>96</v>
      </c>
      <c r="B57" s="355" t="s">
        <v>415</v>
      </c>
      <c r="C57" s="243"/>
    </row>
    <row r="58" spans="1:3" s="66" customFormat="1" ht="12" customHeight="1">
      <c r="A58" s="374" t="s">
        <v>290</v>
      </c>
      <c r="B58" s="355" t="s">
        <v>288</v>
      </c>
      <c r="C58" s="243"/>
    </row>
    <row r="59" spans="1:3" s="66" customFormat="1" ht="12" customHeight="1" thickBot="1">
      <c r="A59" s="375" t="s">
        <v>291</v>
      </c>
      <c r="B59" s="356" t="s">
        <v>289</v>
      </c>
      <c r="C59" s="245"/>
    </row>
    <row r="60" spans="1:3" s="66" customFormat="1" ht="12" customHeight="1" thickBot="1">
      <c r="A60" s="29" t="s">
        <v>25</v>
      </c>
      <c r="B60" s="236" t="s">
        <v>292</v>
      </c>
      <c r="C60" s="241">
        <f>SUM(C61:C63)</f>
        <v>1758395</v>
      </c>
    </row>
    <row r="61" spans="1:3" s="66" customFormat="1" ht="12" customHeight="1">
      <c r="A61" s="373" t="s">
        <v>174</v>
      </c>
      <c r="B61" s="354" t="s">
        <v>294</v>
      </c>
      <c r="C61" s="246"/>
    </row>
    <row r="62" spans="1:3" s="66" customFormat="1" ht="12" customHeight="1">
      <c r="A62" s="374" t="s">
        <v>175</v>
      </c>
      <c r="B62" s="355" t="s">
        <v>416</v>
      </c>
      <c r="C62" s="246">
        <v>1758395</v>
      </c>
    </row>
    <row r="63" spans="1:3" s="66" customFormat="1" ht="12" customHeight="1">
      <c r="A63" s="374" t="s">
        <v>223</v>
      </c>
      <c r="B63" s="355" t="s">
        <v>295</v>
      </c>
      <c r="C63" s="246"/>
    </row>
    <row r="64" spans="1:3" s="66" customFormat="1" ht="12" customHeight="1" thickBot="1">
      <c r="A64" s="375" t="s">
        <v>293</v>
      </c>
      <c r="B64" s="356" t="s">
        <v>296</v>
      </c>
      <c r="C64" s="246"/>
    </row>
    <row r="65" spans="1:3" s="66" customFormat="1" ht="12" customHeight="1" thickBot="1">
      <c r="A65" s="29" t="s">
        <v>26</v>
      </c>
      <c r="B65" s="21" t="s">
        <v>297</v>
      </c>
      <c r="C65" s="247">
        <f>+C8+C15+C22+C29+C37+C49+C55+C60</f>
        <v>8258387</v>
      </c>
    </row>
    <row r="66" spans="1:3" s="66" customFormat="1" ht="12" customHeight="1" thickBot="1">
      <c r="A66" s="376" t="s">
        <v>384</v>
      </c>
      <c r="B66" s="236" t="s">
        <v>299</v>
      </c>
      <c r="C66" s="241">
        <f>SUM(C67:C69)</f>
        <v>0</v>
      </c>
    </row>
    <row r="67" spans="1:3" s="66" customFormat="1" ht="12" customHeight="1">
      <c r="A67" s="373" t="s">
        <v>327</v>
      </c>
      <c r="B67" s="354" t="s">
        <v>300</v>
      </c>
      <c r="C67" s="246"/>
    </row>
    <row r="68" spans="1:3" s="66" customFormat="1" ht="12" customHeight="1">
      <c r="A68" s="374" t="s">
        <v>336</v>
      </c>
      <c r="B68" s="355" t="s">
        <v>301</v>
      </c>
      <c r="C68" s="246"/>
    </row>
    <row r="69" spans="1:3" s="66" customFormat="1" ht="12" customHeight="1" thickBot="1">
      <c r="A69" s="375" t="s">
        <v>337</v>
      </c>
      <c r="B69" s="357" t="s">
        <v>302</v>
      </c>
      <c r="C69" s="246"/>
    </row>
    <row r="70" spans="1:3" s="66" customFormat="1" ht="12" customHeight="1" thickBot="1">
      <c r="A70" s="376" t="s">
        <v>303</v>
      </c>
      <c r="B70" s="236" t="s">
        <v>304</v>
      </c>
      <c r="C70" s="241">
        <f>SUM(C71:C74)</f>
        <v>0</v>
      </c>
    </row>
    <row r="71" spans="1:3" s="66" customFormat="1" ht="12" customHeight="1">
      <c r="A71" s="373" t="s">
        <v>142</v>
      </c>
      <c r="B71" s="354" t="s">
        <v>305</v>
      </c>
      <c r="C71" s="246"/>
    </row>
    <row r="72" spans="1:3" s="66" customFormat="1" ht="12" customHeight="1">
      <c r="A72" s="374" t="s">
        <v>143</v>
      </c>
      <c r="B72" s="355" t="s">
        <v>557</v>
      </c>
      <c r="C72" s="246"/>
    </row>
    <row r="73" spans="1:3" s="66" customFormat="1" ht="12" customHeight="1">
      <c r="A73" s="374" t="s">
        <v>328</v>
      </c>
      <c r="B73" s="355" t="s">
        <v>306</v>
      </c>
      <c r="C73" s="246"/>
    </row>
    <row r="74" spans="1:3" s="66" customFormat="1" ht="12" customHeight="1">
      <c r="A74" s="374" t="s">
        <v>329</v>
      </c>
      <c r="B74" s="237" t="s">
        <v>558</v>
      </c>
      <c r="C74" s="246"/>
    </row>
    <row r="75" spans="1:3" s="66" customFormat="1" ht="12" customHeight="1" thickBot="1">
      <c r="A75" s="380" t="s">
        <v>307</v>
      </c>
      <c r="B75" s="508" t="s">
        <v>308</v>
      </c>
      <c r="C75" s="417">
        <f>SUM(C76:C77)</f>
        <v>0</v>
      </c>
    </row>
    <row r="76" spans="1:3" s="66" customFormat="1" ht="12" customHeight="1">
      <c r="A76" s="373" t="s">
        <v>330</v>
      </c>
      <c r="B76" s="354" t="s">
        <v>309</v>
      </c>
      <c r="C76" s="246"/>
    </row>
    <row r="77" spans="1:3" s="66" customFormat="1" ht="12" customHeight="1" thickBot="1">
      <c r="A77" s="375" t="s">
        <v>331</v>
      </c>
      <c r="B77" s="356" t="s">
        <v>310</v>
      </c>
      <c r="C77" s="246"/>
    </row>
    <row r="78" spans="1:3" s="65" customFormat="1" ht="12" customHeight="1" thickBot="1">
      <c r="A78" s="376" t="s">
        <v>311</v>
      </c>
      <c r="B78" s="236" t="s">
        <v>312</v>
      </c>
      <c r="C78" s="241">
        <f>SUM(C79:C81)</f>
        <v>0</v>
      </c>
    </row>
    <row r="79" spans="1:3" s="66" customFormat="1" ht="12" customHeight="1">
      <c r="A79" s="373" t="s">
        <v>332</v>
      </c>
      <c r="B79" s="354" t="s">
        <v>313</v>
      </c>
      <c r="C79" s="246"/>
    </row>
    <row r="80" spans="1:3" s="66" customFormat="1" ht="12" customHeight="1">
      <c r="A80" s="374" t="s">
        <v>333</v>
      </c>
      <c r="B80" s="355" t="s">
        <v>314</v>
      </c>
      <c r="C80" s="246"/>
    </row>
    <row r="81" spans="1:3" s="66" customFormat="1" ht="12" customHeight="1" thickBot="1">
      <c r="A81" s="375" t="s">
        <v>334</v>
      </c>
      <c r="B81" s="356" t="s">
        <v>559</v>
      </c>
      <c r="C81" s="246"/>
    </row>
    <row r="82" spans="1:3" s="66" customFormat="1" ht="12" customHeight="1" thickBot="1">
      <c r="A82" s="376" t="s">
        <v>315</v>
      </c>
      <c r="B82" s="236" t="s">
        <v>335</v>
      </c>
      <c r="C82" s="241">
        <f>SUM(C83:C86)</f>
        <v>0</v>
      </c>
    </row>
    <row r="83" spans="1:3" s="66" customFormat="1" ht="12" customHeight="1">
      <c r="A83" s="377" t="s">
        <v>316</v>
      </c>
      <c r="B83" s="354" t="s">
        <v>317</v>
      </c>
      <c r="C83" s="246"/>
    </row>
    <row r="84" spans="1:3" s="66" customFormat="1" ht="12" customHeight="1">
      <c r="A84" s="378" t="s">
        <v>318</v>
      </c>
      <c r="B84" s="355" t="s">
        <v>319</v>
      </c>
      <c r="C84" s="246"/>
    </row>
    <row r="85" spans="1:3" s="66" customFormat="1" ht="12" customHeight="1">
      <c r="A85" s="378" t="s">
        <v>320</v>
      </c>
      <c r="B85" s="355" t="s">
        <v>321</v>
      </c>
      <c r="C85" s="246"/>
    </row>
    <row r="86" spans="1:3" s="65" customFormat="1" ht="12" customHeight="1" thickBot="1">
      <c r="A86" s="379" t="s">
        <v>322</v>
      </c>
      <c r="B86" s="356" t="s">
        <v>323</v>
      </c>
      <c r="C86" s="246"/>
    </row>
    <row r="87" spans="1:3" s="65" customFormat="1" ht="12" customHeight="1" thickBot="1">
      <c r="A87" s="376" t="s">
        <v>324</v>
      </c>
      <c r="B87" s="236" t="s">
        <v>464</v>
      </c>
      <c r="C87" s="399"/>
    </row>
    <row r="88" spans="1:3" s="65" customFormat="1" ht="12" customHeight="1" thickBot="1">
      <c r="A88" s="376" t="s">
        <v>496</v>
      </c>
      <c r="B88" s="236" t="s">
        <v>325</v>
      </c>
      <c r="C88" s="399"/>
    </row>
    <row r="89" spans="1:3" s="65" customFormat="1" ht="12" customHeight="1" thickBot="1">
      <c r="A89" s="376" t="s">
        <v>497</v>
      </c>
      <c r="B89" s="361" t="s">
        <v>467</v>
      </c>
      <c r="C89" s="247">
        <f>+C66+C70+C75+C78+C82+C88+C87</f>
        <v>0</v>
      </c>
    </row>
    <row r="90" spans="1:3" s="65" customFormat="1" ht="12" customHeight="1" thickBot="1">
      <c r="A90" s="380" t="s">
        <v>498</v>
      </c>
      <c r="B90" s="362" t="s">
        <v>499</v>
      </c>
      <c r="C90" s="247">
        <f>+C65+C89</f>
        <v>8258387</v>
      </c>
    </row>
    <row r="91" spans="1:3" s="66" customFormat="1" ht="6.75" customHeight="1" thickBot="1">
      <c r="A91" s="181"/>
      <c r="B91" s="182"/>
      <c r="C91" s="306"/>
    </row>
    <row r="92" spans="1:3" s="43" customFormat="1" ht="16.5" customHeight="1" thickBot="1">
      <c r="A92" s="185"/>
      <c r="B92" s="186" t="s">
        <v>56</v>
      </c>
      <c r="C92" s="308"/>
    </row>
    <row r="93" spans="1:3" s="67" customFormat="1" ht="12" customHeight="1" thickBot="1">
      <c r="A93" s="348" t="s">
        <v>18</v>
      </c>
      <c r="B93" s="26" t="s">
        <v>503</v>
      </c>
      <c r="C93" s="240">
        <f>+C94+C95+C96+C97+C98+C111</f>
        <v>69978459</v>
      </c>
    </row>
    <row r="94" spans="1:4" ht="12" customHeight="1">
      <c r="A94" s="381" t="s">
        <v>97</v>
      </c>
      <c r="B94" s="10" t="s">
        <v>48</v>
      </c>
      <c r="C94" s="242">
        <v>14335484</v>
      </c>
      <c r="D94" s="3" t="s">
        <v>686</v>
      </c>
    </row>
    <row r="95" spans="1:4" ht="12" customHeight="1">
      <c r="A95" s="374" t="s">
        <v>98</v>
      </c>
      <c r="B95" s="8" t="s">
        <v>176</v>
      </c>
      <c r="C95" s="243">
        <v>2457247</v>
      </c>
      <c r="D95" s="3" t="s">
        <v>685</v>
      </c>
    </row>
    <row r="96" spans="1:3" ht="12" customHeight="1">
      <c r="A96" s="374" t="s">
        <v>99</v>
      </c>
      <c r="B96" s="8" t="s">
        <v>133</v>
      </c>
      <c r="C96" s="245">
        <v>30741718</v>
      </c>
    </row>
    <row r="97" spans="1:3" ht="12" customHeight="1">
      <c r="A97" s="374" t="s">
        <v>100</v>
      </c>
      <c r="B97" s="11" t="s">
        <v>177</v>
      </c>
      <c r="C97" s="245">
        <v>1834010</v>
      </c>
    </row>
    <row r="98" spans="1:3" ht="12" customHeight="1">
      <c r="A98" s="374" t="s">
        <v>111</v>
      </c>
      <c r="B98" s="19" t="s">
        <v>178</v>
      </c>
      <c r="C98" s="245">
        <v>20610000</v>
      </c>
    </row>
    <row r="99" spans="1:3" ht="12" customHeight="1">
      <c r="A99" s="374" t="s">
        <v>101</v>
      </c>
      <c r="B99" s="8" t="s">
        <v>500</v>
      </c>
      <c r="C99" s="245"/>
    </row>
    <row r="100" spans="1:3" ht="12" customHeight="1">
      <c r="A100" s="374" t="s">
        <v>102</v>
      </c>
      <c r="B100" s="109" t="s">
        <v>430</v>
      </c>
      <c r="C100" s="245"/>
    </row>
    <row r="101" spans="1:3" ht="12" customHeight="1">
      <c r="A101" s="374" t="s">
        <v>112</v>
      </c>
      <c r="B101" s="109" t="s">
        <v>429</v>
      </c>
      <c r="C101" s="245"/>
    </row>
    <row r="102" spans="1:3" ht="12" customHeight="1">
      <c r="A102" s="374" t="s">
        <v>113</v>
      </c>
      <c r="B102" s="109" t="s">
        <v>341</v>
      </c>
      <c r="C102" s="245"/>
    </row>
    <row r="103" spans="1:3" ht="12" customHeight="1">
      <c r="A103" s="374" t="s">
        <v>114</v>
      </c>
      <c r="B103" s="110" t="s">
        <v>342</v>
      </c>
      <c r="C103" s="245"/>
    </row>
    <row r="104" spans="1:3" ht="12" customHeight="1">
      <c r="A104" s="374" t="s">
        <v>115</v>
      </c>
      <c r="B104" s="110" t="s">
        <v>343</v>
      </c>
      <c r="C104" s="245"/>
    </row>
    <row r="105" spans="1:3" ht="12" customHeight="1">
      <c r="A105" s="374" t="s">
        <v>117</v>
      </c>
      <c r="B105" s="109" t="s">
        <v>344</v>
      </c>
      <c r="C105" s="245">
        <v>13800000</v>
      </c>
    </row>
    <row r="106" spans="1:3" ht="12" customHeight="1">
      <c r="A106" s="374" t="s">
        <v>179</v>
      </c>
      <c r="B106" s="109" t="s">
        <v>345</v>
      </c>
      <c r="C106" s="245"/>
    </row>
    <row r="107" spans="1:3" ht="12" customHeight="1">
      <c r="A107" s="374" t="s">
        <v>339</v>
      </c>
      <c r="B107" s="110" t="s">
        <v>346</v>
      </c>
      <c r="C107" s="245"/>
    </row>
    <row r="108" spans="1:3" ht="12" customHeight="1">
      <c r="A108" s="382" t="s">
        <v>340</v>
      </c>
      <c r="B108" s="111" t="s">
        <v>347</v>
      </c>
      <c r="C108" s="245"/>
    </row>
    <row r="109" spans="1:3" ht="12" customHeight="1">
      <c r="A109" s="374" t="s">
        <v>427</v>
      </c>
      <c r="B109" s="111" t="s">
        <v>348</v>
      </c>
      <c r="C109" s="245"/>
    </row>
    <row r="110" spans="1:3" ht="12" customHeight="1">
      <c r="A110" s="374" t="s">
        <v>428</v>
      </c>
      <c r="B110" s="110" t="s">
        <v>349</v>
      </c>
      <c r="C110" s="243">
        <v>6810000</v>
      </c>
    </row>
    <row r="111" spans="1:3" ht="12" customHeight="1">
      <c r="A111" s="374" t="s">
        <v>432</v>
      </c>
      <c r="B111" s="11" t="s">
        <v>49</v>
      </c>
      <c r="C111" s="243"/>
    </row>
    <row r="112" spans="1:3" ht="12" customHeight="1">
      <c r="A112" s="375" t="s">
        <v>433</v>
      </c>
      <c r="B112" s="8" t="s">
        <v>501</v>
      </c>
      <c r="C112" s="245"/>
    </row>
    <row r="113" spans="1:3" ht="12" customHeight="1" thickBot="1">
      <c r="A113" s="383" t="s">
        <v>434</v>
      </c>
      <c r="B113" s="112" t="s">
        <v>502</v>
      </c>
      <c r="C113" s="249"/>
    </row>
    <row r="114" spans="1:3" ht="12" customHeight="1" thickBot="1">
      <c r="A114" s="29" t="s">
        <v>19</v>
      </c>
      <c r="B114" s="25" t="s">
        <v>350</v>
      </c>
      <c r="C114" s="241">
        <f>+C115+C117+C119</f>
        <v>268348257</v>
      </c>
    </row>
    <row r="115" spans="1:3" ht="12" customHeight="1">
      <c r="A115" s="373" t="s">
        <v>103</v>
      </c>
      <c r="B115" s="8" t="s">
        <v>222</v>
      </c>
      <c r="C115" s="244">
        <v>21516043</v>
      </c>
    </row>
    <row r="116" spans="1:3" ht="12" customHeight="1">
      <c r="A116" s="373" t="s">
        <v>104</v>
      </c>
      <c r="B116" s="12" t="s">
        <v>354</v>
      </c>
      <c r="C116" s="244"/>
    </row>
    <row r="117" spans="1:3" ht="12" customHeight="1">
      <c r="A117" s="373" t="s">
        <v>105</v>
      </c>
      <c r="B117" s="12" t="s">
        <v>180</v>
      </c>
      <c r="C117" s="243">
        <v>246832214</v>
      </c>
    </row>
    <row r="118" spans="1:3" ht="12" customHeight="1">
      <c r="A118" s="373" t="s">
        <v>106</v>
      </c>
      <c r="B118" s="12" t="s">
        <v>355</v>
      </c>
      <c r="C118" s="209"/>
    </row>
    <row r="119" spans="1:3" ht="12" customHeight="1">
      <c r="A119" s="373" t="s">
        <v>107</v>
      </c>
      <c r="B119" s="238" t="s">
        <v>224</v>
      </c>
      <c r="C119" s="209"/>
    </row>
    <row r="120" spans="1:3" ht="12" customHeight="1">
      <c r="A120" s="373" t="s">
        <v>116</v>
      </c>
      <c r="B120" s="237" t="s">
        <v>417</v>
      </c>
      <c r="C120" s="209"/>
    </row>
    <row r="121" spans="1:3" ht="12" customHeight="1">
      <c r="A121" s="373" t="s">
        <v>118</v>
      </c>
      <c r="B121" s="350" t="s">
        <v>360</v>
      </c>
      <c r="C121" s="209"/>
    </row>
    <row r="122" spans="1:3" ht="12" customHeight="1">
      <c r="A122" s="373" t="s">
        <v>181</v>
      </c>
      <c r="B122" s="110" t="s">
        <v>343</v>
      </c>
      <c r="C122" s="209"/>
    </row>
    <row r="123" spans="1:3" ht="12" customHeight="1">
      <c r="A123" s="373" t="s">
        <v>182</v>
      </c>
      <c r="B123" s="110" t="s">
        <v>359</v>
      </c>
      <c r="C123" s="209"/>
    </row>
    <row r="124" spans="1:3" ht="12" customHeight="1">
      <c r="A124" s="373" t="s">
        <v>183</v>
      </c>
      <c r="B124" s="110" t="s">
        <v>358</v>
      </c>
      <c r="C124" s="209"/>
    </row>
    <row r="125" spans="1:3" ht="12" customHeight="1">
      <c r="A125" s="373" t="s">
        <v>351</v>
      </c>
      <c r="B125" s="110" t="s">
        <v>346</v>
      </c>
      <c r="C125" s="209"/>
    </row>
    <row r="126" spans="1:3" ht="12" customHeight="1">
      <c r="A126" s="373" t="s">
        <v>352</v>
      </c>
      <c r="B126" s="110" t="s">
        <v>357</v>
      </c>
      <c r="C126" s="209"/>
    </row>
    <row r="127" spans="1:3" ht="12" customHeight="1" thickBot="1">
      <c r="A127" s="382" t="s">
        <v>353</v>
      </c>
      <c r="B127" s="110" t="s">
        <v>356</v>
      </c>
      <c r="C127" s="211"/>
    </row>
    <row r="128" spans="1:3" ht="12" customHeight="1" thickBot="1">
      <c r="A128" s="29" t="s">
        <v>20</v>
      </c>
      <c r="B128" s="91" t="s">
        <v>437</v>
      </c>
      <c r="C128" s="241">
        <f>+C93+C114</f>
        <v>338326716</v>
      </c>
    </row>
    <row r="129" spans="1:3" ht="12" customHeight="1" thickBot="1">
      <c r="A129" s="29" t="s">
        <v>21</v>
      </c>
      <c r="B129" s="91" t="s">
        <v>438</v>
      </c>
      <c r="C129" s="241">
        <f>+C130+C131+C132</f>
        <v>0</v>
      </c>
    </row>
    <row r="130" spans="1:3" s="67" customFormat="1" ht="12" customHeight="1">
      <c r="A130" s="373" t="s">
        <v>260</v>
      </c>
      <c r="B130" s="9" t="s">
        <v>506</v>
      </c>
      <c r="C130" s="209"/>
    </row>
    <row r="131" spans="1:3" ht="12" customHeight="1">
      <c r="A131" s="373" t="s">
        <v>261</v>
      </c>
      <c r="B131" s="9" t="s">
        <v>446</v>
      </c>
      <c r="C131" s="209"/>
    </row>
    <row r="132" spans="1:3" ht="12" customHeight="1" thickBot="1">
      <c r="A132" s="382" t="s">
        <v>262</v>
      </c>
      <c r="B132" s="7" t="s">
        <v>505</v>
      </c>
      <c r="C132" s="209"/>
    </row>
    <row r="133" spans="1:3" ht="12" customHeight="1" thickBot="1">
      <c r="A133" s="29" t="s">
        <v>22</v>
      </c>
      <c r="B133" s="91" t="s">
        <v>439</v>
      </c>
      <c r="C133" s="241">
        <f>+C134+C135+C136+C137+C138+C139</f>
        <v>0</v>
      </c>
    </row>
    <row r="134" spans="1:3" ht="12" customHeight="1">
      <c r="A134" s="373" t="s">
        <v>90</v>
      </c>
      <c r="B134" s="9" t="s">
        <v>448</v>
      </c>
      <c r="C134" s="209"/>
    </row>
    <row r="135" spans="1:3" ht="12" customHeight="1">
      <c r="A135" s="373" t="s">
        <v>91</v>
      </c>
      <c r="B135" s="9" t="s">
        <v>440</v>
      </c>
      <c r="C135" s="209"/>
    </row>
    <row r="136" spans="1:3" ht="12" customHeight="1">
      <c r="A136" s="373" t="s">
        <v>92</v>
      </c>
      <c r="B136" s="9" t="s">
        <v>441</v>
      </c>
      <c r="C136" s="209"/>
    </row>
    <row r="137" spans="1:3" ht="12" customHeight="1">
      <c r="A137" s="373" t="s">
        <v>168</v>
      </c>
      <c r="B137" s="9" t="s">
        <v>504</v>
      </c>
      <c r="C137" s="209"/>
    </row>
    <row r="138" spans="1:3" ht="12" customHeight="1">
      <c r="A138" s="373" t="s">
        <v>169</v>
      </c>
      <c r="B138" s="9" t="s">
        <v>443</v>
      </c>
      <c r="C138" s="209"/>
    </row>
    <row r="139" spans="1:3" s="67" customFormat="1" ht="12" customHeight="1" thickBot="1">
      <c r="A139" s="382" t="s">
        <v>170</v>
      </c>
      <c r="B139" s="7" t="s">
        <v>444</v>
      </c>
      <c r="C139" s="209"/>
    </row>
    <row r="140" spans="1:11" ht="12" customHeight="1" thickBot="1">
      <c r="A140" s="29" t="s">
        <v>23</v>
      </c>
      <c r="B140" s="91" t="s">
        <v>529</v>
      </c>
      <c r="C140" s="247">
        <f>+C141+C142+C144+C145+C143</f>
        <v>0</v>
      </c>
      <c r="K140" s="192"/>
    </row>
    <row r="141" spans="1:3" ht="12.75">
      <c r="A141" s="373" t="s">
        <v>93</v>
      </c>
      <c r="B141" s="9" t="s">
        <v>361</v>
      </c>
      <c r="C141" s="209"/>
    </row>
    <row r="142" spans="1:3" ht="12" customHeight="1">
      <c r="A142" s="373" t="s">
        <v>94</v>
      </c>
      <c r="B142" s="9" t="s">
        <v>362</v>
      </c>
      <c r="C142" s="209"/>
    </row>
    <row r="143" spans="1:3" s="67" customFormat="1" ht="12" customHeight="1">
      <c r="A143" s="373" t="s">
        <v>278</v>
      </c>
      <c r="B143" s="9" t="s">
        <v>528</v>
      </c>
      <c r="C143" s="209"/>
    </row>
    <row r="144" spans="1:3" s="67" customFormat="1" ht="12" customHeight="1">
      <c r="A144" s="373" t="s">
        <v>279</v>
      </c>
      <c r="B144" s="9" t="s">
        <v>453</v>
      </c>
      <c r="C144" s="209"/>
    </row>
    <row r="145" spans="1:3" s="67" customFormat="1" ht="12" customHeight="1" thickBot="1">
      <c r="A145" s="382" t="s">
        <v>280</v>
      </c>
      <c r="B145" s="7" t="s">
        <v>380</v>
      </c>
      <c r="C145" s="209"/>
    </row>
    <row r="146" spans="1:3" s="67" customFormat="1" ht="12" customHeight="1" thickBot="1">
      <c r="A146" s="29" t="s">
        <v>24</v>
      </c>
      <c r="B146" s="91" t="s">
        <v>454</v>
      </c>
      <c r="C146" s="250">
        <f>+C147+C148+C149+C150+C151</f>
        <v>0</v>
      </c>
    </row>
    <row r="147" spans="1:3" s="67" customFormat="1" ht="12" customHeight="1">
      <c r="A147" s="373" t="s">
        <v>95</v>
      </c>
      <c r="B147" s="9" t="s">
        <v>449</v>
      </c>
      <c r="C147" s="209"/>
    </row>
    <row r="148" spans="1:3" s="67" customFormat="1" ht="12" customHeight="1">
      <c r="A148" s="373" t="s">
        <v>96</v>
      </c>
      <c r="B148" s="9" t="s">
        <v>456</v>
      </c>
      <c r="C148" s="209"/>
    </row>
    <row r="149" spans="1:3" s="67" customFormat="1" ht="12" customHeight="1">
      <c r="A149" s="373" t="s">
        <v>290</v>
      </c>
      <c r="B149" s="9" t="s">
        <v>451</v>
      </c>
      <c r="C149" s="209"/>
    </row>
    <row r="150" spans="1:3" ht="12.75" customHeight="1">
      <c r="A150" s="373" t="s">
        <v>291</v>
      </c>
      <c r="B150" s="9" t="s">
        <v>507</v>
      </c>
      <c r="C150" s="209"/>
    </row>
    <row r="151" spans="1:3" ht="12.75" customHeight="1" thickBot="1">
      <c r="A151" s="382" t="s">
        <v>455</v>
      </c>
      <c r="B151" s="7" t="s">
        <v>458</v>
      </c>
      <c r="C151" s="211"/>
    </row>
    <row r="152" spans="1:3" ht="12.75" customHeight="1" thickBot="1">
      <c r="A152" s="422" t="s">
        <v>25</v>
      </c>
      <c r="B152" s="91" t="s">
        <v>459</v>
      </c>
      <c r="C152" s="250"/>
    </row>
    <row r="153" spans="1:3" ht="12" customHeight="1" thickBot="1">
      <c r="A153" s="422" t="s">
        <v>26</v>
      </c>
      <c r="B153" s="91" t="s">
        <v>460</v>
      </c>
      <c r="C153" s="250"/>
    </row>
    <row r="154" spans="1:3" ht="15" customHeight="1" thickBot="1">
      <c r="A154" s="29" t="s">
        <v>27</v>
      </c>
      <c r="B154" s="91" t="s">
        <v>462</v>
      </c>
      <c r="C154" s="364">
        <f>+C129+C133+C140+C146+C152+C153</f>
        <v>0</v>
      </c>
    </row>
    <row r="155" spans="1:3" ht="13.5" thickBot="1">
      <c r="A155" s="384" t="s">
        <v>28</v>
      </c>
      <c r="B155" s="320" t="s">
        <v>461</v>
      </c>
      <c r="C155" s="364">
        <f>+C128+C154</f>
        <v>338326716</v>
      </c>
    </row>
    <row r="156" spans="1:3" ht="7.5" customHeight="1">
      <c r="A156" s="328"/>
      <c r="B156" s="329"/>
      <c r="C156" s="548">
        <f>C90-C155</f>
        <v>-330068329</v>
      </c>
    </row>
    <row r="157" spans="1:3" ht="12.75">
      <c r="A157" s="545"/>
      <c r="B157" s="546"/>
      <c r="C157" s="547"/>
    </row>
    <row r="158" spans="1:2" ht="12.75">
      <c r="A158" s="545"/>
      <c r="B158" s="546"/>
    </row>
    <row r="159" spans="1:3" ht="12.75">
      <c r="A159" s="545"/>
      <c r="B159" s="546"/>
      <c r="C159" s="547"/>
    </row>
    <row r="160" spans="1:3" ht="12.75">
      <c r="A160" s="545"/>
      <c r="B160" s="546"/>
      <c r="C160" s="547"/>
    </row>
    <row r="161" spans="1:3" ht="12.75">
      <c r="A161" s="545"/>
      <c r="B161" s="546"/>
      <c r="C161" s="547"/>
    </row>
    <row r="162" spans="1:3" ht="12.75">
      <c r="A162" s="545"/>
      <c r="B162" s="546"/>
      <c r="C162" s="547"/>
    </row>
    <row r="163" spans="1:3" ht="12.75">
      <c r="A163" s="545"/>
      <c r="B163" s="546"/>
      <c r="C163" s="547"/>
    </row>
    <row r="164" spans="1:3" ht="12.75">
      <c r="A164" s="545"/>
      <c r="B164" s="546"/>
      <c r="C164" s="547"/>
    </row>
    <row r="165" spans="1:3" ht="12.75">
      <c r="A165" s="545"/>
      <c r="B165" s="546"/>
      <c r="C165" s="547"/>
    </row>
    <row r="166" spans="1:3" ht="12.75">
      <c r="A166" s="545"/>
      <c r="B166" s="546"/>
      <c r="C166" s="547"/>
    </row>
    <row r="167" spans="1:3" ht="12.75">
      <c r="A167" s="545"/>
      <c r="B167" s="546"/>
      <c r="C167" s="547"/>
    </row>
    <row r="168" spans="1:3" ht="12.75">
      <c r="A168" s="545"/>
      <c r="B168" s="546"/>
      <c r="C168" s="547"/>
    </row>
    <row r="169" spans="1:3" ht="12.75">
      <c r="A169" s="545"/>
      <c r="B169" s="546"/>
      <c r="C169" s="547"/>
    </row>
    <row r="170" spans="1:3" ht="12.75">
      <c r="A170" s="545"/>
      <c r="B170" s="546"/>
      <c r="C170" s="547"/>
    </row>
    <row r="171" spans="1:3" ht="12.75">
      <c r="A171" s="545"/>
      <c r="B171" s="546"/>
      <c r="C171" s="547"/>
    </row>
    <row r="172" spans="1:3" ht="12.75">
      <c r="A172" s="545"/>
      <c r="B172" s="546"/>
      <c r="C172" s="547"/>
    </row>
    <row r="173" spans="1:3" ht="12.75">
      <c r="A173" s="545"/>
      <c r="B173" s="546"/>
      <c r="C173" s="547"/>
    </row>
    <row r="174" spans="1:3" ht="12.75">
      <c r="A174" s="545"/>
      <c r="B174" s="546"/>
      <c r="C174" s="547"/>
    </row>
    <row r="175" spans="1:3" ht="12.75">
      <c r="A175" s="545"/>
      <c r="B175" s="546"/>
      <c r="C175" s="547"/>
    </row>
    <row r="176" spans="1:3" ht="12.75">
      <c r="A176" s="545"/>
      <c r="B176" s="546"/>
      <c r="C176" s="54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8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20" zoomScaleNormal="120" zoomScalePageLayoutView="0" workbookViewId="0" topLeftCell="A1">
      <selection activeCell="A7" sqref="A7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6.00390625" style="0" bestFit="1" customWidth="1"/>
    <col min="5" max="5" width="1.875" style="0" bestFit="1" customWidth="1"/>
    <col min="6" max="6" width="11.00390625" style="0" customWidth="1"/>
    <col min="11" max="11" width="12.375" style="0" customWidth="1"/>
    <col min="13" max="16" width="0" style="0" hidden="1" customWidth="1"/>
  </cols>
  <sheetData>
    <row r="1" spans="1:12" ht="18">
      <c r="A1" s="740" t="s">
        <v>571</v>
      </c>
      <c r="B1" s="740"/>
      <c r="C1" s="740"/>
      <c r="D1" s="740"/>
      <c r="E1" s="740"/>
      <c r="F1" s="740"/>
      <c r="G1" s="740"/>
      <c r="H1" s="740"/>
      <c r="I1" s="740"/>
      <c r="J1" s="740"/>
      <c r="K1" s="577"/>
      <c r="L1" s="577"/>
    </row>
    <row r="2" spans="1:12" ht="12.75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</row>
    <row r="3" spans="1:12" ht="15.75">
      <c r="A3" s="737" t="s">
        <v>680</v>
      </c>
      <c r="B3" s="737"/>
      <c r="C3" s="737"/>
      <c r="D3" s="737"/>
      <c r="E3" s="737"/>
      <c r="F3" s="737"/>
      <c r="G3" s="737"/>
      <c r="H3" s="737"/>
      <c r="I3" s="737"/>
      <c r="J3" s="737"/>
      <c r="K3" s="577"/>
      <c r="L3" s="577"/>
    </row>
    <row r="4" spans="1:12" ht="12.75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</row>
    <row r="5" spans="1:12" ht="12.75">
      <c r="A5" s="577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</row>
    <row r="6" spans="1:12" ht="14.25">
      <c r="A6" s="640" t="s">
        <v>657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</row>
    <row r="7" spans="1:12" ht="12.75">
      <c r="A7" s="619" t="s">
        <v>636</v>
      </c>
      <c r="B7" s="638"/>
      <c r="C7" s="127" t="s">
        <v>633</v>
      </c>
      <c r="D7" s="127">
        <f>TARTALOMJEGYZÉK!A1</f>
        <v>2020</v>
      </c>
      <c r="E7" s="127" t="s">
        <v>634</v>
      </c>
      <c r="F7" s="638"/>
      <c r="G7" s="127" t="s">
        <v>635</v>
      </c>
      <c r="H7" s="127" t="s">
        <v>637</v>
      </c>
      <c r="I7" s="127"/>
      <c r="J7" s="127"/>
      <c r="K7" s="127"/>
      <c r="L7" s="577"/>
    </row>
    <row r="8" spans="1:12" ht="12.75">
      <c r="A8" s="641"/>
      <c r="B8" s="639"/>
      <c r="C8" s="577"/>
      <c r="D8" s="577"/>
      <c r="E8" s="577"/>
      <c r="F8" s="639"/>
      <c r="G8" s="577"/>
      <c r="H8" s="577"/>
      <c r="I8" s="577"/>
      <c r="J8" s="577"/>
      <c r="K8" s="577"/>
      <c r="L8" s="577"/>
    </row>
    <row r="9" spans="1:12" ht="12.75">
      <c r="A9" s="641"/>
      <c r="B9" s="639"/>
      <c r="C9" s="577"/>
      <c r="D9" s="577"/>
      <c r="E9" s="577"/>
      <c r="F9" s="639"/>
      <c r="G9" s="577"/>
      <c r="H9" s="577"/>
      <c r="I9" s="577"/>
      <c r="J9" s="577"/>
      <c r="K9" s="577"/>
      <c r="L9" s="577"/>
    </row>
    <row r="10" spans="1:12" ht="13.5" thickBot="1">
      <c r="A10" s="577"/>
      <c r="B10" s="577"/>
      <c r="C10" s="577"/>
      <c r="D10" s="577"/>
      <c r="E10" s="577"/>
      <c r="F10" s="577"/>
      <c r="G10" s="577"/>
      <c r="H10" s="577"/>
      <c r="I10" s="577"/>
      <c r="J10" s="577"/>
      <c r="K10" s="595" t="s">
        <v>662</v>
      </c>
      <c r="L10" s="577"/>
    </row>
    <row r="11" spans="1:16" ht="17.25" thickBot="1" thickTop="1">
      <c r="A11" s="737" t="s">
        <v>681</v>
      </c>
      <c r="B11" s="738"/>
      <c r="C11" s="738"/>
      <c r="D11" s="738"/>
      <c r="E11" s="738"/>
      <c r="F11" s="738"/>
      <c r="G11" s="738"/>
      <c r="H11" s="739"/>
      <c r="I11" s="739"/>
      <c r="J11" s="739"/>
      <c r="K11" s="642" t="s">
        <v>673</v>
      </c>
      <c r="L11" s="577"/>
      <c r="M11" s="596" t="s">
        <v>26</v>
      </c>
      <c r="N11">
        <f>IF($K$11="Nem","",2)</f>
        <v>2</v>
      </c>
      <c r="O11" t="s">
        <v>663</v>
      </c>
      <c r="P11" t="str">
        <f>CONCATENATE(M11,N11,O11)</f>
        <v>9.2.</v>
      </c>
    </row>
    <row r="12" spans="1:12" ht="13.5" thickTop="1">
      <c r="A12" s="577"/>
      <c r="B12" s="577"/>
      <c r="C12" s="577"/>
      <c r="D12" s="577"/>
      <c r="E12" s="577"/>
      <c r="F12" s="577"/>
      <c r="G12" s="577"/>
      <c r="H12" s="577"/>
      <c r="I12" s="577"/>
      <c r="J12" s="577"/>
      <c r="K12" s="577"/>
      <c r="L12" s="577"/>
    </row>
    <row r="13" spans="1:16" ht="14.25">
      <c r="A13" s="643" t="s">
        <v>573</v>
      </c>
      <c r="B13" s="735" t="s">
        <v>682</v>
      </c>
      <c r="C13" s="736"/>
      <c r="D13" s="736"/>
      <c r="E13" s="736"/>
      <c r="F13" s="736"/>
      <c r="G13" s="736"/>
      <c r="H13" s="736"/>
      <c r="I13" s="736"/>
      <c r="J13" s="736"/>
      <c r="K13" s="577"/>
      <c r="L13" s="577"/>
      <c r="M13" s="596" t="s">
        <v>26</v>
      </c>
      <c r="N13">
        <f>IF(K11="Nem",2,3)</f>
        <v>3</v>
      </c>
      <c r="O13" t="s">
        <v>663</v>
      </c>
      <c r="P13" t="str">
        <f>CONCATENATE(M13,N13,O13)</f>
        <v>9.3.</v>
      </c>
    </row>
    <row r="14" spans="1:12" ht="14.25">
      <c r="A14" s="577"/>
      <c r="B14" s="578"/>
      <c r="C14" s="577"/>
      <c r="D14" s="577"/>
      <c r="E14" s="577"/>
      <c r="F14" s="577"/>
      <c r="G14" s="577"/>
      <c r="H14" s="577"/>
      <c r="I14" s="577"/>
      <c r="J14" s="577"/>
      <c r="K14" s="577"/>
      <c r="L14" s="577"/>
    </row>
    <row r="15" spans="1:16" ht="14.25">
      <c r="A15" s="643" t="s">
        <v>574</v>
      </c>
      <c r="B15" s="735" t="s">
        <v>582</v>
      </c>
      <c r="C15" s="736"/>
      <c r="D15" s="736"/>
      <c r="E15" s="736"/>
      <c r="F15" s="736"/>
      <c r="G15" s="736"/>
      <c r="H15" s="736"/>
      <c r="I15" s="736"/>
      <c r="J15" s="736"/>
      <c r="K15" s="577"/>
      <c r="L15" s="577"/>
      <c r="M15" s="596" t="s">
        <v>26</v>
      </c>
      <c r="N15">
        <f>N13+1</f>
        <v>4</v>
      </c>
      <c r="O15" t="s">
        <v>663</v>
      </c>
      <c r="P15" t="str">
        <f>CONCATENATE(M15,N15,O15)</f>
        <v>9.4.</v>
      </c>
    </row>
    <row r="16" spans="1:12" ht="14.25">
      <c r="A16" s="577"/>
      <c r="B16" s="578"/>
      <c r="C16" s="577"/>
      <c r="D16" s="577"/>
      <c r="E16" s="577"/>
      <c r="F16" s="577"/>
      <c r="G16" s="577"/>
      <c r="H16" s="577"/>
      <c r="I16" s="577"/>
      <c r="J16" s="577"/>
      <c r="K16" s="577"/>
      <c r="L16" s="577"/>
    </row>
    <row r="17" spans="1:16" ht="14.25">
      <c r="A17" s="643" t="s">
        <v>575</v>
      </c>
      <c r="B17" s="735" t="s">
        <v>658</v>
      </c>
      <c r="C17" s="736"/>
      <c r="D17" s="736"/>
      <c r="E17" s="736"/>
      <c r="F17" s="736"/>
      <c r="G17" s="736"/>
      <c r="H17" s="736"/>
      <c r="I17" s="736"/>
      <c r="J17" s="736"/>
      <c r="K17" s="577"/>
      <c r="L17" s="577"/>
      <c r="M17" s="596" t="s">
        <v>26</v>
      </c>
      <c r="N17">
        <f>N15+1</f>
        <v>5</v>
      </c>
      <c r="O17" t="s">
        <v>663</v>
      </c>
      <c r="P17" t="str">
        <f>CONCATENATE(M17,N17,O17)</f>
        <v>9.5.</v>
      </c>
    </row>
    <row r="18" spans="1:12" ht="14.25">
      <c r="A18" s="577"/>
      <c r="B18" s="578"/>
      <c r="C18" s="577"/>
      <c r="D18" s="577"/>
      <c r="E18" s="577"/>
      <c r="F18" s="577"/>
      <c r="G18" s="577"/>
      <c r="H18" s="577"/>
      <c r="I18" s="577"/>
      <c r="J18" s="577"/>
      <c r="K18" s="577"/>
      <c r="L18" s="577"/>
    </row>
    <row r="19" spans="1:16" ht="14.25">
      <c r="A19" s="643" t="s">
        <v>576</v>
      </c>
      <c r="B19" s="735" t="s">
        <v>583</v>
      </c>
      <c r="C19" s="736"/>
      <c r="D19" s="736"/>
      <c r="E19" s="736"/>
      <c r="F19" s="736"/>
      <c r="G19" s="736"/>
      <c r="H19" s="736"/>
      <c r="I19" s="736"/>
      <c r="J19" s="736"/>
      <c r="K19" s="577"/>
      <c r="L19" s="577"/>
      <c r="M19" s="596" t="s">
        <v>26</v>
      </c>
      <c r="N19">
        <f>N17+1</f>
        <v>6</v>
      </c>
      <c r="O19" t="s">
        <v>663</v>
      </c>
      <c r="P19" t="str">
        <f>CONCATENATE(M19,N19,O19)</f>
        <v>9.6.</v>
      </c>
    </row>
    <row r="20" spans="1:12" ht="14.25">
      <c r="A20" s="577"/>
      <c r="B20" s="578"/>
      <c r="C20" s="577"/>
      <c r="D20" s="577"/>
      <c r="E20" s="577"/>
      <c r="F20" s="577"/>
      <c r="G20" s="577"/>
      <c r="H20" s="577"/>
      <c r="I20" s="577"/>
      <c r="J20" s="577"/>
      <c r="K20" s="577"/>
      <c r="L20" s="577"/>
    </row>
    <row r="21" spans="1:16" ht="14.25">
      <c r="A21" s="643" t="s">
        <v>577</v>
      </c>
      <c r="B21" s="735" t="s">
        <v>584</v>
      </c>
      <c r="C21" s="736"/>
      <c r="D21" s="736"/>
      <c r="E21" s="736"/>
      <c r="F21" s="736"/>
      <c r="G21" s="736"/>
      <c r="H21" s="736"/>
      <c r="I21" s="736"/>
      <c r="J21" s="736"/>
      <c r="K21" s="577"/>
      <c r="L21" s="577"/>
      <c r="M21" s="596" t="s">
        <v>26</v>
      </c>
      <c r="N21">
        <f>N19+1</f>
        <v>7</v>
      </c>
      <c r="O21" t="s">
        <v>663</v>
      </c>
      <c r="P21" t="str">
        <f>CONCATENATE(M21,N21,O21)</f>
        <v>9.7.</v>
      </c>
    </row>
    <row r="22" spans="1:12" ht="14.25">
      <c r="A22" s="577"/>
      <c r="B22" s="578"/>
      <c r="C22" s="577"/>
      <c r="D22" s="577"/>
      <c r="E22" s="577"/>
      <c r="F22" s="577"/>
      <c r="G22" s="577"/>
      <c r="H22" s="577"/>
      <c r="I22" s="577"/>
      <c r="J22" s="577"/>
      <c r="K22" s="577"/>
      <c r="L22" s="577"/>
    </row>
    <row r="23" spans="1:16" ht="14.25">
      <c r="A23" s="643" t="s">
        <v>578</v>
      </c>
      <c r="B23" s="735" t="s">
        <v>585</v>
      </c>
      <c r="C23" s="736"/>
      <c r="D23" s="736"/>
      <c r="E23" s="736"/>
      <c r="F23" s="736"/>
      <c r="G23" s="736"/>
      <c r="H23" s="736"/>
      <c r="I23" s="736"/>
      <c r="J23" s="736"/>
      <c r="K23" s="577"/>
      <c r="L23" s="577"/>
      <c r="M23" s="596" t="s">
        <v>26</v>
      </c>
      <c r="N23">
        <f>N21+1</f>
        <v>8</v>
      </c>
      <c r="O23" t="s">
        <v>663</v>
      </c>
      <c r="P23" t="str">
        <f>CONCATENATE(M23,N23,O23)</f>
        <v>9.8.</v>
      </c>
    </row>
    <row r="24" spans="1:12" ht="14.25">
      <c r="A24" s="577"/>
      <c r="B24" s="578"/>
      <c r="C24" s="577"/>
      <c r="D24" s="577"/>
      <c r="E24" s="577"/>
      <c r="F24" s="577"/>
      <c r="G24" s="577"/>
      <c r="H24" s="577"/>
      <c r="I24" s="577"/>
      <c r="J24" s="577"/>
      <c r="K24" s="577"/>
      <c r="L24" s="577"/>
    </row>
    <row r="25" spans="1:16" ht="14.25">
      <c r="A25" s="643" t="s">
        <v>579</v>
      </c>
      <c r="B25" s="735" t="s">
        <v>586</v>
      </c>
      <c r="C25" s="736"/>
      <c r="D25" s="736"/>
      <c r="E25" s="736"/>
      <c r="F25" s="736"/>
      <c r="G25" s="736"/>
      <c r="H25" s="736"/>
      <c r="I25" s="736"/>
      <c r="J25" s="736"/>
      <c r="K25" s="577"/>
      <c r="L25" s="577"/>
      <c r="M25" s="596" t="s">
        <v>26</v>
      </c>
      <c r="N25">
        <f>N23+1</f>
        <v>9</v>
      </c>
      <c r="O25" t="s">
        <v>663</v>
      </c>
      <c r="P25" t="str">
        <f>CONCATENATE(M25,N25,O25)</f>
        <v>9.9.</v>
      </c>
    </row>
    <row r="26" spans="1:12" ht="14.25">
      <c r="A26" s="577"/>
      <c r="B26" s="578"/>
      <c r="C26" s="577"/>
      <c r="D26" s="577"/>
      <c r="E26" s="577"/>
      <c r="F26" s="577"/>
      <c r="G26" s="577"/>
      <c r="H26" s="577"/>
      <c r="I26" s="577"/>
      <c r="J26" s="577"/>
      <c r="K26" s="577"/>
      <c r="L26" s="577"/>
    </row>
    <row r="27" spans="1:16" ht="14.25">
      <c r="A27" s="643" t="s">
        <v>580</v>
      </c>
      <c r="B27" s="735" t="s">
        <v>587</v>
      </c>
      <c r="C27" s="736"/>
      <c r="D27" s="736"/>
      <c r="E27" s="736"/>
      <c r="F27" s="736"/>
      <c r="G27" s="736"/>
      <c r="H27" s="736"/>
      <c r="I27" s="736"/>
      <c r="J27" s="736"/>
      <c r="K27" s="577"/>
      <c r="L27" s="577"/>
      <c r="M27" s="596" t="s">
        <v>26</v>
      </c>
      <c r="N27">
        <f>N25+1</f>
        <v>10</v>
      </c>
      <c r="O27" t="s">
        <v>663</v>
      </c>
      <c r="P27" t="str">
        <f>CONCATENATE(M27,N27,O27)</f>
        <v>9.10.</v>
      </c>
    </row>
    <row r="28" spans="1:12" ht="14.25">
      <c r="A28" s="577"/>
      <c r="B28" s="578"/>
      <c r="C28" s="577"/>
      <c r="D28" s="577"/>
      <c r="E28" s="577"/>
      <c r="F28" s="577"/>
      <c r="G28" s="577"/>
      <c r="H28" s="577"/>
      <c r="I28" s="577"/>
      <c r="J28" s="577"/>
      <c r="K28" s="577"/>
      <c r="L28" s="577"/>
    </row>
    <row r="29" spans="1:16" ht="14.25">
      <c r="A29" s="643" t="s">
        <v>580</v>
      </c>
      <c r="B29" s="735" t="s">
        <v>588</v>
      </c>
      <c r="C29" s="736"/>
      <c r="D29" s="736"/>
      <c r="E29" s="736"/>
      <c r="F29" s="736"/>
      <c r="G29" s="736"/>
      <c r="H29" s="736"/>
      <c r="I29" s="736"/>
      <c r="J29" s="736"/>
      <c r="K29" s="577"/>
      <c r="L29" s="577"/>
      <c r="M29" s="596" t="s">
        <v>26</v>
      </c>
      <c r="N29">
        <f>N27+1</f>
        <v>11</v>
      </c>
      <c r="O29" t="s">
        <v>663</v>
      </c>
      <c r="P29" t="str">
        <f>CONCATENATE(M29,N29,O29)</f>
        <v>9.11.</v>
      </c>
    </row>
    <row r="30" spans="1:12" ht="14.25">
      <c r="A30" s="577"/>
      <c r="B30" s="578"/>
      <c r="C30" s="577"/>
      <c r="D30" s="577"/>
      <c r="E30" s="577"/>
      <c r="F30" s="577"/>
      <c r="G30" s="577"/>
      <c r="H30" s="577"/>
      <c r="I30" s="577"/>
      <c r="J30" s="577"/>
      <c r="K30" s="577"/>
      <c r="L30" s="577"/>
    </row>
    <row r="31" spans="1:16" ht="14.25">
      <c r="A31" s="643" t="s">
        <v>581</v>
      </c>
      <c r="B31" s="735" t="s">
        <v>589</v>
      </c>
      <c r="C31" s="736"/>
      <c r="D31" s="736"/>
      <c r="E31" s="736"/>
      <c r="F31" s="736"/>
      <c r="G31" s="736"/>
      <c r="H31" s="736"/>
      <c r="I31" s="736"/>
      <c r="J31" s="736"/>
      <c r="K31" s="577"/>
      <c r="L31" s="577"/>
      <c r="M31" s="596" t="s">
        <v>26</v>
      </c>
      <c r="N31">
        <f>N29+1</f>
        <v>12</v>
      </c>
      <c r="O31" t="s">
        <v>663</v>
      </c>
      <c r="P31" t="str">
        <f>CONCATENATE(M31,N31,O31)</f>
        <v>9.12.</v>
      </c>
    </row>
    <row r="32" spans="1:12" ht="12.75">
      <c r="A32" s="577"/>
      <c r="B32" s="577"/>
      <c r="C32" s="577"/>
      <c r="D32" s="577"/>
      <c r="E32" s="577"/>
      <c r="F32" s="577"/>
      <c r="G32" s="577"/>
      <c r="H32" s="577"/>
      <c r="I32" s="577"/>
      <c r="J32" s="577"/>
      <c r="K32" s="577"/>
      <c r="L32" s="577"/>
    </row>
    <row r="33" spans="1:12" ht="14.25">
      <c r="A33" s="643"/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</row>
    <row r="34" spans="1:12" ht="12.75">
      <c r="A34" s="577"/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</row>
  </sheetData>
  <sheetProtection/>
  <mergeCells count="13">
    <mergeCell ref="A3:J3"/>
    <mergeCell ref="A1:J1"/>
    <mergeCell ref="B21:J21"/>
    <mergeCell ref="B23:J23"/>
    <mergeCell ref="B25:J25"/>
    <mergeCell ref="B27:J27"/>
    <mergeCell ref="B31:J31"/>
    <mergeCell ref="B13:J13"/>
    <mergeCell ref="B15:J15"/>
    <mergeCell ref="B17:J17"/>
    <mergeCell ref="B19:J19"/>
    <mergeCell ref="A11:J11"/>
    <mergeCell ref="B29:J29"/>
  </mergeCells>
  <conditionalFormatting sqref="A11:J11">
    <cfRule type="expression" priority="1" dxfId="4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174"/>
  <sheetViews>
    <sheetView zoomScale="120" zoomScaleNormal="120" zoomScaleSheetLayoutView="85" workbookViewId="0" topLeftCell="A134">
      <selection activeCell="C165" sqref="C165"/>
    </sheetView>
  </sheetViews>
  <sheetFormatPr defaultColWidth="9.00390625" defaultRowHeight="12.75"/>
  <cols>
    <col min="1" max="1" width="19.50390625" style="330" customWidth="1"/>
    <col min="2" max="2" width="72.00390625" style="331" customWidth="1"/>
    <col min="3" max="3" width="25.00390625" style="332" customWidth="1"/>
    <col min="4" max="4" width="27.625" style="3" customWidth="1"/>
    <col min="5" max="16384" width="9.375" style="3" customWidth="1"/>
  </cols>
  <sheetData>
    <row r="1" spans="1:3" s="2" customFormat="1" ht="16.5" customHeight="1" thickBot="1">
      <c r="A1" s="526"/>
      <c r="B1" s="527"/>
      <c r="C1" s="523" t="s">
        <v>769</v>
      </c>
    </row>
    <row r="2" spans="1:3" s="63" customFormat="1" ht="21" customHeight="1">
      <c r="A2" s="528" t="s">
        <v>60</v>
      </c>
      <c r="B2" s="529" t="str">
        <f>CONCATENATE(ALAPADATOK!A3)</f>
        <v>Karácsond Községi Önkormányzat</v>
      </c>
      <c r="C2" s="530" t="s">
        <v>53</v>
      </c>
    </row>
    <row r="3" spans="1:3" s="63" customFormat="1" ht="16.5" thickBot="1">
      <c r="A3" s="531" t="s">
        <v>195</v>
      </c>
      <c r="B3" s="532" t="s">
        <v>517</v>
      </c>
      <c r="C3" s="533" t="s">
        <v>420</v>
      </c>
    </row>
    <row r="4" spans="1:3" s="64" customFormat="1" ht="22.5" customHeight="1" thickBot="1">
      <c r="A4" s="534"/>
      <c r="B4" s="534"/>
      <c r="C4" s="535" t="str">
        <f>'ÖNK-Önként v.'!C4</f>
        <v>Ft-ban</v>
      </c>
    </row>
    <row r="5" spans="1:3" ht="13.5" thickBot="1">
      <c r="A5" s="536" t="s">
        <v>197</v>
      </c>
      <c r="B5" s="537" t="s">
        <v>550</v>
      </c>
      <c r="C5" s="538" t="s">
        <v>54</v>
      </c>
    </row>
    <row r="6" spans="1:3" s="43" customFormat="1" ht="12.75" customHeight="1" thickBot="1">
      <c r="A6" s="539"/>
      <c r="B6" s="540" t="s">
        <v>482</v>
      </c>
      <c r="C6" s="541" t="s">
        <v>483</v>
      </c>
    </row>
    <row r="7" spans="1:3" s="43" customFormat="1" ht="15.75" customHeight="1" thickBot="1">
      <c r="A7" s="175"/>
      <c r="B7" s="176" t="s">
        <v>55</v>
      </c>
      <c r="C7" s="301"/>
    </row>
    <row r="8" spans="1:3" s="43" customFormat="1" ht="12" customHeight="1" thickBot="1">
      <c r="A8" s="29" t="s">
        <v>18</v>
      </c>
      <c r="B8" s="21" t="s">
        <v>244</v>
      </c>
      <c r="C8" s="241">
        <f>+C9+C10+C11+C12+C13+C14</f>
        <v>0</v>
      </c>
    </row>
    <row r="9" spans="1:3" s="65" customFormat="1" ht="12" customHeight="1">
      <c r="A9" s="373" t="s">
        <v>97</v>
      </c>
      <c r="B9" s="354" t="s">
        <v>245</v>
      </c>
      <c r="C9" s="244"/>
    </row>
    <row r="10" spans="1:3" s="66" customFormat="1" ht="12" customHeight="1">
      <c r="A10" s="374" t="s">
        <v>98</v>
      </c>
      <c r="B10" s="355" t="s">
        <v>246</v>
      </c>
      <c r="C10" s="243"/>
    </row>
    <row r="11" spans="1:3" s="66" customFormat="1" ht="12" customHeight="1">
      <c r="A11" s="374" t="s">
        <v>99</v>
      </c>
      <c r="B11" s="355" t="s">
        <v>538</v>
      </c>
      <c r="C11" s="243"/>
    </row>
    <row r="12" spans="1:3" s="66" customFormat="1" ht="12" customHeight="1">
      <c r="A12" s="374" t="s">
        <v>100</v>
      </c>
      <c r="B12" s="355" t="s">
        <v>248</v>
      </c>
      <c r="C12" s="243"/>
    </row>
    <row r="13" spans="1:3" s="66" customFormat="1" ht="12" customHeight="1">
      <c r="A13" s="374" t="s">
        <v>141</v>
      </c>
      <c r="B13" s="355" t="s">
        <v>495</v>
      </c>
      <c r="C13" s="243"/>
    </row>
    <row r="14" spans="1:3" s="65" customFormat="1" ht="12" customHeight="1" thickBot="1">
      <c r="A14" s="375" t="s">
        <v>101</v>
      </c>
      <c r="B14" s="356" t="s">
        <v>422</v>
      </c>
      <c r="C14" s="243"/>
    </row>
    <row r="15" spans="1:3" s="65" customFormat="1" ht="12" customHeight="1" thickBot="1">
      <c r="A15" s="29" t="s">
        <v>19</v>
      </c>
      <c r="B15" s="236" t="s">
        <v>249</v>
      </c>
      <c r="C15" s="241">
        <f>+C16+C17+C18+C19+C20</f>
        <v>0</v>
      </c>
    </row>
    <row r="16" spans="1:3" s="65" customFormat="1" ht="12" customHeight="1">
      <c r="A16" s="373" t="s">
        <v>103</v>
      </c>
      <c r="B16" s="354" t="s">
        <v>250</v>
      </c>
      <c r="C16" s="244"/>
    </row>
    <row r="17" spans="1:3" s="65" customFormat="1" ht="12" customHeight="1">
      <c r="A17" s="374" t="s">
        <v>104</v>
      </c>
      <c r="B17" s="355" t="s">
        <v>251</v>
      </c>
      <c r="C17" s="243"/>
    </row>
    <row r="18" spans="1:3" s="65" customFormat="1" ht="12" customHeight="1">
      <c r="A18" s="374" t="s">
        <v>105</v>
      </c>
      <c r="B18" s="355" t="s">
        <v>411</v>
      </c>
      <c r="C18" s="243"/>
    </row>
    <row r="19" spans="1:3" s="65" customFormat="1" ht="12" customHeight="1">
      <c r="A19" s="374" t="s">
        <v>106</v>
      </c>
      <c r="B19" s="355" t="s">
        <v>412</v>
      </c>
      <c r="C19" s="243"/>
    </row>
    <row r="20" spans="1:3" s="65" customFormat="1" ht="12" customHeight="1">
      <c r="A20" s="374" t="s">
        <v>107</v>
      </c>
      <c r="B20" s="355" t="s">
        <v>252</v>
      </c>
      <c r="C20" s="243"/>
    </row>
    <row r="21" spans="1:3" s="66" customFormat="1" ht="12" customHeight="1" thickBot="1">
      <c r="A21" s="375" t="s">
        <v>116</v>
      </c>
      <c r="B21" s="356" t="s">
        <v>253</v>
      </c>
      <c r="C21" s="245"/>
    </row>
    <row r="22" spans="1:3" s="66" customFormat="1" ht="12" customHeight="1" thickBot="1">
      <c r="A22" s="29" t="s">
        <v>20</v>
      </c>
      <c r="B22" s="21" t="s">
        <v>254</v>
      </c>
      <c r="C22" s="241">
        <f>+C23+C24+C25+C26+C27</f>
        <v>0</v>
      </c>
    </row>
    <row r="23" spans="1:3" s="66" customFormat="1" ht="12" customHeight="1">
      <c r="A23" s="373" t="s">
        <v>86</v>
      </c>
      <c r="B23" s="354" t="s">
        <v>255</v>
      </c>
      <c r="C23" s="244"/>
    </row>
    <row r="24" spans="1:3" s="65" customFormat="1" ht="12" customHeight="1">
      <c r="A24" s="374" t="s">
        <v>87</v>
      </c>
      <c r="B24" s="355" t="s">
        <v>256</v>
      </c>
      <c r="C24" s="243"/>
    </row>
    <row r="25" spans="1:3" s="66" customFormat="1" ht="12" customHeight="1">
      <c r="A25" s="374" t="s">
        <v>88</v>
      </c>
      <c r="B25" s="355" t="s">
        <v>413</v>
      </c>
      <c r="C25" s="243"/>
    </row>
    <row r="26" spans="1:3" s="66" customFormat="1" ht="12" customHeight="1">
      <c r="A26" s="374" t="s">
        <v>89</v>
      </c>
      <c r="B26" s="355" t="s">
        <v>414</v>
      </c>
      <c r="C26" s="243"/>
    </row>
    <row r="27" spans="1:3" s="66" customFormat="1" ht="12" customHeight="1">
      <c r="A27" s="374" t="s">
        <v>164</v>
      </c>
      <c r="B27" s="355" t="s">
        <v>257</v>
      </c>
      <c r="C27" s="243"/>
    </row>
    <row r="28" spans="1:3" s="66" customFormat="1" ht="12" customHeight="1" thickBot="1">
      <c r="A28" s="375" t="s">
        <v>165</v>
      </c>
      <c r="B28" s="356" t="s">
        <v>258</v>
      </c>
      <c r="C28" s="245"/>
    </row>
    <row r="29" spans="1:3" s="66" customFormat="1" ht="12" customHeight="1" thickBot="1">
      <c r="A29" s="29" t="s">
        <v>166</v>
      </c>
      <c r="B29" s="21" t="s">
        <v>259</v>
      </c>
      <c r="C29" s="247">
        <f>SUM(C30:C36)</f>
        <v>0</v>
      </c>
    </row>
    <row r="30" spans="1:3" s="66" customFormat="1" ht="12" customHeight="1">
      <c r="A30" s="373" t="s">
        <v>260</v>
      </c>
      <c r="B30" s="354" t="str">
        <f>'Össz.ÖNK'!B32</f>
        <v>Késedelmi pótlék</v>
      </c>
      <c r="C30" s="244"/>
    </row>
    <row r="31" spans="1:3" s="66" customFormat="1" ht="12" customHeight="1">
      <c r="A31" s="374" t="s">
        <v>261</v>
      </c>
      <c r="B31" s="354" t="str">
        <f>'Össz.ÖNK'!B33</f>
        <v>Idegenforgalmi adó</v>
      </c>
      <c r="C31" s="243"/>
    </row>
    <row r="32" spans="1:3" s="66" customFormat="1" ht="12" customHeight="1">
      <c r="A32" s="374" t="s">
        <v>262</v>
      </c>
      <c r="B32" s="354" t="str">
        <f>'Össz.ÖNK'!B34</f>
        <v>Iparűzési adó</v>
      </c>
      <c r="C32" s="243"/>
    </row>
    <row r="33" spans="1:3" s="66" customFormat="1" ht="12" customHeight="1">
      <c r="A33" s="374" t="s">
        <v>263</v>
      </c>
      <c r="B33" s="354" t="str">
        <f>'Össz.ÖNK'!B35</f>
        <v>Talajterhelési díj</v>
      </c>
      <c r="C33" s="243"/>
    </row>
    <row r="34" spans="1:3" s="66" customFormat="1" ht="12" customHeight="1">
      <c r="A34" s="374" t="s">
        <v>540</v>
      </c>
      <c r="B34" s="354" t="str">
        <f>'Össz.ÖNK'!B36</f>
        <v>Gépjárműadó</v>
      </c>
      <c r="C34" s="243"/>
    </row>
    <row r="35" spans="1:3" s="66" customFormat="1" ht="12" customHeight="1">
      <c r="A35" s="374" t="s">
        <v>541</v>
      </c>
      <c r="B35" s="354" t="str">
        <f>'Össz.ÖNK'!B37</f>
        <v>Egyéb bírság</v>
      </c>
      <c r="C35" s="243"/>
    </row>
    <row r="36" spans="1:3" s="66" customFormat="1" ht="12" customHeight="1" thickBot="1">
      <c r="A36" s="375" t="s">
        <v>542</v>
      </c>
      <c r="B36" s="354" t="str">
        <f>'Össz.ÖNK'!B38</f>
        <v>Kommunális adó</v>
      </c>
      <c r="C36" s="245"/>
    </row>
    <row r="37" spans="1:3" s="66" customFormat="1" ht="12" customHeight="1" thickBot="1">
      <c r="A37" s="29" t="s">
        <v>22</v>
      </c>
      <c r="B37" s="21" t="s">
        <v>423</v>
      </c>
      <c r="C37" s="241">
        <f>SUM(C38:C48)</f>
        <v>0</v>
      </c>
    </row>
    <row r="38" spans="1:3" s="66" customFormat="1" ht="12" customHeight="1">
      <c r="A38" s="373" t="s">
        <v>90</v>
      </c>
      <c r="B38" s="354" t="s">
        <v>267</v>
      </c>
      <c r="C38" s="244"/>
    </row>
    <row r="39" spans="1:3" s="66" customFormat="1" ht="12" customHeight="1">
      <c r="A39" s="374" t="s">
        <v>91</v>
      </c>
      <c r="B39" s="355" t="s">
        <v>268</v>
      </c>
      <c r="C39" s="243"/>
    </row>
    <row r="40" spans="1:3" s="66" customFormat="1" ht="12" customHeight="1">
      <c r="A40" s="374" t="s">
        <v>92</v>
      </c>
      <c r="B40" s="355" t="s">
        <v>269</v>
      </c>
      <c r="C40" s="243"/>
    </row>
    <row r="41" spans="1:3" s="66" customFormat="1" ht="12" customHeight="1">
      <c r="A41" s="374" t="s">
        <v>168</v>
      </c>
      <c r="B41" s="355" t="s">
        <v>270</v>
      </c>
      <c r="C41" s="243"/>
    </row>
    <row r="42" spans="1:3" s="66" customFormat="1" ht="12" customHeight="1">
      <c r="A42" s="374" t="s">
        <v>169</v>
      </c>
      <c r="B42" s="355" t="s">
        <v>271</v>
      </c>
      <c r="C42" s="243"/>
    </row>
    <row r="43" spans="1:3" s="66" customFormat="1" ht="12" customHeight="1">
      <c r="A43" s="374" t="s">
        <v>170</v>
      </c>
      <c r="B43" s="355" t="s">
        <v>272</v>
      </c>
      <c r="C43" s="243"/>
    </row>
    <row r="44" spans="1:3" s="66" customFormat="1" ht="12" customHeight="1">
      <c r="A44" s="374" t="s">
        <v>171</v>
      </c>
      <c r="B44" s="355" t="s">
        <v>273</v>
      </c>
      <c r="C44" s="243"/>
    </row>
    <row r="45" spans="1:3" s="66" customFormat="1" ht="12" customHeight="1">
      <c r="A45" s="374" t="s">
        <v>172</v>
      </c>
      <c r="B45" s="355" t="s">
        <v>546</v>
      </c>
      <c r="C45" s="243"/>
    </row>
    <row r="46" spans="1:3" s="66" customFormat="1" ht="12" customHeight="1">
      <c r="A46" s="374" t="s">
        <v>265</v>
      </c>
      <c r="B46" s="355" t="s">
        <v>275</v>
      </c>
      <c r="C46" s="246"/>
    </row>
    <row r="47" spans="1:3" s="66" customFormat="1" ht="12" customHeight="1">
      <c r="A47" s="375" t="s">
        <v>266</v>
      </c>
      <c r="B47" s="356" t="s">
        <v>425</v>
      </c>
      <c r="C47" s="343"/>
    </row>
    <row r="48" spans="1:3" s="66" customFormat="1" ht="12" customHeight="1" thickBot="1">
      <c r="A48" s="375" t="s">
        <v>424</v>
      </c>
      <c r="B48" s="356" t="s">
        <v>276</v>
      </c>
      <c r="C48" s="343"/>
    </row>
    <row r="49" spans="1:3" s="66" customFormat="1" ht="12" customHeight="1" thickBot="1">
      <c r="A49" s="29" t="s">
        <v>23</v>
      </c>
      <c r="B49" s="21" t="s">
        <v>277</v>
      </c>
      <c r="C49" s="241">
        <f>SUM(C50:C54)</f>
        <v>0</v>
      </c>
    </row>
    <row r="50" spans="1:3" s="66" customFormat="1" ht="12" customHeight="1">
      <c r="A50" s="373" t="s">
        <v>93</v>
      </c>
      <c r="B50" s="354" t="s">
        <v>281</v>
      </c>
      <c r="C50" s="398"/>
    </row>
    <row r="51" spans="1:3" s="66" customFormat="1" ht="12" customHeight="1">
      <c r="A51" s="374" t="s">
        <v>94</v>
      </c>
      <c r="B51" s="355" t="s">
        <v>282</v>
      </c>
      <c r="C51" s="246"/>
    </row>
    <row r="52" spans="1:3" s="66" customFormat="1" ht="12" customHeight="1">
      <c r="A52" s="374" t="s">
        <v>278</v>
      </c>
      <c r="B52" s="355" t="s">
        <v>283</v>
      </c>
      <c r="C52" s="246"/>
    </row>
    <row r="53" spans="1:3" s="66" customFormat="1" ht="12" customHeight="1">
      <c r="A53" s="374" t="s">
        <v>279</v>
      </c>
      <c r="B53" s="355" t="s">
        <v>284</v>
      </c>
      <c r="C53" s="246"/>
    </row>
    <row r="54" spans="1:3" s="66" customFormat="1" ht="12" customHeight="1" thickBot="1">
      <c r="A54" s="375" t="s">
        <v>280</v>
      </c>
      <c r="B54" s="447" t="s">
        <v>285</v>
      </c>
      <c r="C54" s="343"/>
    </row>
    <row r="55" spans="1:3" s="66" customFormat="1" ht="12" customHeight="1" thickBot="1">
      <c r="A55" s="29" t="s">
        <v>173</v>
      </c>
      <c r="B55" s="21" t="s">
        <v>286</v>
      </c>
      <c r="C55" s="241">
        <f>SUM(C56:C58)</f>
        <v>0</v>
      </c>
    </row>
    <row r="56" spans="1:3" s="66" customFormat="1" ht="12" customHeight="1">
      <c r="A56" s="373" t="s">
        <v>95</v>
      </c>
      <c r="B56" s="354" t="s">
        <v>287</v>
      </c>
      <c r="C56" s="244"/>
    </row>
    <row r="57" spans="1:3" s="66" customFormat="1" ht="12" customHeight="1">
      <c r="A57" s="374" t="s">
        <v>96</v>
      </c>
      <c r="B57" s="355" t="s">
        <v>415</v>
      </c>
      <c r="C57" s="243"/>
    </row>
    <row r="58" spans="1:3" s="66" customFormat="1" ht="12" customHeight="1">
      <c r="A58" s="374" t="s">
        <v>290</v>
      </c>
      <c r="B58" s="355" t="s">
        <v>288</v>
      </c>
      <c r="C58" s="243"/>
    </row>
    <row r="59" spans="1:3" s="66" customFormat="1" ht="12" customHeight="1" thickBot="1">
      <c r="A59" s="375" t="s">
        <v>291</v>
      </c>
      <c r="B59" s="447" t="s">
        <v>289</v>
      </c>
      <c r="C59" s="245"/>
    </row>
    <row r="60" spans="1:3" s="66" customFormat="1" ht="12" customHeight="1" thickBot="1">
      <c r="A60" s="29" t="s">
        <v>25</v>
      </c>
      <c r="B60" s="236" t="s">
        <v>292</v>
      </c>
      <c r="C60" s="241">
        <f>SUM(C61:C63)</f>
        <v>0</v>
      </c>
    </row>
    <row r="61" spans="1:3" s="66" customFormat="1" ht="12" customHeight="1">
      <c r="A61" s="373" t="s">
        <v>174</v>
      </c>
      <c r="B61" s="354" t="s">
        <v>294</v>
      </c>
      <c r="C61" s="246"/>
    </row>
    <row r="62" spans="1:3" s="66" customFormat="1" ht="12" customHeight="1">
      <c r="A62" s="374" t="s">
        <v>175</v>
      </c>
      <c r="B62" s="355" t="s">
        <v>416</v>
      </c>
      <c r="C62" s="246"/>
    </row>
    <row r="63" spans="1:3" s="66" customFormat="1" ht="12" customHeight="1">
      <c r="A63" s="374" t="s">
        <v>223</v>
      </c>
      <c r="B63" s="355" t="s">
        <v>295</v>
      </c>
      <c r="C63" s="246"/>
    </row>
    <row r="64" spans="1:3" s="66" customFormat="1" ht="12" customHeight="1" thickBot="1">
      <c r="A64" s="375" t="s">
        <v>293</v>
      </c>
      <c r="B64" s="447" t="s">
        <v>296</v>
      </c>
      <c r="C64" s="246"/>
    </row>
    <row r="65" spans="1:3" s="66" customFormat="1" ht="12" customHeight="1" thickBot="1">
      <c r="A65" s="29" t="s">
        <v>26</v>
      </c>
      <c r="B65" s="21" t="s">
        <v>297</v>
      </c>
      <c r="C65" s="247">
        <f>+C8+C15+C22+C29+C37+C49+C55+C60</f>
        <v>0</v>
      </c>
    </row>
    <row r="66" spans="1:3" s="66" customFormat="1" ht="12" customHeight="1" thickBot="1">
      <c r="A66" s="376" t="s">
        <v>384</v>
      </c>
      <c r="B66" s="236" t="s">
        <v>299</v>
      </c>
      <c r="C66" s="241">
        <f>SUM(C67:C69)</f>
        <v>0</v>
      </c>
    </row>
    <row r="67" spans="1:3" s="66" customFormat="1" ht="12" customHeight="1">
      <c r="A67" s="373" t="s">
        <v>327</v>
      </c>
      <c r="B67" s="354" t="s">
        <v>300</v>
      </c>
      <c r="C67" s="246"/>
    </row>
    <row r="68" spans="1:3" s="66" customFormat="1" ht="12" customHeight="1">
      <c r="A68" s="374" t="s">
        <v>336</v>
      </c>
      <c r="B68" s="355" t="s">
        <v>301</v>
      </c>
      <c r="C68" s="246"/>
    </row>
    <row r="69" spans="1:3" s="66" customFormat="1" ht="12" customHeight="1" thickBot="1">
      <c r="A69" s="375" t="s">
        <v>337</v>
      </c>
      <c r="B69" s="450" t="s">
        <v>302</v>
      </c>
      <c r="C69" s="246"/>
    </row>
    <row r="70" spans="1:3" s="66" customFormat="1" ht="12" customHeight="1" thickBot="1">
      <c r="A70" s="376" t="s">
        <v>303</v>
      </c>
      <c r="B70" s="236" t="s">
        <v>304</v>
      </c>
      <c r="C70" s="241">
        <f>SUM(C71:C74)</f>
        <v>0</v>
      </c>
    </row>
    <row r="71" spans="1:3" s="66" customFormat="1" ht="12" customHeight="1">
      <c r="A71" s="373" t="s">
        <v>142</v>
      </c>
      <c r="B71" s="354" t="s">
        <v>305</v>
      </c>
      <c r="C71" s="246"/>
    </row>
    <row r="72" spans="1:3" s="66" customFormat="1" ht="12" customHeight="1">
      <c r="A72" s="374" t="s">
        <v>143</v>
      </c>
      <c r="B72" s="355" t="s">
        <v>557</v>
      </c>
      <c r="C72" s="246"/>
    </row>
    <row r="73" spans="1:3" s="66" customFormat="1" ht="12" customHeight="1">
      <c r="A73" s="374" t="s">
        <v>328</v>
      </c>
      <c r="B73" s="355" t="s">
        <v>306</v>
      </c>
      <c r="C73" s="246"/>
    </row>
    <row r="74" spans="1:3" s="66" customFormat="1" ht="12" customHeight="1">
      <c r="A74" s="374" t="s">
        <v>329</v>
      </c>
      <c r="B74" s="237" t="s">
        <v>558</v>
      </c>
      <c r="C74" s="246"/>
    </row>
    <row r="75" spans="1:3" s="66" customFormat="1" ht="12" customHeight="1" thickBot="1">
      <c r="A75" s="380" t="s">
        <v>307</v>
      </c>
      <c r="B75" s="508" t="s">
        <v>308</v>
      </c>
      <c r="C75" s="417">
        <f>SUM(C76:C77)</f>
        <v>0</v>
      </c>
    </row>
    <row r="76" spans="1:3" s="66" customFormat="1" ht="12" customHeight="1">
      <c r="A76" s="373" t="s">
        <v>330</v>
      </c>
      <c r="B76" s="354" t="s">
        <v>309</v>
      </c>
      <c r="C76" s="246"/>
    </row>
    <row r="77" spans="1:3" s="66" customFormat="1" ht="12" customHeight="1" thickBot="1">
      <c r="A77" s="375" t="s">
        <v>331</v>
      </c>
      <c r="B77" s="356" t="s">
        <v>310</v>
      </c>
      <c r="C77" s="246"/>
    </row>
    <row r="78" spans="1:3" s="65" customFormat="1" ht="12" customHeight="1" thickBot="1">
      <c r="A78" s="376" t="s">
        <v>311</v>
      </c>
      <c r="B78" s="236" t="s">
        <v>312</v>
      </c>
      <c r="C78" s="241">
        <f>SUM(C79:C81)</f>
        <v>0</v>
      </c>
    </row>
    <row r="79" spans="1:3" s="66" customFormat="1" ht="12" customHeight="1">
      <c r="A79" s="373" t="s">
        <v>332</v>
      </c>
      <c r="B79" s="354" t="s">
        <v>313</v>
      </c>
      <c r="C79" s="246"/>
    </row>
    <row r="80" spans="1:3" s="66" customFormat="1" ht="12" customHeight="1">
      <c r="A80" s="374" t="s">
        <v>333</v>
      </c>
      <c r="B80" s="355" t="s">
        <v>314</v>
      </c>
      <c r="C80" s="246"/>
    </row>
    <row r="81" spans="1:3" s="66" customFormat="1" ht="12" customHeight="1" thickBot="1">
      <c r="A81" s="375" t="s">
        <v>334</v>
      </c>
      <c r="B81" s="356" t="s">
        <v>559</v>
      </c>
      <c r="C81" s="246"/>
    </row>
    <row r="82" spans="1:3" s="66" customFormat="1" ht="12" customHeight="1" thickBot="1">
      <c r="A82" s="376" t="s">
        <v>315</v>
      </c>
      <c r="B82" s="236" t="s">
        <v>335</v>
      </c>
      <c r="C82" s="241">
        <f>SUM(C83:C86)</f>
        <v>0</v>
      </c>
    </row>
    <row r="83" spans="1:3" s="66" customFormat="1" ht="12" customHeight="1">
      <c r="A83" s="377" t="s">
        <v>316</v>
      </c>
      <c r="B83" s="354" t="s">
        <v>317</v>
      </c>
      <c r="C83" s="246"/>
    </row>
    <row r="84" spans="1:3" s="66" customFormat="1" ht="12" customHeight="1">
      <c r="A84" s="378" t="s">
        <v>318</v>
      </c>
      <c r="B84" s="355" t="s">
        <v>319</v>
      </c>
      <c r="C84" s="246"/>
    </row>
    <row r="85" spans="1:3" s="66" customFormat="1" ht="12" customHeight="1">
      <c r="A85" s="378" t="s">
        <v>320</v>
      </c>
      <c r="B85" s="355" t="s">
        <v>321</v>
      </c>
      <c r="C85" s="246"/>
    </row>
    <row r="86" spans="1:3" s="65" customFormat="1" ht="12" customHeight="1" thickBot="1">
      <c r="A86" s="379" t="s">
        <v>322</v>
      </c>
      <c r="B86" s="356" t="s">
        <v>323</v>
      </c>
      <c r="C86" s="246"/>
    </row>
    <row r="87" spans="1:3" s="65" customFormat="1" ht="12" customHeight="1" thickBot="1">
      <c r="A87" s="376" t="s">
        <v>324</v>
      </c>
      <c r="B87" s="236" t="s">
        <v>464</v>
      </c>
      <c r="C87" s="399"/>
    </row>
    <row r="88" spans="1:3" s="65" customFormat="1" ht="12" customHeight="1" thickBot="1">
      <c r="A88" s="376" t="s">
        <v>496</v>
      </c>
      <c r="B88" s="236" t="s">
        <v>325</v>
      </c>
      <c r="C88" s="399"/>
    </row>
    <row r="89" spans="1:3" s="65" customFormat="1" ht="12" customHeight="1" thickBot="1">
      <c r="A89" s="376" t="s">
        <v>497</v>
      </c>
      <c r="B89" s="361" t="s">
        <v>467</v>
      </c>
      <c r="C89" s="247">
        <f>+C66+C70+C75+C78+C82+C88+C87</f>
        <v>0</v>
      </c>
    </row>
    <row r="90" spans="1:3" s="65" customFormat="1" ht="12" customHeight="1" thickBot="1">
      <c r="A90" s="380" t="s">
        <v>498</v>
      </c>
      <c r="B90" s="362" t="s">
        <v>499</v>
      </c>
      <c r="C90" s="247">
        <f>+C65+C89</f>
        <v>0</v>
      </c>
    </row>
    <row r="91" spans="1:3" s="66" customFormat="1" ht="6.75" customHeight="1" thickBot="1">
      <c r="A91" s="181"/>
      <c r="B91" s="182"/>
      <c r="C91" s="306"/>
    </row>
    <row r="92" spans="1:3" s="43" customFormat="1" ht="16.5" customHeight="1" thickBot="1">
      <c r="A92" s="185"/>
      <c r="B92" s="186" t="s">
        <v>56</v>
      </c>
      <c r="C92" s="308"/>
    </row>
    <row r="93" spans="1:3" s="67" customFormat="1" ht="12" customHeight="1" thickBot="1">
      <c r="A93" s="348" t="s">
        <v>18</v>
      </c>
      <c r="B93" s="26" t="s">
        <v>503</v>
      </c>
      <c r="C93" s="240">
        <f>+C94+C95+C96+C97+C98+C111</f>
        <v>13009771</v>
      </c>
    </row>
    <row r="94" spans="1:4" ht="12" customHeight="1">
      <c r="A94" s="381" t="s">
        <v>97</v>
      </c>
      <c r="B94" s="10" t="s">
        <v>48</v>
      </c>
      <c r="C94" s="242">
        <v>10758024</v>
      </c>
      <c r="D94" s="3" t="s">
        <v>684</v>
      </c>
    </row>
    <row r="95" spans="1:3" ht="12" customHeight="1">
      <c r="A95" s="374" t="s">
        <v>98</v>
      </c>
      <c r="B95" s="8" t="s">
        <v>176</v>
      </c>
      <c r="C95" s="243">
        <v>2251747</v>
      </c>
    </row>
    <row r="96" spans="1:3" ht="12" customHeight="1">
      <c r="A96" s="374" t="s">
        <v>99</v>
      </c>
      <c r="B96" s="8" t="s">
        <v>133</v>
      </c>
      <c r="C96" s="245"/>
    </row>
    <row r="97" spans="1:3" ht="12" customHeight="1">
      <c r="A97" s="374" t="s">
        <v>100</v>
      </c>
      <c r="B97" s="11" t="s">
        <v>177</v>
      </c>
      <c r="C97" s="245"/>
    </row>
    <row r="98" spans="1:3" ht="12" customHeight="1">
      <c r="A98" s="374" t="s">
        <v>111</v>
      </c>
      <c r="B98" s="19" t="s">
        <v>178</v>
      </c>
      <c r="C98" s="245"/>
    </row>
    <row r="99" spans="1:3" ht="12" customHeight="1">
      <c r="A99" s="374" t="s">
        <v>101</v>
      </c>
      <c r="B99" s="8" t="s">
        <v>500</v>
      </c>
      <c r="C99" s="245"/>
    </row>
    <row r="100" spans="1:3" ht="12" customHeight="1">
      <c r="A100" s="374" t="s">
        <v>102</v>
      </c>
      <c r="B100" s="109" t="s">
        <v>430</v>
      </c>
      <c r="C100" s="245"/>
    </row>
    <row r="101" spans="1:3" ht="12" customHeight="1">
      <c r="A101" s="374" t="s">
        <v>112</v>
      </c>
      <c r="B101" s="109" t="s">
        <v>429</v>
      </c>
      <c r="C101" s="245"/>
    </row>
    <row r="102" spans="1:3" ht="12" customHeight="1">
      <c r="A102" s="374" t="s">
        <v>113</v>
      </c>
      <c r="B102" s="109" t="s">
        <v>341</v>
      </c>
      <c r="C102" s="245"/>
    </row>
    <row r="103" spans="1:3" ht="12" customHeight="1">
      <c r="A103" s="374" t="s">
        <v>114</v>
      </c>
      <c r="B103" s="110" t="s">
        <v>342</v>
      </c>
      <c r="C103" s="245"/>
    </row>
    <row r="104" spans="1:3" ht="12" customHeight="1">
      <c r="A104" s="374" t="s">
        <v>115</v>
      </c>
      <c r="B104" s="110" t="s">
        <v>343</v>
      </c>
      <c r="C104" s="245"/>
    </row>
    <row r="105" spans="1:3" ht="12" customHeight="1">
      <c r="A105" s="374" t="s">
        <v>117</v>
      </c>
      <c r="B105" s="109" t="s">
        <v>344</v>
      </c>
      <c r="C105" s="245"/>
    </row>
    <row r="106" spans="1:3" ht="12" customHeight="1">
      <c r="A106" s="374" t="s">
        <v>179</v>
      </c>
      <c r="B106" s="109" t="s">
        <v>345</v>
      </c>
      <c r="C106" s="245"/>
    </row>
    <row r="107" spans="1:3" ht="12" customHeight="1">
      <c r="A107" s="374" t="s">
        <v>339</v>
      </c>
      <c r="B107" s="110" t="s">
        <v>346</v>
      </c>
      <c r="C107" s="245"/>
    </row>
    <row r="108" spans="1:3" ht="12" customHeight="1">
      <c r="A108" s="382" t="s">
        <v>340</v>
      </c>
      <c r="B108" s="111" t="s">
        <v>347</v>
      </c>
      <c r="C108" s="245"/>
    </row>
    <row r="109" spans="1:3" ht="12" customHeight="1">
      <c r="A109" s="374" t="s">
        <v>427</v>
      </c>
      <c r="B109" s="111" t="s">
        <v>348</v>
      </c>
      <c r="C109" s="245"/>
    </row>
    <row r="110" spans="1:3" ht="12" customHeight="1">
      <c r="A110" s="374" t="s">
        <v>428</v>
      </c>
      <c r="B110" s="110" t="s">
        <v>349</v>
      </c>
      <c r="C110" s="243"/>
    </row>
    <row r="111" spans="1:3" ht="12" customHeight="1">
      <c r="A111" s="374" t="s">
        <v>432</v>
      </c>
      <c r="B111" s="11" t="s">
        <v>49</v>
      </c>
      <c r="C111" s="243"/>
    </row>
    <row r="112" spans="1:3" ht="12" customHeight="1">
      <c r="A112" s="375" t="s">
        <v>433</v>
      </c>
      <c r="B112" s="8" t="s">
        <v>501</v>
      </c>
      <c r="C112" s="245"/>
    </row>
    <row r="113" spans="1:3" ht="12" customHeight="1" thickBot="1">
      <c r="A113" s="383" t="s">
        <v>434</v>
      </c>
      <c r="B113" s="112" t="s">
        <v>502</v>
      </c>
      <c r="C113" s="249"/>
    </row>
    <row r="114" spans="1:3" ht="12" customHeight="1" thickBot="1">
      <c r="A114" s="29" t="s">
        <v>19</v>
      </c>
      <c r="B114" s="25" t="s">
        <v>350</v>
      </c>
      <c r="C114" s="241">
        <f>+C115+C117+C119</f>
        <v>0</v>
      </c>
    </row>
    <row r="115" spans="1:3" ht="12" customHeight="1">
      <c r="A115" s="373" t="s">
        <v>103</v>
      </c>
      <c r="B115" s="8" t="s">
        <v>222</v>
      </c>
      <c r="C115" s="244"/>
    </row>
    <row r="116" spans="1:3" ht="12" customHeight="1">
      <c r="A116" s="373" t="s">
        <v>104</v>
      </c>
      <c r="B116" s="12" t="s">
        <v>354</v>
      </c>
      <c r="C116" s="244"/>
    </row>
    <row r="117" spans="1:3" ht="12" customHeight="1">
      <c r="A117" s="373" t="s">
        <v>105</v>
      </c>
      <c r="B117" s="12" t="s">
        <v>180</v>
      </c>
      <c r="C117" s="243"/>
    </row>
    <row r="118" spans="1:3" ht="12" customHeight="1">
      <c r="A118" s="373" t="s">
        <v>106</v>
      </c>
      <c r="B118" s="12" t="s">
        <v>355</v>
      </c>
      <c r="C118" s="209"/>
    </row>
    <row r="119" spans="1:3" ht="12" customHeight="1">
      <c r="A119" s="373" t="s">
        <v>107</v>
      </c>
      <c r="B119" s="238" t="s">
        <v>224</v>
      </c>
      <c r="C119" s="209"/>
    </row>
    <row r="120" spans="1:3" ht="12" customHeight="1">
      <c r="A120" s="373" t="s">
        <v>116</v>
      </c>
      <c r="B120" s="237" t="s">
        <v>417</v>
      </c>
      <c r="C120" s="209"/>
    </row>
    <row r="121" spans="1:3" ht="12" customHeight="1">
      <c r="A121" s="373" t="s">
        <v>118</v>
      </c>
      <c r="B121" s="350" t="s">
        <v>360</v>
      </c>
      <c r="C121" s="209"/>
    </row>
    <row r="122" spans="1:3" ht="12" customHeight="1">
      <c r="A122" s="373" t="s">
        <v>181</v>
      </c>
      <c r="B122" s="110" t="s">
        <v>343</v>
      </c>
      <c r="C122" s="209"/>
    </row>
    <row r="123" spans="1:3" ht="12" customHeight="1">
      <c r="A123" s="373" t="s">
        <v>182</v>
      </c>
      <c r="B123" s="110" t="s">
        <v>359</v>
      </c>
      <c r="C123" s="209"/>
    </row>
    <row r="124" spans="1:3" ht="12" customHeight="1">
      <c r="A124" s="373" t="s">
        <v>183</v>
      </c>
      <c r="B124" s="110" t="s">
        <v>358</v>
      </c>
      <c r="C124" s="209"/>
    </row>
    <row r="125" spans="1:3" ht="12" customHeight="1">
      <c r="A125" s="373" t="s">
        <v>351</v>
      </c>
      <c r="B125" s="110" t="s">
        <v>346</v>
      </c>
      <c r="C125" s="209"/>
    </row>
    <row r="126" spans="1:3" ht="12" customHeight="1">
      <c r="A126" s="373" t="s">
        <v>352</v>
      </c>
      <c r="B126" s="110" t="s">
        <v>357</v>
      </c>
      <c r="C126" s="209"/>
    </row>
    <row r="127" spans="1:3" ht="12" customHeight="1" thickBot="1">
      <c r="A127" s="382" t="s">
        <v>353</v>
      </c>
      <c r="B127" s="110" t="s">
        <v>356</v>
      </c>
      <c r="C127" s="211"/>
    </row>
    <row r="128" spans="1:3" ht="12" customHeight="1" thickBot="1">
      <c r="A128" s="29" t="s">
        <v>20</v>
      </c>
      <c r="B128" s="91" t="s">
        <v>437</v>
      </c>
      <c r="C128" s="241">
        <f>+C93+C114</f>
        <v>13009771</v>
      </c>
    </row>
    <row r="129" spans="1:3" ht="12" customHeight="1" thickBot="1">
      <c r="A129" s="29" t="s">
        <v>21</v>
      </c>
      <c r="B129" s="91" t="s">
        <v>438</v>
      </c>
      <c r="C129" s="241">
        <f>+C130+C131+C132</f>
        <v>0</v>
      </c>
    </row>
    <row r="130" spans="1:3" s="67" customFormat="1" ht="12" customHeight="1">
      <c r="A130" s="373" t="s">
        <v>260</v>
      </c>
      <c r="B130" s="9" t="s">
        <v>506</v>
      </c>
      <c r="C130" s="209"/>
    </row>
    <row r="131" spans="1:3" ht="12" customHeight="1">
      <c r="A131" s="373" t="s">
        <v>261</v>
      </c>
      <c r="B131" s="9" t="s">
        <v>446</v>
      </c>
      <c r="C131" s="209"/>
    </row>
    <row r="132" spans="1:3" ht="12" customHeight="1" thickBot="1">
      <c r="A132" s="382" t="s">
        <v>262</v>
      </c>
      <c r="B132" s="7" t="s">
        <v>505</v>
      </c>
      <c r="C132" s="209"/>
    </row>
    <row r="133" spans="1:3" ht="12" customHeight="1" thickBot="1">
      <c r="A133" s="29" t="s">
        <v>22</v>
      </c>
      <c r="B133" s="91" t="s">
        <v>439</v>
      </c>
      <c r="C133" s="241">
        <f>+C134+C135+C136+C137+C138+C139</f>
        <v>0</v>
      </c>
    </row>
    <row r="134" spans="1:3" ht="12" customHeight="1">
      <c r="A134" s="373" t="s">
        <v>90</v>
      </c>
      <c r="B134" s="9" t="s">
        <v>448</v>
      </c>
      <c r="C134" s="209"/>
    </row>
    <row r="135" spans="1:3" ht="12" customHeight="1">
      <c r="A135" s="373" t="s">
        <v>91</v>
      </c>
      <c r="B135" s="9" t="s">
        <v>440</v>
      </c>
      <c r="C135" s="209"/>
    </row>
    <row r="136" spans="1:3" ht="12" customHeight="1">
      <c r="A136" s="373" t="s">
        <v>92</v>
      </c>
      <c r="B136" s="9" t="s">
        <v>441</v>
      </c>
      <c r="C136" s="209"/>
    </row>
    <row r="137" spans="1:3" ht="12" customHeight="1">
      <c r="A137" s="373" t="s">
        <v>168</v>
      </c>
      <c r="B137" s="9" t="s">
        <v>504</v>
      </c>
      <c r="C137" s="209"/>
    </row>
    <row r="138" spans="1:3" ht="12" customHeight="1">
      <c r="A138" s="373" t="s">
        <v>169</v>
      </c>
      <c r="B138" s="9" t="s">
        <v>443</v>
      </c>
      <c r="C138" s="209"/>
    </row>
    <row r="139" spans="1:3" s="67" customFormat="1" ht="12" customHeight="1" thickBot="1">
      <c r="A139" s="382" t="s">
        <v>170</v>
      </c>
      <c r="B139" s="7" t="s">
        <v>444</v>
      </c>
      <c r="C139" s="209"/>
    </row>
    <row r="140" spans="1:11" ht="12" customHeight="1" thickBot="1">
      <c r="A140" s="29" t="s">
        <v>23</v>
      </c>
      <c r="B140" s="91" t="s">
        <v>529</v>
      </c>
      <c r="C140" s="247">
        <f>+C141+C142+C144+C145+C143</f>
        <v>0</v>
      </c>
      <c r="K140" s="192"/>
    </row>
    <row r="141" spans="1:3" ht="12.75">
      <c r="A141" s="373" t="s">
        <v>93</v>
      </c>
      <c r="B141" s="9" t="s">
        <v>361</v>
      </c>
      <c r="C141" s="209"/>
    </row>
    <row r="142" spans="1:3" ht="12" customHeight="1">
      <c r="A142" s="373" t="s">
        <v>94</v>
      </c>
      <c r="B142" s="9" t="s">
        <v>362</v>
      </c>
      <c r="C142" s="209"/>
    </row>
    <row r="143" spans="1:3" s="67" customFormat="1" ht="12" customHeight="1">
      <c r="A143" s="373" t="s">
        <v>278</v>
      </c>
      <c r="B143" s="9" t="s">
        <v>528</v>
      </c>
      <c r="C143" s="209"/>
    </row>
    <row r="144" spans="1:3" s="67" customFormat="1" ht="12" customHeight="1">
      <c r="A144" s="373" t="s">
        <v>279</v>
      </c>
      <c r="B144" s="9" t="s">
        <v>453</v>
      </c>
      <c r="C144" s="209"/>
    </row>
    <row r="145" spans="1:3" s="67" customFormat="1" ht="12" customHeight="1" thickBot="1">
      <c r="A145" s="382" t="s">
        <v>280</v>
      </c>
      <c r="B145" s="7" t="s">
        <v>380</v>
      </c>
      <c r="C145" s="209"/>
    </row>
    <row r="146" spans="1:3" s="67" customFormat="1" ht="12" customHeight="1" thickBot="1">
      <c r="A146" s="29" t="s">
        <v>24</v>
      </c>
      <c r="B146" s="91" t="s">
        <v>454</v>
      </c>
      <c r="C146" s="250">
        <f>+C147+C148+C149+C150+C151</f>
        <v>0</v>
      </c>
    </row>
    <row r="147" spans="1:3" s="67" customFormat="1" ht="12" customHeight="1">
      <c r="A147" s="373" t="s">
        <v>95</v>
      </c>
      <c r="B147" s="9" t="s">
        <v>449</v>
      </c>
      <c r="C147" s="209"/>
    </row>
    <row r="148" spans="1:3" s="67" customFormat="1" ht="12" customHeight="1">
      <c r="A148" s="373" t="s">
        <v>96</v>
      </c>
      <c r="B148" s="9" t="s">
        <v>456</v>
      </c>
      <c r="C148" s="209"/>
    </row>
    <row r="149" spans="1:3" s="67" customFormat="1" ht="12" customHeight="1">
      <c r="A149" s="373" t="s">
        <v>290</v>
      </c>
      <c r="B149" s="9" t="s">
        <v>451</v>
      </c>
      <c r="C149" s="209"/>
    </row>
    <row r="150" spans="1:3" ht="12.75" customHeight="1">
      <c r="A150" s="373" t="s">
        <v>291</v>
      </c>
      <c r="B150" s="9" t="s">
        <v>507</v>
      </c>
      <c r="C150" s="209"/>
    </row>
    <row r="151" spans="1:3" ht="12.75" customHeight="1" thickBot="1">
      <c r="A151" s="382" t="s">
        <v>455</v>
      </c>
      <c r="B151" s="7" t="s">
        <v>458</v>
      </c>
      <c r="C151" s="211"/>
    </row>
    <row r="152" spans="1:3" ht="12.75" customHeight="1" thickBot="1">
      <c r="A152" s="422" t="s">
        <v>25</v>
      </c>
      <c r="B152" s="91" t="s">
        <v>459</v>
      </c>
      <c r="C152" s="250"/>
    </row>
    <row r="153" spans="1:3" ht="12" customHeight="1" thickBot="1">
      <c r="A153" s="422" t="s">
        <v>26</v>
      </c>
      <c r="B153" s="91" t="s">
        <v>460</v>
      </c>
      <c r="C153" s="250"/>
    </row>
    <row r="154" spans="1:3" ht="15" customHeight="1" thickBot="1">
      <c r="A154" s="29" t="s">
        <v>27</v>
      </c>
      <c r="B154" s="91" t="s">
        <v>462</v>
      </c>
      <c r="C154" s="364">
        <f>+C129+C133+C140+C146+C152+C153</f>
        <v>0</v>
      </c>
    </row>
    <row r="155" spans="1:3" ht="13.5" thickBot="1">
      <c r="A155" s="384" t="s">
        <v>28</v>
      </c>
      <c r="B155" s="320" t="s">
        <v>461</v>
      </c>
      <c r="C155" s="364">
        <f>+C128+C154</f>
        <v>13009771</v>
      </c>
    </row>
    <row r="156" spans="1:3" ht="9" customHeight="1">
      <c r="A156" s="328"/>
      <c r="B156" s="329"/>
      <c r="C156" s="548">
        <f>C90-C155</f>
        <v>-13009771</v>
      </c>
    </row>
    <row r="157" spans="1:3" ht="12.75">
      <c r="A157" s="545"/>
      <c r="B157" s="546"/>
      <c r="C157" s="547"/>
    </row>
    <row r="158" spans="1:2" ht="12.75">
      <c r="A158" s="545"/>
      <c r="B158" s="546"/>
    </row>
    <row r="159" spans="1:3" ht="12.75">
      <c r="A159" s="545"/>
      <c r="B159" s="546"/>
      <c r="C159" s="547"/>
    </row>
    <row r="160" spans="1:3" ht="12.75">
      <c r="A160" s="545"/>
      <c r="B160" s="546"/>
      <c r="C160" s="547"/>
    </row>
    <row r="161" spans="1:3" ht="12.75">
      <c r="A161" s="545"/>
      <c r="B161" s="546"/>
      <c r="C161" s="547"/>
    </row>
    <row r="162" spans="1:3" ht="12.75">
      <c r="A162" s="545"/>
      <c r="B162" s="546"/>
      <c r="C162" s="547"/>
    </row>
    <row r="163" spans="1:3" ht="12.75">
      <c r="A163" s="545"/>
      <c r="B163" s="546"/>
      <c r="C163" s="547"/>
    </row>
    <row r="164" spans="1:3" ht="12.75">
      <c r="A164" s="545"/>
      <c r="B164" s="546"/>
      <c r="C164" s="547"/>
    </row>
    <row r="165" spans="1:3" ht="12.75">
      <c r="A165" s="545"/>
      <c r="B165" s="546"/>
      <c r="C165" s="547"/>
    </row>
    <row r="166" spans="1:3" ht="12.75">
      <c r="A166" s="545"/>
      <c r="B166" s="546"/>
      <c r="C166" s="547"/>
    </row>
    <row r="167" spans="1:3" ht="12.75">
      <c r="A167" s="545"/>
      <c r="B167" s="546"/>
      <c r="C167" s="547"/>
    </row>
    <row r="168" spans="1:3" ht="12.75">
      <c r="A168" s="545"/>
      <c r="B168" s="546"/>
      <c r="C168" s="547"/>
    </row>
    <row r="169" spans="1:3" ht="12.75">
      <c r="A169" s="545"/>
      <c r="B169" s="546"/>
      <c r="C169" s="547"/>
    </row>
    <row r="170" spans="1:3" ht="12.75">
      <c r="A170" s="545"/>
      <c r="B170" s="546"/>
      <c r="C170" s="547"/>
    </row>
    <row r="171" spans="1:3" ht="12.75">
      <c r="A171" s="545"/>
      <c r="B171" s="546"/>
      <c r="C171" s="547"/>
    </row>
    <row r="172" spans="1:3" ht="12.75">
      <c r="A172" s="545"/>
      <c r="B172" s="546"/>
      <c r="C172" s="547"/>
    </row>
    <row r="173" spans="1:3" ht="12.75">
      <c r="A173" s="545"/>
      <c r="B173" s="546"/>
      <c r="C173" s="547"/>
    </row>
    <row r="174" spans="1:3" ht="12.75">
      <c r="A174" s="545"/>
      <c r="B174" s="546"/>
      <c r="C174" s="54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8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C83"/>
  <sheetViews>
    <sheetView zoomScale="120" zoomScaleNormal="120" workbookViewId="0" topLeftCell="A31">
      <selection activeCell="A1" sqref="A1:C61"/>
    </sheetView>
  </sheetViews>
  <sheetFormatPr defaultColWidth="9.00390625" defaultRowHeight="12.75"/>
  <cols>
    <col min="1" max="1" width="13.875" style="188" customWidth="1"/>
    <col min="2" max="2" width="79.125" style="189" customWidth="1"/>
    <col min="3" max="3" width="25.00390625" style="189" customWidth="1"/>
    <col min="4" max="16384" width="9.375" style="189" customWidth="1"/>
  </cols>
  <sheetData>
    <row r="1" spans="1:3" s="169" customFormat="1" ht="21" customHeight="1" thickBot="1">
      <c r="A1" s="526"/>
      <c r="B1" s="527"/>
      <c r="C1" s="523" t="s">
        <v>770</v>
      </c>
    </row>
    <row r="2" spans="1:3" s="393" customFormat="1" ht="36">
      <c r="A2" s="528" t="s">
        <v>196</v>
      </c>
      <c r="B2" s="529" t="str">
        <f>CONCATENATE(ALAPADATOK!A11)</f>
        <v>Karácsondi Közös Önkormányzati Hivatal</v>
      </c>
      <c r="C2" s="549" t="s">
        <v>58</v>
      </c>
    </row>
    <row r="3" spans="1:3" s="393" customFormat="1" ht="24.75" thickBot="1">
      <c r="A3" s="550" t="s">
        <v>195</v>
      </c>
      <c r="B3" s="532" t="s">
        <v>388</v>
      </c>
      <c r="C3" s="551" t="s">
        <v>53</v>
      </c>
    </row>
    <row r="4" spans="1:3" s="394" customFormat="1" ht="15.75" customHeight="1" thickBot="1">
      <c r="A4" s="534"/>
      <c r="B4" s="534"/>
      <c r="C4" s="535" t="str">
        <f>'ÖNK-ÁIG'!C4</f>
        <v>Ft-ban</v>
      </c>
    </row>
    <row r="5" spans="1:3" ht="13.5" thickBot="1">
      <c r="A5" s="536" t="s">
        <v>197</v>
      </c>
      <c r="B5" s="537" t="s">
        <v>550</v>
      </c>
      <c r="C5" s="552" t="s">
        <v>54</v>
      </c>
    </row>
    <row r="6" spans="1:3" s="395" customFormat="1" ht="12.75" customHeight="1" thickBot="1">
      <c r="A6" s="539"/>
      <c r="B6" s="540" t="s">
        <v>482</v>
      </c>
      <c r="C6" s="541" t="s">
        <v>483</v>
      </c>
    </row>
    <row r="7" spans="1:3" s="395" customFormat="1" ht="15.75" customHeight="1" thickBot="1">
      <c r="A7" s="175"/>
      <c r="B7" s="176" t="s">
        <v>55</v>
      </c>
      <c r="C7" s="177"/>
    </row>
    <row r="8" spans="1:3" s="312" customFormat="1" ht="12" customHeight="1" thickBot="1">
      <c r="A8" s="155" t="s">
        <v>18</v>
      </c>
      <c r="B8" s="178" t="s">
        <v>509</v>
      </c>
      <c r="C8" s="261">
        <f>SUM(C9:C19)</f>
        <v>0</v>
      </c>
    </row>
    <row r="9" spans="1:3" s="312" customFormat="1" ht="12" customHeight="1">
      <c r="A9" s="388" t="s">
        <v>97</v>
      </c>
      <c r="B9" s="10" t="s">
        <v>267</v>
      </c>
      <c r="C9" s="302"/>
    </row>
    <row r="10" spans="1:3" s="312" customFormat="1" ht="12" customHeight="1">
      <c r="A10" s="389" t="s">
        <v>98</v>
      </c>
      <c r="B10" s="8" t="s">
        <v>268</v>
      </c>
      <c r="C10" s="259"/>
    </row>
    <row r="11" spans="1:3" s="312" customFormat="1" ht="12" customHeight="1">
      <c r="A11" s="389" t="s">
        <v>99</v>
      </c>
      <c r="B11" s="8" t="s">
        <v>269</v>
      </c>
      <c r="C11" s="259"/>
    </row>
    <row r="12" spans="1:3" s="312" customFormat="1" ht="12" customHeight="1">
      <c r="A12" s="389" t="s">
        <v>100</v>
      </c>
      <c r="B12" s="8" t="s">
        <v>270</v>
      </c>
      <c r="C12" s="259"/>
    </row>
    <row r="13" spans="1:3" s="312" customFormat="1" ht="12" customHeight="1">
      <c r="A13" s="389" t="s">
        <v>141</v>
      </c>
      <c r="B13" s="8" t="s">
        <v>271</v>
      </c>
      <c r="C13" s="259"/>
    </row>
    <row r="14" spans="1:3" s="312" customFormat="1" ht="12" customHeight="1">
      <c r="A14" s="389" t="s">
        <v>101</v>
      </c>
      <c r="B14" s="8" t="s">
        <v>389</v>
      </c>
      <c r="C14" s="259"/>
    </row>
    <row r="15" spans="1:3" s="312" customFormat="1" ht="12" customHeight="1">
      <c r="A15" s="389" t="s">
        <v>102</v>
      </c>
      <c r="B15" s="7" t="s">
        <v>390</v>
      </c>
      <c r="C15" s="259"/>
    </row>
    <row r="16" spans="1:3" s="312" customFormat="1" ht="12" customHeight="1">
      <c r="A16" s="389" t="s">
        <v>112</v>
      </c>
      <c r="B16" s="8" t="s">
        <v>274</v>
      </c>
      <c r="C16" s="303"/>
    </row>
    <row r="17" spans="1:3" s="396" customFormat="1" ht="12" customHeight="1">
      <c r="A17" s="389" t="s">
        <v>113</v>
      </c>
      <c r="B17" s="8" t="s">
        <v>275</v>
      </c>
      <c r="C17" s="259"/>
    </row>
    <row r="18" spans="1:3" s="396" customFormat="1" ht="12" customHeight="1">
      <c r="A18" s="389" t="s">
        <v>114</v>
      </c>
      <c r="B18" s="8" t="s">
        <v>425</v>
      </c>
      <c r="C18" s="260"/>
    </row>
    <row r="19" spans="1:3" s="396" customFormat="1" ht="12" customHeight="1" thickBot="1">
      <c r="A19" s="389" t="s">
        <v>115</v>
      </c>
      <c r="B19" s="7" t="s">
        <v>276</v>
      </c>
      <c r="C19" s="260"/>
    </row>
    <row r="20" spans="1:3" s="312" customFormat="1" ht="12" customHeight="1" thickBot="1">
      <c r="A20" s="155" t="s">
        <v>19</v>
      </c>
      <c r="B20" s="178" t="s">
        <v>391</v>
      </c>
      <c r="C20" s="261">
        <f>SUM(C21:C23)</f>
        <v>0</v>
      </c>
    </row>
    <row r="21" spans="1:3" s="396" customFormat="1" ht="12" customHeight="1">
      <c r="A21" s="389" t="s">
        <v>103</v>
      </c>
      <c r="B21" s="9" t="s">
        <v>250</v>
      </c>
      <c r="C21" s="259"/>
    </row>
    <row r="22" spans="1:3" s="396" customFormat="1" ht="12" customHeight="1">
      <c r="A22" s="389" t="s">
        <v>104</v>
      </c>
      <c r="B22" s="8" t="s">
        <v>392</v>
      </c>
      <c r="C22" s="259"/>
    </row>
    <row r="23" spans="1:3" s="396" customFormat="1" ht="12" customHeight="1">
      <c r="A23" s="389" t="s">
        <v>105</v>
      </c>
      <c r="B23" s="8" t="s">
        <v>393</v>
      </c>
      <c r="C23" s="259"/>
    </row>
    <row r="24" spans="1:3" s="396" customFormat="1" ht="12" customHeight="1" thickBot="1">
      <c r="A24" s="389" t="s">
        <v>106</v>
      </c>
      <c r="B24" s="8" t="s">
        <v>510</v>
      </c>
      <c r="C24" s="259"/>
    </row>
    <row r="25" spans="1:3" s="396" customFormat="1" ht="12" customHeight="1" thickBot="1">
      <c r="A25" s="163" t="s">
        <v>20</v>
      </c>
      <c r="B25" s="91" t="s">
        <v>167</v>
      </c>
      <c r="C25" s="287"/>
    </row>
    <row r="26" spans="1:3" s="396" customFormat="1" ht="12" customHeight="1" thickBot="1">
      <c r="A26" s="163" t="s">
        <v>21</v>
      </c>
      <c r="B26" s="91" t="s">
        <v>511</v>
      </c>
      <c r="C26" s="261">
        <f>+C27+C28+C29</f>
        <v>0</v>
      </c>
    </row>
    <row r="27" spans="1:3" s="396" customFormat="1" ht="12" customHeight="1">
      <c r="A27" s="390" t="s">
        <v>260</v>
      </c>
      <c r="B27" s="391" t="s">
        <v>255</v>
      </c>
      <c r="C27" s="52"/>
    </row>
    <row r="28" spans="1:3" s="396" customFormat="1" ht="12" customHeight="1">
      <c r="A28" s="390" t="s">
        <v>261</v>
      </c>
      <c r="B28" s="391" t="s">
        <v>392</v>
      </c>
      <c r="C28" s="259"/>
    </row>
    <row r="29" spans="1:3" s="396" customFormat="1" ht="12" customHeight="1">
      <c r="A29" s="390" t="s">
        <v>262</v>
      </c>
      <c r="B29" s="392" t="s">
        <v>395</v>
      </c>
      <c r="C29" s="259"/>
    </row>
    <row r="30" spans="1:3" s="396" customFormat="1" ht="12" customHeight="1" thickBot="1">
      <c r="A30" s="389" t="s">
        <v>263</v>
      </c>
      <c r="B30" s="108" t="s">
        <v>512</v>
      </c>
      <c r="C30" s="59"/>
    </row>
    <row r="31" spans="1:3" s="396" customFormat="1" ht="12" customHeight="1" thickBot="1">
      <c r="A31" s="163" t="s">
        <v>22</v>
      </c>
      <c r="B31" s="91" t="s">
        <v>396</v>
      </c>
      <c r="C31" s="261">
        <f>+C32+C33+C34</f>
        <v>0</v>
      </c>
    </row>
    <row r="32" spans="1:3" s="396" customFormat="1" ht="12" customHeight="1">
      <c r="A32" s="390" t="s">
        <v>90</v>
      </c>
      <c r="B32" s="391" t="s">
        <v>281</v>
      </c>
      <c r="C32" s="52"/>
    </row>
    <row r="33" spans="1:3" s="396" customFormat="1" ht="12" customHeight="1">
      <c r="A33" s="390" t="s">
        <v>91</v>
      </c>
      <c r="B33" s="392" t="s">
        <v>282</v>
      </c>
      <c r="C33" s="262"/>
    </row>
    <row r="34" spans="1:3" s="396" customFormat="1" ht="12" customHeight="1" thickBot="1">
      <c r="A34" s="389" t="s">
        <v>92</v>
      </c>
      <c r="B34" s="108" t="s">
        <v>283</v>
      </c>
      <c r="C34" s="59"/>
    </row>
    <row r="35" spans="1:3" s="312" customFormat="1" ht="12" customHeight="1" thickBot="1">
      <c r="A35" s="163" t="s">
        <v>23</v>
      </c>
      <c r="B35" s="91" t="s">
        <v>366</v>
      </c>
      <c r="C35" s="287"/>
    </row>
    <row r="36" spans="1:3" s="312" customFormat="1" ht="12" customHeight="1" thickBot="1">
      <c r="A36" s="163" t="s">
        <v>24</v>
      </c>
      <c r="B36" s="91" t="s">
        <v>397</v>
      </c>
      <c r="C36" s="304"/>
    </row>
    <row r="37" spans="1:3" s="312" customFormat="1" ht="12" customHeight="1" thickBot="1">
      <c r="A37" s="155" t="s">
        <v>25</v>
      </c>
      <c r="B37" s="91" t="s">
        <v>398</v>
      </c>
      <c r="C37" s="305">
        <f>+C8+C20+C25+C26+C31+C35+C36</f>
        <v>0</v>
      </c>
    </row>
    <row r="38" spans="1:3" s="312" customFormat="1" ht="12" customHeight="1" thickBot="1">
      <c r="A38" s="179" t="s">
        <v>26</v>
      </c>
      <c r="B38" s="91" t="s">
        <v>399</v>
      </c>
      <c r="C38" s="305">
        <f>+C39+C40+C41</f>
        <v>71118707</v>
      </c>
    </row>
    <row r="39" spans="1:3" s="312" customFormat="1" ht="12" customHeight="1">
      <c r="A39" s="390" t="s">
        <v>400</v>
      </c>
      <c r="B39" s="391" t="s">
        <v>228</v>
      </c>
      <c r="C39" s="52"/>
    </row>
    <row r="40" spans="1:3" s="312" customFormat="1" ht="12" customHeight="1">
      <c r="A40" s="390" t="s">
        <v>401</v>
      </c>
      <c r="B40" s="392" t="s">
        <v>2</v>
      </c>
      <c r="C40" s="262"/>
    </row>
    <row r="41" spans="1:3" s="396" customFormat="1" ht="12" customHeight="1" thickBot="1">
      <c r="A41" s="389" t="s">
        <v>402</v>
      </c>
      <c r="B41" s="108" t="s">
        <v>403</v>
      </c>
      <c r="C41" s="59">
        <v>71118707</v>
      </c>
    </row>
    <row r="42" spans="1:3" s="396" customFormat="1" ht="15" customHeight="1" thickBot="1">
      <c r="A42" s="179" t="s">
        <v>27</v>
      </c>
      <c r="B42" s="180" t="s">
        <v>404</v>
      </c>
      <c r="C42" s="308">
        <f>+C37+C38</f>
        <v>71118707</v>
      </c>
    </row>
    <row r="43" spans="1:3" s="396" customFormat="1" ht="15" customHeight="1">
      <c r="A43" s="181"/>
      <c r="B43" s="182"/>
      <c r="C43" s="306"/>
    </row>
    <row r="44" spans="1:3" ht="13.5" thickBot="1">
      <c r="A44" s="183"/>
      <c r="B44" s="184"/>
      <c r="C44" s="307"/>
    </row>
    <row r="45" spans="1:3" s="395" customFormat="1" ht="16.5" customHeight="1" thickBot="1">
      <c r="A45" s="185"/>
      <c r="B45" s="186" t="s">
        <v>56</v>
      </c>
      <c r="C45" s="308"/>
    </row>
    <row r="46" spans="1:3" s="397" customFormat="1" ht="12" customHeight="1" thickBot="1">
      <c r="A46" s="163" t="s">
        <v>18</v>
      </c>
      <c r="B46" s="91" t="s">
        <v>405</v>
      </c>
      <c r="C46" s="261">
        <f>SUM(C47:C51)</f>
        <v>69299809</v>
      </c>
    </row>
    <row r="47" spans="1:3" ht="12" customHeight="1">
      <c r="A47" s="389" t="s">
        <v>97</v>
      </c>
      <c r="B47" s="9" t="s">
        <v>48</v>
      </c>
      <c r="C47" s="52">
        <v>54317691</v>
      </c>
    </row>
    <row r="48" spans="1:3" ht="12" customHeight="1">
      <c r="A48" s="389" t="s">
        <v>98</v>
      </c>
      <c r="B48" s="8" t="s">
        <v>176</v>
      </c>
      <c r="C48" s="55">
        <v>9750456</v>
      </c>
    </row>
    <row r="49" spans="1:3" ht="12" customHeight="1">
      <c r="A49" s="389" t="s">
        <v>99</v>
      </c>
      <c r="B49" s="8" t="s">
        <v>133</v>
      </c>
      <c r="C49" s="55">
        <v>5231662</v>
      </c>
    </row>
    <row r="50" spans="1:3" ht="12" customHeight="1">
      <c r="A50" s="389" t="s">
        <v>100</v>
      </c>
      <c r="B50" s="8" t="s">
        <v>177</v>
      </c>
      <c r="C50" s="55"/>
    </row>
    <row r="51" spans="1:3" ht="12" customHeight="1" thickBot="1">
      <c r="A51" s="389" t="s">
        <v>141</v>
      </c>
      <c r="B51" s="8" t="s">
        <v>178</v>
      </c>
      <c r="C51" s="55"/>
    </row>
    <row r="52" spans="1:3" ht="12" customHeight="1" thickBot="1">
      <c r="A52" s="163" t="s">
        <v>19</v>
      </c>
      <c r="B52" s="91" t="s">
        <v>406</v>
      </c>
      <c r="C52" s="261">
        <f>SUM(C53:C55)</f>
        <v>1818898</v>
      </c>
    </row>
    <row r="53" spans="1:3" s="397" customFormat="1" ht="12" customHeight="1">
      <c r="A53" s="389" t="s">
        <v>103</v>
      </c>
      <c r="B53" s="9" t="s">
        <v>222</v>
      </c>
      <c r="C53" s="52">
        <v>1818898</v>
      </c>
    </row>
    <row r="54" spans="1:3" ht="12" customHeight="1">
      <c r="A54" s="389" t="s">
        <v>104</v>
      </c>
      <c r="B54" s="8" t="s">
        <v>180</v>
      </c>
      <c r="C54" s="55"/>
    </row>
    <row r="55" spans="1:3" ht="12" customHeight="1">
      <c r="A55" s="389" t="s">
        <v>105</v>
      </c>
      <c r="B55" s="8" t="s">
        <v>57</v>
      </c>
      <c r="C55" s="55"/>
    </row>
    <row r="56" spans="1:3" ht="12" customHeight="1" thickBot="1">
      <c r="A56" s="389" t="s">
        <v>106</v>
      </c>
      <c r="B56" s="8" t="s">
        <v>513</v>
      </c>
      <c r="C56" s="55"/>
    </row>
    <row r="57" spans="1:3" ht="12" customHeight="1" thickBot="1">
      <c r="A57" s="163" t="s">
        <v>20</v>
      </c>
      <c r="B57" s="91" t="s">
        <v>13</v>
      </c>
      <c r="C57" s="287"/>
    </row>
    <row r="58" spans="1:3" ht="15" customHeight="1" thickBot="1">
      <c r="A58" s="163" t="s">
        <v>21</v>
      </c>
      <c r="B58" s="187" t="s">
        <v>518</v>
      </c>
      <c r="C58" s="309">
        <f>+C46+C52+C57</f>
        <v>71118707</v>
      </c>
    </row>
    <row r="59" ht="13.5" thickBot="1">
      <c r="C59" s="555">
        <f>C42-C58</f>
        <v>0</v>
      </c>
    </row>
    <row r="60" spans="1:3" ht="15" customHeight="1" thickBot="1">
      <c r="A60" s="190" t="s">
        <v>508</v>
      </c>
      <c r="B60" s="191"/>
      <c r="C60" s="88">
        <v>14</v>
      </c>
    </row>
    <row r="61" spans="1:3" ht="14.25" customHeight="1" thickBot="1">
      <c r="A61" s="190" t="s">
        <v>198</v>
      </c>
      <c r="B61" s="191"/>
      <c r="C61" s="88">
        <v>0</v>
      </c>
    </row>
    <row r="62" spans="1:3" ht="12.75">
      <c r="A62" s="553"/>
      <c r="B62" s="554"/>
      <c r="C62" s="554"/>
    </row>
    <row r="63" spans="1:2" ht="12.75">
      <c r="A63" s="553"/>
      <c r="B63" s="554"/>
    </row>
    <row r="64" spans="1:3" ht="12.75">
      <c r="A64" s="553"/>
      <c r="B64" s="554"/>
      <c r="C64" s="554"/>
    </row>
    <row r="65" spans="1:3" ht="12.75">
      <c r="A65" s="553"/>
      <c r="B65" s="554"/>
      <c r="C65" s="554"/>
    </row>
    <row r="66" spans="1:3" ht="12.75">
      <c r="A66" s="553"/>
      <c r="B66" s="554"/>
      <c r="C66" s="554"/>
    </row>
    <row r="67" spans="1:3" ht="12.75">
      <c r="A67" s="553"/>
      <c r="B67" s="554"/>
      <c r="C67" s="554"/>
    </row>
    <row r="68" spans="1:3" ht="12.75">
      <c r="A68" s="553"/>
      <c r="B68" s="554"/>
      <c r="C68" s="554"/>
    </row>
    <row r="69" spans="1:3" ht="12.75">
      <c r="A69" s="553"/>
      <c r="B69" s="554"/>
      <c r="C69" s="554"/>
    </row>
    <row r="70" spans="1:3" ht="12.75">
      <c r="A70" s="553"/>
      <c r="B70" s="554"/>
      <c r="C70" s="554"/>
    </row>
    <row r="71" spans="1:3" ht="12.75">
      <c r="A71" s="553"/>
      <c r="B71" s="554"/>
      <c r="C71" s="554"/>
    </row>
    <row r="72" spans="1:3" ht="12.75">
      <c r="A72" s="553"/>
      <c r="B72" s="554"/>
      <c r="C72" s="554"/>
    </row>
    <row r="73" spans="1:3" ht="12.75">
      <c r="A73" s="553"/>
      <c r="B73" s="554"/>
      <c r="C73" s="554"/>
    </row>
    <row r="74" spans="1:3" ht="12.75">
      <c r="A74" s="553"/>
      <c r="B74" s="554"/>
      <c r="C74" s="554"/>
    </row>
    <row r="75" spans="1:3" ht="12.75">
      <c r="A75" s="553"/>
      <c r="B75" s="554"/>
      <c r="C75" s="554"/>
    </row>
    <row r="76" spans="1:3" ht="12.75">
      <c r="A76" s="553"/>
      <c r="B76" s="554"/>
      <c r="C76" s="554"/>
    </row>
    <row r="77" spans="1:3" ht="12.75">
      <c r="A77" s="553"/>
      <c r="B77" s="554"/>
      <c r="C77" s="554"/>
    </row>
    <row r="78" spans="1:3" ht="12.75">
      <c r="A78" s="553"/>
      <c r="B78" s="554"/>
      <c r="C78" s="554"/>
    </row>
    <row r="79" spans="1:3" ht="12.75">
      <c r="A79" s="553"/>
      <c r="B79" s="554"/>
      <c r="C79" s="554"/>
    </row>
    <row r="80" spans="1:3" ht="12.75">
      <c r="A80" s="553"/>
      <c r="B80" s="554"/>
      <c r="C80" s="554"/>
    </row>
    <row r="81" spans="1:3" ht="12.75">
      <c r="A81" s="553"/>
      <c r="B81" s="554"/>
      <c r="C81" s="554"/>
    </row>
    <row r="82" spans="1:3" ht="12.75">
      <c r="A82" s="553"/>
      <c r="B82" s="554"/>
      <c r="C82" s="554"/>
    </row>
    <row r="83" spans="1:3" ht="12.75">
      <c r="A83" s="553"/>
      <c r="B83" s="554"/>
      <c r="C83" s="55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C61"/>
  <sheetViews>
    <sheetView zoomScale="120" zoomScaleNormal="120" workbookViewId="0" topLeftCell="A27">
      <selection activeCell="A1" sqref="A1:C59"/>
    </sheetView>
  </sheetViews>
  <sheetFormatPr defaultColWidth="9.00390625" defaultRowHeight="12.75"/>
  <cols>
    <col min="1" max="1" width="13.875" style="188" customWidth="1"/>
    <col min="2" max="2" width="79.125" style="189" customWidth="1"/>
    <col min="3" max="3" width="25.00390625" style="189" customWidth="1"/>
    <col min="4" max="16384" width="9.375" style="189" customWidth="1"/>
  </cols>
  <sheetData>
    <row r="1" spans="1:3" s="169" customFormat="1" ht="21" customHeight="1" thickBot="1">
      <c r="A1" s="168"/>
      <c r="B1" s="170"/>
      <c r="C1" s="523" t="s">
        <v>771</v>
      </c>
    </row>
    <row r="2" spans="1:3" s="393" customFormat="1" ht="36">
      <c r="A2" s="346" t="s">
        <v>196</v>
      </c>
      <c r="B2" s="521" t="str">
        <f>CONCATENATE(ALAPADATOK!A11)</f>
        <v>Karácsondi Közös Önkormányzati Hivatal</v>
      </c>
      <c r="C2" s="310" t="s">
        <v>58</v>
      </c>
    </row>
    <row r="3" spans="1:3" s="393" customFormat="1" ht="24.75" thickBot="1">
      <c r="A3" s="387" t="s">
        <v>195</v>
      </c>
      <c r="B3" s="522" t="s">
        <v>407</v>
      </c>
      <c r="C3" s="311" t="s">
        <v>58</v>
      </c>
    </row>
    <row r="4" spans="1:3" s="394" customFormat="1" ht="15.75" customHeight="1" thickBot="1">
      <c r="A4" s="171"/>
      <c r="B4" s="171"/>
      <c r="C4" s="172" t="str">
        <f>'KÖZÖS HIVATAL'!C4</f>
        <v>Ft-ban</v>
      </c>
    </row>
    <row r="5" spans="1:3" ht="13.5" thickBot="1">
      <c r="A5" s="347" t="s">
        <v>197</v>
      </c>
      <c r="B5" s="173" t="s">
        <v>550</v>
      </c>
      <c r="C5" s="174" t="s">
        <v>54</v>
      </c>
    </row>
    <row r="6" spans="1:3" s="395" customFormat="1" ht="12.75" customHeight="1" thickBot="1">
      <c r="A6" s="155"/>
      <c r="B6" s="156" t="s">
        <v>482</v>
      </c>
      <c r="C6" s="157" t="s">
        <v>483</v>
      </c>
    </row>
    <row r="7" spans="1:3" s="395" customFormat="1" ht="15.75" customHeight="1" thickBot="1">
      <c r="A7" s="175"/>
      <c r="B7" s="176" t="s">
        <v>55</v>
      </c>
      <c r="C7" s="177"/>
    </row>
    <row r="8" spans="1:3" s="312" customFormat="1" ht="12" customHeight="1" thickBot="1">
      <c r="A8" s="155" t="s">
        <v>18</v>
      </c>
      <c r="B8" s="178" t="s">
        <v>509</v>
      </c>
      <c r="C8" s="261">
        <f>SUM(C9:C19)</f>
        <v>0</v>
      </c>
    </row>
    <row r="9" spans="1:3" s="312" customFormat="1" ht="12" customHeight="1">
      <c r="A9" s="388" t="s">
        <v>97</v>
      </c>
      <c r="B9" s="10" t="s">
        <v>267</v>
      </c>
      <c r="C9" s="302"/>
    </row>
    <row r="10" spans="1:3" s="312" customFormat="1" ht="12" customHeight="1">
      <c r="A10" s="389" t="s">
        <v>98</v>
      </c>
      <c r="B10" s="8" t="s">
        <v>268</v>
      </c>
      <c r="C10" s="259"/>
    </row>
    <row r="11" spans="1:3" s="312" customFormat="1" ht="12" customHeight="1">
      <c r="A11" s="389" t="s">
        <v>99</v>
      </c>
      <c r="B11" s="8" t="s">
        <v>269</v>
      </c>
      <c r="C11" s="259"/>
    </row>
    <row r="12" spans="1:3" s="312" customFormat="1" ht="12" customHeight="1">
      <c r="A12" s="389" t="s">
        <v>100</v>
      </c>
      <c r="B12" s="8" t="s">
        <v>270</v>
      </c>
      <c r="C12" s="259"/>
    </row>
    <row r="13" spans="1:3" s="312" customFormat="1" ht="12" customHeight="1">
      <c r="A13" s="389" t="s">
        <v>141</v>
      </c>
      <c r="B13" s="8" t="s">
        <v>271</v>
      </c>
      <c r="C13" s="259"/>
    </row>
    <row r="14" spans="1:3" s="312" customFormat="1" ht="12" customHeight="1">
      <c r="A14" s="389" t="s">
        <v>101</v>
      </c>
      <c r="B14" s="8" t="s">
        <v>389</v>
      </c>
      <c r="C14" s="259"/>
    </row>
    <row r="15" spans="1:3" s="312" customFormat="1" ht="12" customHeight="1">
      <c r="A15" s="389" t="s">
        <v>102</v>
      </c>
      <c r="B15" s="7" t="s">
        <v>390</v>
      </c>
      <c r="C15" s="259"/>
    </row>
    <row r="16" spans="1:3" s="312" customFormat="1" ht="12" customHeight="1">
      <c r="A16" s="389" t="s">
        <v>112</v>
      </c>
      <c r="B16" s="8" t="s">
        <v>274</v>
      </c>
      <c r="C16" s="303"/>
    </row>
    <row r="17" spans="1:3" s="396" customFormat="1" ht="12" customHeight="1">
      <c r="A17" s="389" t="s">
        <v>113</v>
      </c>
      <c r="B17" s="8" t="s">
        <v>275</v>
      </c>
      <c r="C17" s="259"/>
    </row>
    <row r="18" spans="1:3" s="396" customFormat="1" ht="12" customHeight="1">
      <c r="A18" s="389" t="s">
        <v>114</v>
      </c>
      <c r="B18" s="8" t="s">
        <v>425</v>
      </c>
      <c r="C18" s="260"/>
    </row>
    <row r="19" spans="1:3" s="396" customFormat="1" ht="12" customHeight="1" thickBot="1">
      <c r="A19" s="389" t="s">
        <v>115</v>
      </c>
      <c r="B19" s="7" t="s">
        <v>276</v>
      </c>
      <c r="C19" s="260"/>
    </row>
    <row r="20" spans="1:3" s="312" customFormat="1" ht="12" customHeight="1" thickBot="1">
      <c r="A20" s="155" t="s">
        <v>19</v>
      </c>
      <c r="B20" s="178" t="s">
        <v>391</v>
      </c>
      <c r="C20" s="261">
        <f>SUM(C21:C23)</f>
        <v>0</v>
      </c>
    </row>
    <row r="21" spans="1:3" s="396" customFormat="1" ht="12" customHeight="1">
      <c r="A21" s="389" t="s">
        <v>103</v>
      </c>
      <c r="B21" s="9" t="s">
        <v>250</v>
      </c>
      <c r="C21" s="259"/>
    </row>
    <row r="22" spans="1:3" s="396" customFormat="1" ht="12" customHeight="1">
      <c r="A22" s="389" t="s">
        <v>104</v>
      </c>
      <c r="B22" s="8" t="s">
        <v>392</v>
      </c>
      <c r="C22" s="259"/>
    </row>
    <row r="23" spans="1:3" s="396" customFormat="1" ht="12" customHeight="1">
      <c r="A23" s="389" t="s">
        <v>105</v>
      </c>
      <c r="B23" s="8" t="s">
        <v>393</v>
      </c>
      <c r="C23" s="259"/>
    </row>
    <row r="24" spans="1:3" s="396" customFormat="1" ht="12" customHeight="1" thickBot="1">
      <c r="A24" s="389" t="s">
        <v>106</v>
      </c>
      <c r="B24" s="8" t="s">
        <v>510</v>
      </c>
      <c r="C24" s="259"/>
    </row>
    <row r="25" spans="1:3" s="396" customFormat="1" ht="12" customHeight="1" thickBot="1">
      <c r="A25" s="163" t="s">
        <v>20</v>
      </c>
      <c r="B25" s="91" t="s">
        <v>167</v>
      </c>
      <c r="C25" s="287"/>
    </row>
    <row r="26" spans="1:3" s="396" customFormat="1" ht="12" customHeight="1" thickBot="1">
      <c r="A26" s="163" t="s">
        <v>21</v>
      </c>
      <c r="B26" s="91" t="s">
        <v>511</v>
      </c>
      <c r="C26" s="261">
        <f>+C27+C28+C29</f>
        <v>0</v>
      </c>
    </row>
    <row r="27" spans="1:3" s="396" customFormat="1" ht="12" customHeight="1">
      <c r="A27" s="390" t="s">
        <v>260</v>
      </c>
      <c r="B27" s="391" t="s">
        <v>255</v>
      </c>
      <c r="C27" s="52"/>
    </row>
    <row r="28" spans="1:3" s="396" customFormat="1" ht="12" customHeight="1">
      <c r="A28" s="390" t="s">
        <v>261</v>
      </c>
      <c r="B28" s="391" t="s">
        <v>392</v>
      </c>
      <c r="C28" s="259"/>
    </row>
    <row r="29" spans="1:3" s="396" customFormat="1" ht="12" customHeight="1">
      <c r="A29" s="390" t="s">
        <v>262</v>
      </c>
      <c r="B29" s="392" t="s">
        <v>395</v>
      </c>
      <c r="C29" s="259"/>
    </row>
    <row r="30" spans="1:3" s="396" customFormat="1" ht="12" customHeight="1" thickBot="1">
      <c r="A30" s="389" t="s">
        <v>263</v>
      </c>
      <c r="B30" s="108" t="s">
        <v>512</v>
      </c>
      <c r="C30" s="59"/>
    </row>
    <row r="31" spans="1:3" s="396" customFormat="1" ht="12" customHeight="1" thickBot="1">
      <c r="A31" s="163" t="s">
        <v>22</v>
      </c>
      <c r="B31" s="91" t="s">
        <v>396</v>
      </c>
      <c r="C31" s="261">
        <f>+C32+C33+C34</f>
        <v>0</v>
      </c>
    </row>
    <row r="32" spans="1:3" s="396" customFormat="1" ht="12" customHeight="1">
      <c r="A32" s="390" t="s">
        <v>90</v>
      </c>
      <c r="B32" s="391" t="s">
        <v>281</v>
      </c>
      <c r="C32" s="52"/>
    </row>
    <row r="33" spans="1:3" s="396" customFormat="1" ht="12" customHeight="1">
      <c r="A33" s="390" t="s">
        <v>91</v>
      </c>
      <c r="B33" s="392" t="s">
        <v>282</v>
      </c>
      <c r="C33" s="262"/>
    </row>
    <row r="34" spans="1:3" s="396" customFormat="1" ht="12" customHeight="1" thickBot="1">
      <c r="A34" s="389" t="s">
        <v>92</v>
      </c>
      <c r="B34" s="108" t="s">
        <v>283</v>
      </c>
      <c r="C34" s="59"/>
    </row>
    <row r="35" spans="1:3" s="312" customFormat="1" ht="12" customHeight="1" thickBot="1">
      <c r="A35" s="163" t="s">
        <v>23</v>
      </c>
      <c r="B35" s="91" t="s">
        <v>366</v>
      </c>
      <c r="C35" s="287"/>
    </row>
    <row r="36" spans="1:3" s="312" customFormat="1" ht="12" customHeight="1" thickBot="1">
      <c r="A36" s="163" t="s">
        <v>24</v>
      </c>
      <c r="B36" s="91" t="s">
        <v>397</v>
      </c>
      <c r="C36" s="304"/>
    </row>
    <row r="37" spans="1:3" s="312" customFormat="1" ht="12" customHeight="1" thickBot="1">
      <c r="A37" s="155" t="s">
        <v>25</v>
      </c>
      <c r="B37" s="91" t="s">
        <v>398</v>
      </c>
      <c r="C37" s="305">
        <f>+C8+C20+C25+C26+C31+C35+C36</f>
        <v>0</v>
      </c>
    </row>
    <row r="38" spans="1:3" s="312" customFormat="1" ht="12" customHeight="1" thickBot="1">
      <c r="A38" s="179" t="s">
        <v>26</v>
      </c>
      <c r="B38" s="91" t="s">
        <v>399</v>
      </c>
      <c r="C38" s="305">
        <f>+C39+C40+C41</f>
        <v>71118707</v>
      </c>
    </row>
    <row r="39" spans="1:3" s="312" customFormat="1" ht="12" customHeight="1">
      <c r="A39" s="390" t="s">
        <v>400</v>
      </c>
      <c r="B39" s="391" t="s">
        <v>228</v>
      </c>
      <c r="C39" s="52"/>
    </row>
    <row r="40" spans="1:3" s="312" customFormat="1" ht="12" customHeight="1">
      <c r="A40" s="390" t="s">
        <v>401</v>
      </c>
      <c r="B40" s="392" t="s">
        <v>2</v>
      </c>
      <c r="C40" s="262"/>
    </row>
    <row r="41" spans="1:3" s="396" customFormat="1" ht="12" customHeight="1" thickBot="1">
      <c r="A41" s="389" t="s">
        <v>402</v>
      </c>
      <c r="B41" s="108" t="s">
        <v>403</v>
      </c>
      <c r="C41" s="59">
        <v>71118707</v>
      </c>
    </row>
    <row r="42" spans="1:3" s="396" customFormat="1" ht="15" customHeight="1" thickBot="1">
      <c r="A42" s="179" t="s">
        <v>27</v>
      </c>
      <c r="B42" s="180" t="s">
        <v>404</v>
      </c>
      <c r="C42" s="308">
        <f>+C37+C38</f>
        <v>71118707</v>
      </c>
    </row>
    <row r="43" spans="1:3" s="396" customFormat="1" ht="15" customHeight="1">
      <c r="A43" s="181"/>
      <c r="B43" s="182"/>
      <c r="C43" s="306"/>
    </row>
    <row r="44" spans="1:3" ht="13.5" thickBot="1">
      <c r="A44" s="183"/>
      <c r="B44" s="184"/>
      <c r="C44" s="307"/>
    </row>
    <row r="45" spans="1:3" s="395" customFormat="1" ht="16.5" customHeight="1" thickBot="1">
      <c r="A45" s="185"/>
      <c r="B45" s="186" t="s">
        <v>56</v>
      </c>
      <c r="C45" s="308"/>
    </row>
    <row r="46" spans="1:3" s="397" customFormat="1" ht="12" customHeight="1" thickBot="1">
      <c r="A46" s="163" t="s">
        <v>18</v>
      </c>
      <c r="B46" s="91" t="s">
        <v>405</v>
      </c>
      <c r="C46" s="261">
        <f>SUM(C47:C51)</f>
        <v>69299809</v>
      </c>
    </row>
    <row r="47" spans="1:3" ht="12" customHeight="1">
      <c r="A47" s="389" t="s">
        <v>97</v>
      </c>
      <c r="B47" s="9" t="s">
        <v>48</v>
      </c>
      <c r="C47" s="52">
        <v>54317691</v>
      </c>
    </row>
    <row r="48" spans="1:3" ht="12" customHeight="1">
      <c r="A48" s="389" t="s">
        <v>98</v>
      </c>
      <c r="B48" s="8" t="s">
        <v>176</v>
      </c>
      <c r="C48" s="55">
        <v>9750456</v>
      </c>
    </row>
    <row r="49" spans="1:3" ht="12" customHeight="1">
      <c r="A49" s="389" t="s">
        <v>99</v>
      </c>
      <c r="B49" s="8" t="s">
        <v>133</v>
      </c>
      <c r="C49" s="55">
        <v>5231662</v>
      </c>
    </row>
    <row r="50" spans="1:3" ht="12" customHeight="1">
      <c r="A50" s="389" t="s">
        <v>100</v>
      </c>
      <c r="B50" s="8" t="s">
        <v>177</v>
      </c>
      <c r="C50" s="55"/>
    </row>
    <row r="51" spans="1:3" ht="12" customHeight="1" thickBot="1">
      <c r="A51" s="389" t="s">
        <v>141</v>
      </c>
      <c r="B51" s="8" t="s">
        <v>178</v>
      </c>
      <c r="C51" s="55"/>
    </row>
    <row r="52" spans="1:3" ht="12" customHeight="1" thickBot="1">
      <c r="A52" s="163" t="s">
        <v>19</v>
      </c>
      <c r="B52" s="91" t="s">
        <v>406</v>
      </c>
      <c r="C52" s="261">
        <f>SUM(C53:C55)</f>
        <v>1818898</v>
      </c>
    </row>
    <row r="53" spans="1:3" s="397" customFormat="1" ht="12" customHeight="1">
      <c r="A53" s="389" t="s">
        <v>103</v>
      </c>
      <c r="B53" s="9" t="s">
        <v>222</v>
      </c>
      <c r="C53" s="52">
        <v>1818898</v>
      </c>
    </row>
    <row r="54" spans="1:3" ht="12" customHeight="1">
      <c r="A54" s="389" t="s">
        <v>104</v>
      </c>
      <c r="B54" s="8" t="s">
        <v>180</v>
      </c>
      <c r="C54" s="55"/>
    </row>
    <row r="55" spans="1:3" ht="12" customHeight="1">
      <c r="A55" s="389" t="s">
        <v>105</v>
      </c>
      <c r="B55" s="8" t="s">
        <v>57</v>
      </c>
      <c r="C55" s="55"/>
    </row>
    <row r="56" spans="1:3" ht="12" customHeight="1" thickBot="1">
      <c r="A56" s="389" t="s">
        <v>106</v>
      </c>
      <c r="B56" s="8" t="s">
        <v>513</v>
      </c>
      <c r="C56" s="55"/>
    </row>
    <row r="57" spans="1:3" ht="15" customHeight="1" thickBot="1">
      <c r="A57" s="163" t="s">
        <v>20</v>
      </c>
      <c r="B57" s="91" t="s">
        <v>13</v>
      </c>
      <c r="C57" s="287"/>
    </row>
    <row r="58" spans="1:3" ht="13.5" thickBot="1">
      <c r="A58" s="163" t="s">
        <v>21</v>
      </c>
      <c r="B58" s="187" t="s">
        <v>518</v>
      </c>
      <c r="C58" s="309">
        <f>+C46+C52+C57</f>
        <v>71118707</v>
      </c>
    </row>
    <row r="59" ht="15" customHeight="1">
      <c r="C59" s="555">
        <f>C42-C58</f>
        <v>0</v>
      </c>
    </row>
    <row r="61" ht="12.75">
      <c r="C61" s="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D60"/>
  <sheetViews>
    <sheetView zoomScale="120" zoomScaleNormal="120" workbookViewId="0" topLeftCell="B27">
      <selection activeCell="B1" sqref="B1:D61"/>
    </sheetView>
  </sheetViews>
  <sheetFormatPr defaultColWidth="9.00390625" defaultRowHeight="12.75"/>
  <cols>
    <col min="1" max="1" width="13.875" style="188" customWidth="1"/>
    <col min="2" max="2" width="13.875" style="726" customWidth="1"/>
    <col min="3" max="3" width="79.125" style="189" customWidth="1"/>
    <col min="4" max="4" width="25.00390625" style="189" customWidth="1"/>
    <col min="5" max="16384" width="9.375" style="189" customWidth="1"/>
  </cols>
  <sheetData>
    <row r="1" spans="1:4" s="169" customFormat="1" ht="21" customHeight="1" thickBot="1">
      <c r="A1" s="168"/>
      <c r="B1" s="711"/>
      <c r="C1" s="170"/>
      <c r="D1" s="523" t="s">
        <v>772</v>
      </c>
    </row>
    <row r="2" spans="1:4" s="393" customFormat="1" ht="36">
      <c r="A2" s="346" t="s">
        <v>196</v>
      </c>
      <c r="B2" s="712" t="s">
        <v>196</v>
      </c>
      <c r="C2" s="568" t="str">
        <f>CONCATENATE(ALAPADATOK!B13)</f>
        <v>Karácsond Általános Művelődési Központ</v>
      </c>
      <c r="D2" s="310" t="s">
        <v>59</v>
      </c>
    </row>
    <row r="3" spans="1:4" s="393" customFormat="1" ht="24.75" thickBot="1">
      <c r="A3" s="387" t="s">
        <v>195</v>
      </c>
      <c r="B3" s="713" t="s">
        <v>195</v>
      </c>
      <c r="C3" s="522" t="s">
        <v>388</v>
      </c>
      <c r="D3" s="311" t="s">
        <v>53</v>
      </c>
    </row>
    <row r="4" spans="1:4" s="394" customFormat="1" ht="15.75" customHeight="1" thickBot="1">
      <c r="A4" s="171"/>
      <c r="B4" s="714"/>
      <c r="C4" s="171"/>
      <c r="D4" s="172" t="s">
        <v>659</v>
      </c>
    </row>
    <row r="5" spans="1:4" ht="13.5" thickBot="1">
      <c r="A5" s="347" t="s">
        <v>197</v>
      </c>
      <c r="B5" s="715" t="s">
        <v>197</v>
      </c>
      <c r="C5" s="173" t="s">
        <v>550</v>
      </c>
      <c r="D5" s="174" t="s">
        <v>54</v>
      </c>
    </row>
    <row r="6" spans="1:4" s="395" customFormat="1" ht="12.75" customHeight="1" thickBot="1">
      <c r="A6" s="155"/>
      <c r="B6" s="716"/>
      <c r="C6" s="156" t="s">
        <v>482</v>
      </c>
      <c r="D6" s="157" t="s">
        <v>483</v>
      </c>
    </row>
    <row r="7" spans="1:4" s="395" customFormat="1" ht="15.75" customHeight="1" thickBot="1">
      <c r="A7" s="175"/>
      <c r="B7" s="717"/>
      <c r="C7" s="176" t="s">
        <v>55</v>
      </c>
      <c r="D7" s="177"/>
    </row>
    <row r="8" spans="1:4" s="312" customFormat="1" ht="12" customHeight="1" thickBot="1">
      <c r="A8" s="155" t="s">
        <v>18</v>
      </c>
      <c r="B8" s="716" t="s">
        <v>18</v>
      </c>
      <c r="C8" s="178" t="s">
        <v>509</v>
      </c>
      <c r="D8" s="261">
        <f>SUM(D9:D19)</f>
        <v>1235000</v>
      </c>
    </row>
    <row r="9" spans="1:4" s="312" customFormat="1" ht="12" customHeight="1">
      <c r="A9" s="388" t="s">
        <v>97</v>
      </c>
      <c r="B9" s="718" t="s">
        <v>97</v>
      </c>
      <c r="C9" s="10" t="s">
        <v>267</v>
      </c>
      <c r="D9" s="302"/>
    </row>
    <row r="10" spans="1:4" s="312" customFormat="1" ht="12" customHeight="1">
      <c r="A10" s="389" t="s">
        <v>98</v>
      </c>
      <c r="B10" s="719" t="s">
        <v>98</v>
      </c>
      <c r="C10" s="8" t="s">
        <v>268</v>
      </c>
      <c r="D10" s="259"/>
    </row>
    <row r="11" spans="1:4" s="312" customFormat="1" ht="12" customHeight="1">
      <c r="A11" s="389" t="s">
        <v>99</v>
      </c>
      <c r="B11" s="719" t="s">
        <v>99</v>
      </c>
      <c r="C11" s="8" t="s">
        <v>269</v>
      </c>
      <c r="D11" s="259"/>
    </row>
    <row r="12" spans="1:4" s="312" customFormat="1" ht="12" customHeight="1">
      <c r="A12" s="389" t="s">
        <v>100</v>
      </c>
      <c r="B12" s="719" t="s">
        <v>100</v>
      </c>
      <c r="C12" s="8" t="s">
        <v>270</v>
      </c>
      <c r="D12" s="259">
        <v>800000</v>
      </c>
    </row>
    <row r="13" spans="1:4" s="312" customFormat="1" ht="12" customHeight="1">
      <c r="A13" s="389" t="s">
        <v>141</v>
      </c>
      <c r="B13" s="719" t="s">
        <v>141</v>
      </c>
      <c r="C13" s="8" t="s">
        <v>271</v>
      </c>
      <c r="D13" s="259">
        <v>335000</v>
      </c>
    </row>
    <row r="14" spans="1:4" s="312" customFormat="1" ht="12" customHeight="1">
      <c r="A14" s="389" t="s">
        <v>101</v>
      </c>
      <c r="B14" s="719" t="s">
        <v>101</v>
      </c>
      <c r="C14" s="8" t="s">
        <v>389</v>
      </c>
      <c r="D14" s="259">
        <v>100000</v>
      </c>
    </row>
    <row r="15" spans="1:4" s="312" customFormat="1" ht="12" customHeight="1">
      <c r="A15" s="389" t="s">
        <v>102</v>
      </c>
      <c r="B15" s="719" t="s">
        <v>102</v>
      </c>
      <c r="C15" s="7" t="s">
        <v>390</v>
      </c>
      <c r="D15" s="259"/>
    </row>
    <row r="16" spans="1:4" s="312" customFormat="1" ht="12" customHeight="1">
      <c r="A16" s="389" t="s">
        <v>112</v>
      </c>
      <c r="B16" s="719" t="s">
        <v>112</v>
      </c>
      <c r="C16" s="8" t="s">
        <v>274</v>
      </c>
      <c r="D16" s="303"/>
    </row>
    <row r="17" spans="1:4" s="396" customFormat="1" ht="12" customHeight="1">
      <c r="A17" s="389" t="s">
        <v>113</v>
      </c>
      <c r="B17" s="719" t="s">
        <v>113</v>
      </c>
      <c r="C17" s="8" t="s">
        <v>275</v>
      </c>
      <c r="D17" s="259"/>
    </row>
    <row r="18" spans="1:4" s="396" customFormat="1" ht="12" customHeight="1">
      <c r="A18" s="389" t="s">
        <v>114</v>
      </c>
      <c r="B18" s="719" t="s">
        <v>114</v>
      </c>
      <c r="C18" s="8" t="s">
        <v>425</v>
      </c>
      <c r="D18" s="260"/>
    </row>
    <row r="19" spans="1:4" s="396" customFormat="1" ht="12" customHeight="1" thickBot="1">
      <c r="A19" s="389" t="s">
        <v>115</v>
      </c>
      <c r="B19" s="719" t="s">
        <v>115</v>
      </c>
      <c r="C19" s="7" t="s">
        <v>276</v>
      </c>
      <c r="D19" s="260"/>
    </row>
    <row r="20" spans="1:4" s="312" customFormat="1" ht="12" customHeight="1" thickBot="1">
      <c r="A20" s="155" t="s">
        <v>19</v>
      </c>
      <c r="B20" s="716" t="s">
        <v>19</v>
      </c>
      <c r="C20" s="178" t="s">
        <v>391</v>
      </c>
      <c r="D20" s="261">
        <f>SUM(D21:D23)</f>
        <v>0</v>
      </c>
    </row>
    <row r="21" spans="1:4" s="396" customFormat="1" ht="12" customHeight="1">
      <c r="A21" s="389" t="s">
        <v>103</v>
      </c>
      <c r="B21" s="719" t="s">
        <v>103</v>
      </c>
      <c r="C21" s="9" t="s">
        <v>250</v>
      </c>
      <c r="D21" s="259"/>
    </row>
    <row r="22" spans="1:4" s="396" customFormat="1" ht="12" customHeight="1">
      <c r="A22" s="389" t="s">
        <v>104</v>
      </c>
      <c r="B22" s="719" t="s">
        <v>104</v>
      </c>
      <c r="C22" s="8" t="s">
        <v>392</v>
      </c>
      <c r="D22" s="259"/>
    </row>
    <row r="23" spans="1:4" s="396" customFormat="1" ht="12" customHeight="1">
      <c r="A23" s="389" t="s">
        <v>105</v>
      </c>
      <c r="B23" s="719" t="s">
        <v>105</v>
      </c>
      <c r="C23" s="8" t="s">
        <v>393</v>
      </c>
      <c r="D23" s="259"/>
    </row>
    <row r="24" spans="1:4" s="396" customFormat="1" ht="12" customHeight="1" thickBot="1">
      <c r="A24" s="389" t="s">
        <v>106</v>
      </c>
      <c r="B24" s="719" t="s">
        <v>106</v>
      </c>
      <c r="C24" s="8" t="s">
        <v>514</v>
      </c>
      <c r="D24" s="259"/>
    </row>
    <row r="25" spans="1:4" s="396" customFormat="1" ht="12" customHeight="1" thickBot="1">
      <c r="A25" s="163" t="s">
        <v>20</v>
      </c>
      <c r="B25" s="720" t="s">
        <v>20</v>
      </c>
      <c r="C25" s="91" t="s">
        <v>167</v>
      </c>
      <c r="D25" s="287"/>
    </row>
    <row r="26" spans="1:4" s="396" customFormat="1" ht="12" customHeight="1" thickBot="1">
      <c r="A26" s="163" t="s">
        <v>21</v>
      </c>
      <c r="B26" s="720" t="s">
        <v>21</v>
      </c>
      <c r="C26" s="91" t="s">
        <v>394</v>
      </c>
      <c r="D26" s="261">
        <f>+D27+D28</f>
        <v>0</v>
      </c>
    </row>
    <row r="27" spans="1:4" s="396" customFormat="1" ht="12" customHeight="1">
      <c r="A27" s="390" t="s">
        <v>260</v>
      </c>
      <c r="B27" s="721" t="s">
        <v>260</v>
      </c>
      <c r="C27" s="391" t="s">
        <v>392</v>
      </c>
      <c r="D27" s="52"/>
    </row>
    <row r="28" spans="1:4" s="396" customFormat="1" ht="12" customHeight="1">
      <c r="A28" s="390" t="s">
        <v>261</v>
      </c>
      <c r="B28" s="721" t="s">
        <v>261</v>
      </c>
      <c r="C28" s="392" t="s">
        <v>395</v>
      </c>
      <c r="D28" s="262"/>
    </row>
    <row r="29" spans="1:4" s="396" customFormat="1" ht="12" customHeight="1" thickBot="1">
      <c r="A29" s="389" t="s">
        <v>262</v>
      </c>
      <c r="B29" s="719" t="s">
        <v>262</v>
      </c>
      <c r="C29" s="108" t="s">
        <v>515</v>
      </c>
      <c r="D29" s="59"/>
    </row>
    <row r="30" spans="1:4" s="396" customFormat="1" ht="12" customHeight="1" thickBot="1">
      <c r="A30" s="163" t="s">
        <v>22</v>
      </c>
      <c r="B30" s="720" t="s">
        <v>22</v>
      </c>
      <c r="C30" s="91" t="s">
        <v>396</v>
      </c>
      <c r="D30" s="261">
        <f>+D31+D32+D33</f>
        <v>0</v>
      </c>
    </row>
    <row r="31" spans="1:4" s="396" customFormat="1" ht="12" customHeight="1">
      <c r="A31" s="390" t="s">
        <v>90</v>
      </c>
      <c r="B31" s="721" t="s">
        <v>90</v>
      </c>
      <c r="C31" s="391" t="s">
        <v>281</v>
      </c>
      <c r="D31" s="52"/>
    </row>
    <row r="32" spans="1:4" s="396" customFormat="1" ht="12" customHeight="1">
      <c r="A32" s="390" t="s">
        <v>91</v>
      </c>
      <c r="B32" s="721" t="s">
        <v>91</v>
      </c>
      <c r="C32" s="392" t="s">
        <v>282</v>
      </c>
      <c r="D32" s="262"/>
    </row>
    <row r="33" spans="1:4" s="396" customFormat="1" ht="12" customHeight="1" thickBot="1">
      <c r="A33" s="389" t="s">
        <v>92</v>
      </c>
      <c r="B33" s="719" t="s">
        <v>92</v>
      </c>
      <c r="C33" s="108" t="s">
        <v>283</v>
      </c>
      <c r="D33" s="59"/>
    </row>
    <row r="34" spans="1:4" s="312" customFormat="1" ht="12" customHeight="1" thickBot="1">
      <c r="A34" s="163" t="s">
        <v>23</v>
      </c>
      <c r="B34" s="720" t="s">
        <v>23</v>
      </c>
      <c r="C34" s="91" t="s">
        <v>366</v>
      </c>
      <c r="D34" s="287"/>
    </row>
    <row r="35" spans="1:4" s="312" customFormat="1" ht="12" customHeight="1" thickBot="1">
      <c r="A35" s="163" t="s">
        <v>24</v>
      </c>
      <c r="B35" s="720" t="s">
        <v>24</v>
      </c>
      <c r="C35" s="91" t="s">
        <v>397</v>
      </c>
      <c r="D35" s="304"/>
    </row>
    <row r="36" spans="1:4" s="312" customFormat="1" ht="12" customHeight="1" thickBot="1">
      <c r="A36" s="155" t="s">
        <v>25</v>
      </c>
      <c r="B36" s="716" t="s">
        <v>25</v>
      </c>
      <c r="C36" s="91" t="s">
        <v>516</v>
      </c>
      <c r="D36" s="305">
        <f>+D8+D20+D25+D26+D30+D34+D35</f>
        <v>1235000</v>
      </c>
    </row>
    <row r="37" spans="1:4" s="312" customFormat="1" ht="12" customHeight="1" thickBot="1">
      <c r="A37" s="179" t="s">
        <v>26</v>
      </c>
      <c r="B37" s="722" t="s">
        <v>26</v>
      </c>
      <c r="C37" s="91" t="s">
        <v>399</v>
      </c>
      <c r="D37" s="305">
        <f>+D38+D39+D40</f>
        <v>94580402</v>
      </c>
    </row>
    <row r="38" spans="1:4" s="312" customFormat="1" ht="12" customHeight="1">
      <c r="A38" s="390" t="s">
        <v>400</v>
      </c>
      <c r="B38" s="721" t="s">
        <v>400</v>
      </c>
      <c r="C38" s="391" t="s">
        <v>228</v>
      </c>
      <c r="D38" s="52">
        <v>754499</v>
      </c>
    </row>
    <row r="39" spans="1:4" s="312" customFormat="1" ht="12" customHeight="1">
      <c r="A39" s="390" t="s">
        <v>401</v>
      </c>
      <c r="B39" s="721" t="s">
        <v>401</v>
      </c>
      <c r="C39" s="392" t="s">
        <v>2</v>
      </c>
      <c r="D39" s="262"/>
    </row>
    <row r="40" spans="1:4" s="396" customFormat="1" ht="12" customHeight="1" thickBot="1">
      <c r="A40" s="389" t="s">
        <v>402</v>
      </c>
      <c r="B40" s="719" t="s">
        <v>402</v>
      </c>
      <c r="C40" s="108" t="s">
        <v>403</v>
      </c>
      <c r="D40" s="59">
        <v>93825903</v>
      </c>
    </row>
    <row r="41" spans="1:4" s="396" customFormat="1" ht="15" customHeight="1" thickBot="1">
      <c r="A41" s="179" t="s">
        <v>27</v>
      </c>
      <c r="B41" s="722" t="s">
        <v>27</v>
      </c>
      <c r="C41" s="180" t="s">
        <v>404</v>
      </c>
      <c r="D41" s="308">
        <f>+D36+D37</f>
        <v>95815402</v>
      </c>
    </row>
    <row r="42" spans="1:4" s="396" customFormat="1" ht="15" customHeight="1">
      <c r="A42" s="181"/>
      <c r="B42" s="723"/>
      <c r="C42" s="182"/>
      <c r="D42" s="306"/>
    </row>
    <row r="43" spans="1:4" ht="13.5" thickBot="1">
      <c r="A43" s="183"/>
      <c r="B43" s="724"/>
      <c r="C43" s="184"/>
      <c r="D43" s="307"/>
    </row>
    <row r="44" spans="1:4" s="395" customFormat="1" ht="16.5" customHeight="1" thickBot="1">
      <c r="A44" s="185"/>
      <c r="B44" s="725"/>
      <c r="C44" s="186" t="s">
        <v>56</v>
      </c>
      <c r="D44" s="308"/>
    </row>
    <row r="45" spans="1:4" s="397" customFormat="1" ht="12" customHeight="1" thickBot="1">
      <c r="A45" s="163" t="s">
        <v>18</v>
      </c>
      <c r="B45" s="720" t="s">
        <v>18</v>
      </c>
      <c r="C45" s="91" t="s">
        <v>405</v>
      </c>
      <c r="D45" s="261">
        <f>SUM(D46:D50)</f>
        <v>95561402</v>
      </c>
    </row>
    <row r="46" spans="1:4" ht="12" customHeight="1">
      <c r="A46" s="389" t="s">
        <v>97</v>
      </c>
      <c r="B46" s="719" t="s">
        <v>97</v>
      </c>
      <c r="C46" s="9" t="s">
        <v>48</v>
      </c>
      <c r="D46" s="52">
        <v>59807542</v>
      </c>
    </row>
    <row r="47" spans="1:4" ht="12" customHeight="1">
      <c r="A47" s="389" t="s">
        <v>98</v>
      </c>
      <c r="B47" s="719" t="s">
        <v>98</v>
      </c>
      <c r="C47" s="8" t="s">
        <v>176</v>
      </c>
      <c r="D47" s="55">
        <v>11116960</v>
      </c>
    </row>
    <row r="48" spans="1:4" ht="12" customHeight="1">
      <c r="A48" s="389" t="s">
        <v>99</v>
      </c>
      <c r="B48" s="719" t="s">
        <v>99</v>
      </c>
      <c r="C48" s="8" t="s">
        <v>133</v>
      </c>
      <c r="D48" s="55">
        <v>24636900</v>
      </c>
    </row>
    <row r="49" spans="1:4" ht="12" customHeight="1">
      <c r="A49" s="389" t="s">
        <v>100</v>
      </c>
      <c r="B49" s="719" t="s">
        <v>100</v>
      </c>
      <c r="C49" s="8" t="s">
        <v>177</v>
      </c>
      <c r="D49" s="55"/>
    </row>
    <row r="50" spans="1:4" ht="12" customHeight="1" thickBot="1">
      <c r="A50" s="389" t="s">
        <v>141</v>
      </c>
      <c r="B50" s="719" t="s">
        <v>141</v>
      </c>
      <c r="C50" s="8" t="s">
        <v>178</v>
      </c>
      <c r="D50" s="55"/>
    </row>
    <row r="51" spans="1:4" ht="12" customHeight="1" thickBot="1">
      <c r="A51" s="163" t="s">
        <v>19</v>
      </c>
      <c r="B51" s="720" t="s">
        <v>19</v>
      </c>
      <c r="C51" s="91" t="s">
        <v>406</v>
      </c>
      <c r="D51" s="261">
        <f>SUM(D52:D54)</f>
        <v>254000</v>
      </c>
    </row>
    <row r="52" spans="1:4" s="397" customFormat="1" ht="12" customHeight="1">
      <c r="A52" s="389" t="s">
        <v>103</v>
      </c>
      <c r="B52" s="719" t="s">
        <v>103</v>
      </c>
      <c r="C52" s="9" t="s">
        <v>222</v>
      </c>
      <c r="D52" s="52">
        <v>254000</v>
      </c>
    </row>
    <row r="53" spans="1:4" ht="12" customHeight="1">
      <c r="A53" s="389" t="s">
        <v>104</v>
      </c>
      <c r="B53" s="719" t="s">
        <v>104</v>
      </c>
      <c r="C53" s="8" t="s">
        <v>180</v>
      </c>
      <c r="D53" s="55"/>
    </row>
    <row r="54" spans="1:4" ht="12" customHeight="1">
      <c r="A54" s="389" t="s">
        <v>105</v>
      </c>
      <c r="B54" s="719" t="s">
        <v>105</v>
      </c>
      <c r="C54" s="8" t="s">
        <v>57</v>
      </c>
      <c r="D54" s="55"/>
    </row>
    <row r="55" spans="1:4" ht="12" customHeight="1" thickBot="1">
      <c r="A55" s="389" t="s">
        <v>106</v>
      </c>
      <c r="B55" s="719" t="s">
        <v>106</v>
      </c>
      <c r="C55" s="8" t="s">
        <v>513</v>
      </c>
      <c r="D55" s="55"/>
    </row>
    <row r="56" spans="1:4" ht="15" customHeight="1" thickBot="1">
      <c r="A56" s="163" t="s">
        <v>20</v>
      </c>
      <c r="B56" s="720" t="s">
        <v>20</v>
      </c>
      <c r="C56" s="91" t="s">
        <v>13</v>
      </c>
      <c r="D56" s="287"/>
    </row>
    <row r="57" spans="1:4" ht="13.5" thickBot="1">
      <c r="A57" s="163" t="s">
        <v>21</v>
      </c>
      <c r="B57" s="720" t="s">
        <v>21</v>
      </c>
      <c r="C57" s="187" t="s">
        <v>518</v>
      </c>
      <c r="D57" s="309">
        <f>+D45+D51+D56</f>
        <v>95815402</v>
      </c>
    </row>
    <row r="58" ht="15" customHeight="1" thickBot="1">
      <c r="D58" s="555">
        <f>D41-D57</f>
        <v>0</v>
      </c>
    </row>
    <row r="59" spans="1:4" ht="14.25" customHeight="1" thickBot="1">
      <c r="A59" s="190" t="s">
        <v>508</v>
      </c>
      <c r="B59" s="727" t="s">
        <v>508</v>
      </c>
      <c r="C59" s="191"/>
      <c r="D59" s="88">
        <v>18</v>
      </c>
    </row>
    <row r="60" spans="1:4" ht="13.5" thickBot="1">
      <c r="A60" s="190" t="s">
        <v>198</v>
      </c>
      <c r="B60" s="727" t="s">
        <v>198</v>
      </c>
      <c r="C60" s="191"/>
      <c r="D60" s="8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D58"/>
  <sheetViews>
    <sheetView zoomScale="120" zoomScaleNormal="120" workbookViewId="0" topLeftCell="B1">
      <selection activeCell="B1" sqref="B1:D58"/>
    </sheetView>
  </sheetViews>
  <sheetFormatPr defaultColWidth="9.00390625" defaultRowHeight="12.75"/>
  <cols>
    <col min="1" max="1" width="13.875" style="188" customWidth="1"/>
    <col min="2" max="2" width="13.875" style="726" customWidth="1"/>
    <col min="3" max="3" width="79.125" style="189" customWidth="1"/>
    <col min="4" max="4" width="25.00390625" style="189" customWidth="1"/>
    <col min="5" max="16384" width="9.375" style="189" customWidth="1"/>
  </cols>
  <sheetData>
    <row r="1" spans="1:4" s="169" customFormat="1" ht="21" customHeight="1" thickBot="1">
      <c r="A1" s="168"/>
      <c r="B1" s="711"/>
      <c r="C1" s="170"/>
      <c r="D1" s="523" t="s">
        <v>773</v>
      </c>
    </row>
    <row r="2" spans="1:4" s="393" customFormat="1" ht="36">
      <c r="A2" s="346" t="s">
        <v>196</v>
      </c>
      <c r="B2" s="712" t="s">
        <v>196</v>
      </c>
      <c r="C2" s="521" t="str">
        <f>CONCATENATE(ÁMK!C2)</f>
        <v>Karácsond Általános Művelődési Központ</v>
      </c>
      <c r="D2" s="310" t="s">
        <v>59</v>
      </c>
    </row>
    <row r="3" spans="1:4" s="393" customFormat="1" ht="24.75" thickBot="1">
      <c r="A3" s="387" t="s">
        <v>195</v>
      </c>
      <c r="B3" s="713" t="s">
        <v>195</v>
      </c>
      <c r="C3" s="522" t="s">
        <v>407</v>
      </c>
      <c r="D3" s="311" t="s">
        <v>58</v>
      </c>
    </row>
    <row r="4" spans="1:4" s="394" customFormat="1" ht="15.75" customHeight="1" thickBot="1">
      <c r="A4" s="171"/>
      <c r="B4" s="714"/>
      <c r="C4" s="171"/>
      <c r="D4" s="172" t="str">
        <f>ÁMK!D4</f>
        <v>Forintban</v>
      </c>
    </row>
    <row r="5" spans="1:4" ht="13.5" thickBot="1">
      <c r="A5" s="347" t="s">
        <v>197</v>
      </c>
      <c r="B5" s="715" t="s">
        <v>197</v>
      </c>
      <c r="C5" s="173" t="s">
        <v>550</v>
      </c>
      <c r="D5" s="174" t="s">
        <v>54</v>
      </c>
    </row>
    <row r="6" spans="1:4" s="395" customFormat="1" ht="12.75" customHeight="1" thickBot="1">
      <c r="A6" s="155"/>
      <c r="B6" s="716"/>
      <c r="C6" s="156" t="s">
        <v>482</v>
      </c>
      <c r="D6" s="157" t="s">
        <v>483</v>
      </c>
    </row>
    <row r="7" spans="1:4" s="395" customFormat="1" ht="15.75" customHeight="1" thickBot="1">
      <c r="A7" s="175"/>
      <c r="B7" s="717"/>
      <c r="C7" s="176" t="s">
        <v>55</v>
      </c>
      <c r="D7" s="177"/>
    </row>
    <row r="8" spans="1:4" s="312" customFormat="1" ht="12" customHeight="1" thickBot="1">
      <c r="A8" s="155" t="s">
        <v>18</v>
      </c>
      <c r="B8" s="716" t="s">
        <v>18</v>
      </c>
      <c r="C8" s="178" t="s">
        <v>509</v>
      </c>
      <c r="D8" s="261">
        <f>SUM(D9:D19)</f>
        <v>1235000</v>
      </c>
    </row>
    <row r="9" spans="1:4" s="312" customFormat="1" ht="12" customHeight="1">
      <c r="A9" s="388" t="s">
        <v>97</v>
      </c>
      <c r="B9" s="718" t="s">
        <v>97</v>
      </c>
      <c r="C9" s="10" t="s">
        <v>267</v>
      </c>
      <c r="D9" s="302"/>
    </row>
    <row r="10" spans="1:4" s="312" customFormat="1" ht="12" customHeight="1">
      <c r="A10" s="389" t="s">
        <v>98</v>
      </c>
      <c r="B10" s="719" t="s">
        <v>98</v>
      </c>
      <c r="C10" s="8" t="s">
        <v>268</v>
      </c>
      <c r="D10" s="259"/>
    </row>
    <row r="11" spans="1:4" s="312" customFormat="1" ht="12" customHeight="1">
      <c r="A11" s="389" t="s">
        <v>99</v>
      </c>
      <c r="B11" s="719" t="s">
        <v>99</v>
      </c>
      <c r="C11" s="8" t="s">
        <v>269</v>
      </c>
      <c r="D11" s="259"/>
    </row>
    <row r="12" spans="1:4" s="312" customFormat="1" ht="12" customHeight="1">
      <c r="A12" s="389" t="s">
        <v>100</v>
      </c>
      <c r="B12" s="719" t="s">
        <v>100</v>
      </c>
      <c r="C12" s="8" t="s">
        <v>270</v>
      </c>
      <c r="D12" s="259">
        <v>800000</v>
      </c>
    </row>
    <row r="13" spans="1:4" s="312" customFormat="1" ht="12" customHeight="1">
      <c r="A13" s="389" t="s">
        <v>141</v>
      </c>
      <c r="B13" s="719" t="s">
        <v>141</v>
      </c>
      <c r="C13" s="8" t="s">
        <v>271</v>
      </c>
      <c r="D13" s="259">
        <v>335000</v>
      </c>
    </row>
    <row r="14" spans="1:4" s="312" customFormat="1" ht="12" customHeight="1">
      <c r="A14" s="389" t="s">
        <v>101</v>
      </c>
      <c r="B14" s="719" t="s">
        <v>101</v>
      </c>
      <c r="C14" s="8" t="s">
        <v>389</v>
      </c>
      <c r="D14" s="259">
        <v>100000</v>
      </c>
    </row>
    <row r="15" spans="1:4" s="312" customFormat="1" ht="12" customHeight="1">
      <c r="A15" s="389" t="s">
        <v>102</v>
      </c>
      <c r="B15" s="719" t="s">
        <v>102</v>
      </c>
      <c r="C15" s="7" t="s">
        <v>390</v>
      </c>
      <c r="D15" s="259"/>
    </row>
    <row r="16" spans="1:4" s="312" customFormat="1" ht="12" customHeight="1">
      <c r="A16" s="389" t="s">
        <v>112</v>
      </c>
      <c r="B16" s="719" t="s">
        <v>112</v>
      </c>
      <c r="C16" s="8" t="s">
        <v>274</v>
      </c>
      <c r="D16" s="303"/>
    </row>
    <row r="17" spans="1:4" s="396" customFormat="1" ht="12" customHeight="1">
      <c r="A17" s="389" t="s">
        <v>113</v>
      </c>
      <c r="B17" s="719" t="s">
        <v>113</v>
      </c>
      <c r="C17" s="8" t="s">
        <v>275</v>
      </c>
      <c r="D17" s="259"/>
    </row>
    <row r="18" spans="1:4" s="396" customFormat="1" ht="12" customHeight="1">
      <c r="A18" s="389" t="s">
        <v>114</v>
      </c>
      <c r="B18" s="719" t="s">
        <v>114</v>
      </c>
      <c r="C18" s="8" t="s">
        <v>425</v>
      </c>
      <c r="D18" s="260"/>
    </row>
    <row r="19" spans="1:4" s="396" customFormat="1" ht="12" customHeight="1" thickBot="1">
      <c r="A19" s="389" t="s">
        <v>115</v>
      </c>
      <c r="B19" s="719" t="s">
        <v>115</v>
      </c>
      <c r="C19" s="7" t="s">
        <v>276</v>
      </c>
      <c r="D19" s="260"/>
    </row>
    <row r="20" spans="1:4" s="312" customFormat="1" ht="12" customHeight="1" thickBot="1">
      <c r="A20" s="155" t="s">
        <v>19</v>
      </c>
      <c r="B20" s="716" t="s">
        <v>19</v>
      </c>
      <c r="C20" s="178" t="s">
        <v>391</v>
      </c>
      <c r="D20" s="261">
        <f>SUM(D21:D23)</f>
        <v>0</v>
      </c>
    </row>
    <row r="21" spans="1:4" s="396" customFormat="1" ht="12" customHeight="1">
      <c r="A21" s="389" t="s">
        <v>103</v>
      </c>
      <c r="B21" s="719" t="s">
        <v>103</v>
      </c>
      <c r="C21" s="9" t="s">
        <v>250</v>
      </c>
      <c r="D21" s="259"/>
    </row>
    <row r="22" spans="1:4" s="396" customFormat="1" ht="12" customHeight="1">
      <c r="A22" s="389" t="s">
        <v>104</v>
      </c>
      <c r="B22" s="719" t="s">
        <v>104</v>
      </c>
      <c r="C22" s="8" t="s">
        <v>392</v>
      </c>
      <c r="D22" s="259"/>
    </row>
    <row r="23" spans="1:4" s="396" customFormat="1" ht="12" customHeight="1">
      <c r="A23" s="389" t="s">
        <v>105</v>
      </c>
      <c r="B23" s="719" t="s">
        <v>105</v>
      </c>
      <c r="C23" s="8" t="s">
        <v>393</v>
      </c>
      <c r="D23" s="259"/>
    </row>
    <row r="24" spans="1:4" s="396" customFormat="1" ht="12" customHeight="1" thickBot="1">
      <c r="A24" s="389" t="s">
        <v>106</v>
      </c>
      <c r="B24" s="719" t="s">
        <v>106</v>
      </c>
      <c r="C24" s="8" t="s">
        <v>514</v>
      </c>
      <c r="D24" s="259"/>
    </row>
    <row r="25" spans="1:4" s="396" customFormat="1" ht="12" customHeight="1" thickBot="1">
      <c r="A25" s="163" t="s">
        <v>20</v>
      </c>
      <c r="B25" s="720" t="s">
        <v>20</v>
      </c>
      <c r="C25" s="91" t="s">
        <v>167</v>
      </c>
      <c r="D25" s="287"/>
    </row>
    <row r="26" spans="1:4" s="396" customFormat="1" ht="12" customHeight="1" thickBot="1">
      <c r="A26" s="163" t="s">
        <v>21</v>
      </c>
      <c r="B26" s="720" t="s">
        <v>21</v>
      </c>
      <c r="C26" s="91" t="s">
        <v>394</v>
      </c>
      <c r="D26" s="261">
        <f>+D27+D28</f>
        <v>0</v>
      </c>
    </row>
    <row r="27" spans="1:4" s="396" customFormat="1" ht="12" customHeight="1">
      <c r="A27" s="390" t="s">
        <v>260</v>
      </c>
      <c r="B27" s="721" t="s">
        <v>260</v>
      </c>
      <c r="C27" s="391" t="s">
        <v>392</v>
      </c>
      <c r="D27" s="52"/>
    </row>
    <row r="28" spans="1:4" s="396" customFormat="1" ht="12" customHeight="1">
      <c r="A28" s="390" t="s">
        <v>261</v>
      </c>
      <c r="B28" s="721" t="s">
        <v>261</v>
      </c>
      <c r="C28" s="392" t="s">
        <v>395</v>
      </c>
      <c r="D28" s="262"/>
    </row>
    <row r="29" spans="1:4" s="396" customFormat="1" ht="12" customHeight="1" thickBot="1">
      <c r="A29" s="389" t="s">
        <v>262</v>
      </c>
      <c r="B29" s="719" t="s">
        <v>262</v>
      </c>
      <c r="C29" s="108" t="s">
        <v>515</v>
      </c>
      <c r="D29" s="59"/>
    </row>
    <row r="30" spans="1:4" s="396" customFormat="1" ht="12" customHeight="1" thickBot="1">
      <c r="A30" s="163" t="s">
        <v>22</v>
      </c>
      <c r="B30" s="720" t="s">
        <v>22</v>
      </c>
      <c r="C30" s="91" t="s">
        <v>396</v>
      </c>
      <c r="D30" s="261">
        <f>+D31+D32+D33</f>
        <v>0</v>
      </c>
    </row>
    <row r="31" spans="1:4" s="396" customFormat="1" ht="12" customHeight="1">
      <c r="A31" s="390" t="s">
        <v>90</v>
      </c>
      <c r="B31" s="721" t="s">
        <v>90</v>
      </c>
      <c r="C31" s="391" t="s">
        <v>281</v>
      </c>
      <c r="D31" s="52"/>
    </row>
    <row r="32" spans="1:4" s="396" customFormat="1" ht="12" customHeight="1">
      <c r="A32" s="390" t="s">
        <v>91</v>
      </c>
      <c r="B32" s="721" t="s">
        <v>91</v>
      </c>
      <c r="C32" s="392" t="s">
        <v>282</v>
      </c>
      <c r="D32" s="262"/>
    </row>
    <row r="33" spans="1:4" s="396" customFormat="1" ht="12" customHeight="1" thickBot="1">
      <c r="A33" s="389" t="s">
        <v>92</v>
      </c>
      <c r="B33" s="719" t="s">
        <v>92</v>
      </c>
      <c r="C33" s="108" t="s">
        <v>283</v>
      </c>
      <c r="D33" s="59"/>
    </row>
    <row r="34" spans="1:4" s="312" customFormat="1" ht="12" customHeight="1" thickBot="1">
      <c r="A34" s="163" t="s">
        <v>23</v>
      </c>
      <c r="B34" s="720" t="s">
        <v>23</v>
      </c>
      <c r="C34" s="91" t="s">
        <v>366</v>
      </c>
      <c r="D34" s="287"/>
    </row>
    <row r="35" spans="1:4" s="312" customFormat="1" ht="12" customHeight="1" thickBot="1">
      <c r="A35" s="163" t="s">
        <v>24</v>
      </c>
      <c r="B35" s="720" t="s">
        <v>24</v>
      </c>
      <c r="C35" s="91" t="s">
        <v>397</v>
      </c>
      <c r="D35" s="304"/>
    </row>
    <row r="36" spans="1:4" s="312" customFormat="1" ht="12" customHeight="1" thickBot="1">
      <c r="A36" s="155" t="s">
        <v>25</v>
      </c>
      <c r="B36" s="716" t="s">
        <v>25</v>
      </c>
      <c r="C36" s="91" t="s">
        <v>516</v>
      </c>
      <c r="D36" s="305">
        <f>+D8+D20+D25+D26+D30+D34+D35</f>
        <v>1235000</v>
      </c>
    </row>
    <row r="37" spans="1:4" s="312" customFormat="1" ht="12" customHeight="1" thickBot="1">
      <c r="A37" s="179" t="s">
        <v>26</v>
      </c>
      <c r="B37" s="722" t="s">
        <v>26</v>
      </c>
      <c r="C37" s="91" t="s">
        <v>399</v>
      </c>
      <c r="D37" s="305">
        <f>+D38+D39+D40</f>
        <v>94580402</v>
      </c>
    </row>
    <row r="38" spans="1:4" s="312" customFormat="1" ht="12" customHeight="1">
      <c r="A38" s="390" t="s">
        <v>400</v>
      </c>
      <c r="B38" s="721" t="s">
        <v>400</v>
      </c>
      <c r="C38" s="391" t="s">
        <v>228</v>
      </c>
      <c r="D38" s="52">
        <v>754499</v>
      </c>
    </row>
    <row r="39" spans="1:4" s="312" customFormat="1" ht="12" customHeight="1">
      <c r="A39" s="390" t="s">
        <v>401</v>
      </c>
      <c r="B39" s="721" t="s">
        <v>401</v>
      </c>
      <c r="C39" s="392" t="s">
        <v>2</v>
      </c>
      <c r="D39" s="262"/>
    </row>
    <row r="40" spans="1:4" s="396" customFormat="1" ht="12" customHeight="1" thickBot="1">
      <c r="A40" s="389" t="s">
        <v>402</v>
      </c>
      <c r="B40" s="719" t="s">
        <v>402</v>
      </c>
      <c r="C40" s="108" t="s">
        <v>403</v>
      </c>
      <c r="D40" s="59">
        <v>93825903</v>
      </c>
    </row>
    <row r="41" spans="1:4" s="396" customFormat="1" ht="15" customHeight="1" thickBot="1">
      <c r="A41" s="179" t="s">
        <v>27</v>
      </c>
      <c r="B41" s="722" t="s">
        <v>27</v>
      </c>
      <c r="C41" s="180" t="s">
        <v>404</v>
      </c>
      <c r="D41" s="308">
        <f>+D36+D37</f>
        <v>95815402</v>
      </c>
    </row>
    <row r="42" spans="1:4" s="396" customFormat="1" ht="15" customHeight="1">
      <c r="A42" s="181"/>
      <c r="B42" s="723"/>
      <c r="C42" s="182"/>
      <c r="D42" s="306"/>
    </row>
    <row r="43" spans="1:4" ht="13.5" thickBot="1">
      <c r="A43" s="183"/>
      <c r="B43" s="724"/>
      <c r="C43" s="184"/>
      <c r="D43" s="307"/>
    </row>
    <row r="44" spans="1:4" s="395" customFormat="1" ht="16.5" customHeight="1" thickBot="1">
      <c r="A44" s="185"/>
      <c r="B44" s="725"/>
      <c r="C44" s="186" t="s">
        <v>56</v>
      </c>
      <c r="D44" s="308"/>
    </row>
    <row r="45" spans="1:4" s="397" customFormat="1" ht="12" customHeight="1" thickBot="1">
      <c r="A45" s="163" t="s">
        <v>18</v>
      </c>
      <c r="B45" s="720" t="s">
        <v>18</v>
      </c>
      <c r="C45" s="91" t="s">
        <v>405</v>
      </c>
      <c r="D45" s="261">
        <f>SUM(D46:D50)</f>
        <v>95561402</v>
      </c>
    </row>
    <row r="46" spans="1:4" ht="12" customHeight="1">
      <c r="A46" s="389" t="s">
        <v>97</v>
      </c>
      <c r="B46" s="719" t="s">
        <v>97</v>
      </c>
      <c r="C46" s="9" t="s">
        <v>48</v>
      </c>
      <c r="D46" s="52">
        <v>59807542</v>
      </c>
    </row>
    <row r="47" spans="1:4" ht="12" customHeight="1">
      <c r="A47" s="389" t="s">
        <v>98</v>
      </c>
      <c r="B47" s="719" t="s">
        <v>98</v>
      </c>
      <c r="C47" s="8" t="s">
        <v>176</v>
      </c>
      <c r="D47" s="55">
        <v>11116960</v>
      </c>
    </row>
    <row r="48" spans="1:4" ht="12" customHeight="1">
      <c r="A48" s="389" t="s">
        <v>99</v>
      </c>
      <c r="B48" s="719" t="s">
        <v>99</v>
      </c>
      <c r="C48" s="8" t="s">
        <v>133</v>
      </c>
      <c r="D48" s="55">
        <v>24636900</v>
      </c>
    </row>
    <row r="49" spans="1:4" ht="12" customHeight="1">
      <c r="A49" s="389" t="s">
        <v>100</v>
      </c>
      <c r="B49" s="719" t="s">
        <v>100</v>
      </c>
      <c r="C49" s="8" t="s">
        <v>177</v>
      </c>
      <c r="D49" s="55"/>
    </row>
    <row r="50" spans="1:4" ht="12" customHeight="1" thickBot="1">
      <c r="A50" s="389" t="s">
        <v>141</v>
      </c>
      <c r="B50" s="719" t="s">
        <v>141</v>
      </c>
      <c r="C50" s="8" t="s">
        <v>178</v>
      </c>
      <c r="D50" s="55"/>
    </row>
    <row r="51" spans="1:4" ht="12" customHeight="1" thickBot="1">
      <c r="A51" s="163" t="s">
        <v>19</v>
      </c>
      <c r="B51" s="720" t="s">
        <v>19</v>
      </c>
      <c r="C51" s="91" t="s">
        <v>406</v>
      </c>
      <c r="D51" s="261">
        <f>SUM(D52:D54)</f>
        <v>254000</v>
      </c>
    </row>
    <row r="52" spans="1:4" s="397" customFormat="1" ht="12" customHeight="1">
      <c r="A52" s="389" t="s">
        <v>103</v>
      </c>
      <c r="B52" s="719" t="s">
        <v>103</v>
      </c>
      <c r="C52" s="9" t="s">
        <v>222</v>
      </c>
      <c r="D52" s="52">
        <v>254000</v>
      </c>
    </row>
    <row r="53" spans="1:4" ht="12" customHeight="1">
      <c r="A53" s="389" t="s">
        <v>104</v>
      </c>
      <c r="B53" s="719" t="s">
        <v>104</v>
      </c>
      <c r="C53" s="8" t="s">
        <v>180</v>
      </c>
      <c r="D53" s="55"/>
    </row>
    <row r="54" spans="1:4" ht="12" customHeight="1">
      <c r="A54" s="389" t="s">
        <v>105</v>
      </c>
      <c r="B54" s="719" t="s">
        <v>105</v>
      </c>
      <c r="C54" s="8" t="s">
        <v>57</v>
      </c>
      <c r="D54" s="55"/>
    </row>
    <row r="55" spans="1:4" ht="12" customHeight="1" thickBot="1">
      <c r="A55" s="389" t="s">
        <v>106</v>
      </c>
      <c r="B55" s="719" t="s">
        <v>106</v>
      </c>
      <c r="C55" s="8" t="s">
        <v>513</v>
      </c>
      <c r="D55" s="55"/>
    </row>
    <row r="56" spans="1:4" ht="15" customHeight="1" thickBot="1">
      <c r="A56" s="163" t="s">
        <v>20</v>
      </c>
      <c r="B56" s="720" t="s">
        <v>20</v>
      </c>
      <c r="C56" s="91" t="s">
        <v>13</v>
      </c>
      <c r="D56" s="287"/>
    </row>
    <row r="57" spans="1:4" ht="13.5" thickBot="1">
      <c r="A57" s="163" t="s">
        <v>21</v>
      </c>
      <c r="B57" s="720" t="s">
        <v>21</v>
      </c>
      <c r="C57" s="187" t="s">
        <v>518</v>
      </c>
      <c r="D57" s="309">
        <f>+D45+D51+D56</f>
        <v>95815402</v>
      </c>
    </row>
    <row r="58" ht="15" customHeight="1">
      <c r="D58" s="555">
        <f>D41-D57</f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S19" sqref="S19"/>
    </sheetView>
  </sheetViews>
  <sheetFormatPr defaultColWidth="9.00390625" defaultRowHeight="12.75"/>
  <cols>
    <col min="1" max="1" width="5.50390625" style="39" customWidth="1"/>
    <col min="2" max="2" width="33.125" style="39" customWidth="1"/>
    <col min="3" max="3" width="12.375" style="39" customWidth="1"/>
    <col min="4" max="4" width="11.50390625" style="39" customWidth="1"/>
    <col min="5" max="5" width="11.375" style="39" customWidth="1"/>
    <col min="6" max="6" width="11.00390625" style="39" customWidth="1"/>
    <col min="7" max="7" width="14.375" style="39" customWidth="1"/>
    <col min="8" max="16384" width="9.375" style="39" customWidth="1"/>
  </cols>
  <sheetData>
    <row r="2" spans="2:7" ht="15">
      <c r="B2" s="803" t="str">
        <f>CONCATENATE("10. melléklet ",ALAPADATOK!A7," ",ALAPADATOK!B7," ",ALAPADATOK!C7," ",ALAPADATOK!D7," ",ALAPADATOK!E7," ",ALAPADATOK!F7," ",ALAPADATOK!G7," ",ALAPADATOK!H7)</f>
        <v>10. melléklet a  / 2020 (  ) önkormányzati rendelethez</v>
      </c>
      <c r="C2" s="803"/>
      <c r="D2" s="803"/>
      <c r="E2" s="803"/>
      <c r="F2" s="803"/>
      <c r="G2" s="803"/>
    </row>
    <row r="4" spans="1:7" ht="43.5" customHeight="1">
      <c r="A4" s="802" t="s">
        <v>3</v>
      </c>
      <c r="B4" s="802"/>
      <c r="C4" s="802"/>
      <c r="D4" s="802"/>
      <c r="E4" s="802"/>
      <c r="F4" s="802"/>
      <c r="G4" s="802"/>
    </row>
    <row r="6" spans="1:7" s="126" customFormat="1" ht="27" customHeight="1">
      <c r="A6" s="593" t="s">
        <v>202</v>
      </c>
      <c r="C6" s="801" t="s">
        <v>203</v>
      </c>
      <c r="D6" s="801"/>
      <c r="E6" s="801"/>
      <c r="F6" s="801"/>
      <c r="G6" s="801"/>
    </row>
    <row r="7" s="126" customFormat="1" ht="15.75"/>
    <row r="8" spans="1:6" s="126" customFormat="1" ht="24.75" customHeight="1">
      <c r="A8" s="593" t="s">
        <v>204</v>
      </c>
      <c r="C8" s="801" t="s">
        <v>203</v>
      </c>
      <c r="D8" s="801"/>
      <c r="E8" s="801"/>
      <c r="F8" s="801"/>
    </row>
    <row r="9" s="127" customFormat="1" ht="12.75"/>
    <row r="10" spans="1:7" s="128" customFormat="1" ht="15" customHeight="1">
      <c r="A10" s="207" t="s">
        <v>552</v>
      </c>
      <c r="B10" s="206"/>
      <c r="C10" s="206"/>
      <c r="D10" s="206"/>
      <c r="E10" s="206"/>
      <c r="F10" s="206"/>
      <c r="G10" s="206"/>
    </row>
    <row r="11" spans="1:7" s="128" customFormat="1" ht="15" customHeight="1" thickBot="1">
      <c r="A11" s="207" t="s">
        <v>205</v>
      </c>
      <c r="B11" s="206"/>
      <c r="C11" s="206"/>
      <c r="D11" s="206"/>
      <c r="E11" s="206"/>
      <c r="F11" s="206"/>
      <c r="G11" s="589" t="e">
        <f>#REF!</f>
        <v>#REF!</v>
      </c>
    </row>
    <row r="12" spans="1:7" s="51" customFormat="1" ht="42" customHeight="1" thickBot="1">
      <c r="A12" s="152" t="s">
        <v>16</v>
      </c>
      <c r="B12" s="153" t="s">
        <v>206</v>
      </c>
      <c r="C12" s="153" t="s">
        <v>207</v>
      </c>
      <c r="D12" s="153" t="s">
        <v>208</v>
      </c>
      <c r="E12" s="153" t="s">
        <v>209</v>
      </c>
      <c r="F12" s="153" t="s">
        <v>210</v>
      </c>
      <c r="G12" s="154" t="s">
        <v>52</v>
      </c>
    </row>
    <row r="13" spans="1:7" ht="24" customHeight="1">
      <c r="A13" s="193" t="s">
        <v>18</v>
      </c>
      <c r="B13" s="161" t="s">
        <v>211</v>
      </c>
      <c r="C13" s="129"/>
      <c r="D13" s="129"/>
      <c r="E13" s="129"/>
      <c r="F13" s="129"/>
      <c r="G13" s="194">
        <f>SUM(C13:F13)</f>
        <v>0</v>
      </c>
    </row>
    <row r="14" spans="1:7" ht="24" customHeight="1">
      <c r="A14" s="195" t="s">
        <v>19</v>
      </c>
      <c r="B14" s="162" t="s">
        <v>212</v>
      </c>
      <c r="C14" s="130"/>
      <c r="D14" s="130"/>
      <c r="E14" s="130"/>
      <c r="F14" s="130"/>
      <c r="G14" s="196">
        <f aca="true" t="shared" si="0" ref="G14:G19">SUM(C14:F14)</f>
        <v>0</v>
      </c>
    </row>
    <row r="15" spans="1:7" ht="24" customHeight="1">
      <c r="A15" s="195" t="s">
        <v>20</v>
      </c>
      <c r="B15" s="162" t="s">
        <v>213</v>
      </c>
      <c r="C15" s="130"/>
      <c r="D15" s="130"/>
      <c r="E15" s="130"/>
      <c r="F15" s="130"/>
      <c r="G15" s="196">
        <f t="shared" si="0"/>
        <v>0</v>
      </c>
    </row>
    <row r="16" spans="1:7" ht="24" customHeight="1">
      <c r="A16" s="195" t="s">
        <v>21</v>
      </c>
      <c r="B16" s="162" t="s">
        <v>214</v>
      </c>
      <c r="C16" s="130"/>
      <c r="D16" s="130"/>
      <c r="E16" s="130"/>
      <c r="F16" s="130"/>
      <c r="G16" s="196">
        <f t="shared" si="0"/>
        <v>0</v>
      </c>
    </row>
    <row r="17" spans="1:7" ht="24" customHeight="1">
      <c r="A17" s="195" t="s">
        <v>22</v>
      </c>
      <c r="B17" s="162" t="s">
        <v>215</v>
      </c>
      <c r="C17" s="130"/>
      <c r="D17" s="130"/>
      <c r="E17" s="130"/>
      <c r="F17" s="130"/>
      <c r="G17" s="196">
        <f t="shared" si="0"/>
        <v>0</v>
      </c>
    </row>
    <row r="18" spans="1:7" ht="24" customHeight="1" thickBot="1">
      <c r="A18" s="197" t="s">
        <v>23</v>
      </c>
      <c r="B18" s="198" t="s">
        <v>216</v>
      </c>
      <c r="C18" s="131"/>
      <c r="D18" s="131"/>
      <c r="E18" s="131"/>
      <c r="F18" s="131"/>
      <c r="G18" s="199">
        <f t="shared" si="0"/>
        <v>0</v>
      </c>
    </row>
    <row r="19" spans="1:7" s="132" customFormat="1" ht="24" customHeight="1" thickBot="1">
      <c r="A19" s="200" t="s">
        <v>24</v>
      </c>
      <c r="B19" s="201" t="s">
        <v>52</v>
      </c>
      <c r="C19" s="202">
        <f>SUM(C13:C18)</f>
        <v>0</v>
      </c>
      <c r="D19" s="202">
        <f>SUM(D13:D18)</f>
        <v>0</v>
      </c>
      <c r="E19" s="202">
        <f>SUM(E13:E18)</f>
        <v>0</v>
      </c>
      <c r="F19" s="202">
        <f>SUM(F13:F18)</f>
        <v>0</v>
      </c>
      <c r="G19" s="203">
        <f t="shared" si="0"/>
        <v>0</v>
      </c>
    </row>
    <row r="20" spans="1:7" s="127" customFormat="1" ht="12.75">
      <c r="A20" s="167"/>
      <c r="B20" s="167"/>
      <c r="C20" s="167"/>
      <c r="D20" s="167"/>
      <c r="E20" s="167"/>
      <c r="F20" s="167"/>
      <c r="G20" s="167"/>
    </row>
    <row r="21" spans="1:7" s="127" customFormat="1" ht="12.75">
      <c r="A21" s="167"/>
      <c r="B21" s="167"/>
      <c r="C21" s="167"/>
      <c r="D21" s="167"/>
      <c r="E21" s="167"/>
      <c r="F21" s="167"/>
      <c r="G21" s="167"/>
    </row>
    <row r="22" spans="1:7" s="127" customFormat="1" ht="12.75">
      <c r="A22" s="167"/>
      <c r="B22" s="167"/>
      <c r="C22" s="167"/>
      <c r="D22" s="167"/>
      <c r="E22" s="167"/>
      <c r="F22" s="167"/>
      <c r="G22" s="167"/>
    </row>
    <row r="23" spans="1:7" s="127" customFormat="1" ht="15.75">
      <c r="A23" s="126" t="str">
        <f>+CONCATENATE("......................, ",LEFT(KV_ÖSSZEFÜGGÉSEK!A5,4),". .......................... hó ..... nap")</f>
        <v>......................, 2020. .......................... hó ..... nap</v>
      </c>
      <c r="F23" s="167"/>
      <c r="G23" s="167"/>
    </row>
    <row r="24" spans="6:7" s="127" customFormat="1" ht="12.75">
      <c r="F24" s="167"/>
      <c r="G24" s="167"/>
    </row>
    <row r="25" spans="1:7" ht="12.75">
      <c r="A25" s="167"/>
      <c r="B25" s="167"/>
      <c r="C25" s="167"/>
      <c r="D25" s="167"/>
      <c r="E25" s="167"/>
      <c r="F25" s="167"/>
      <c r="G25" s="167"/>
    </row>
    <row r="26" spans="1:7" ht="12.75">
      <c r="A26" s="167"/>
      <c r="B26" s="167"/>
      <c r="C26" s="127"/>
      <c r="D26" s="127"/>
      <c r="E26" s="127"/>
      <c r="F26" s="127"/>
      <c r="G26" s="167"/>
    </row>
    <row r="27" spans="1:7" ht="13.5">
      <c r="A27" s="167"/>
      <c r="B27" s="167"/>
      <c r="C27" s="204"/>
      <c r="D27" s="205" t="s">
        <v>217</v>
      </c>
      <c r="E27" s="205"/>
      <c r="F27" s="204"/>
      <c r="G27" s="167"/>
    </row>
    <row r="28" spans="3:6" ht="13.5">
      <c r="C28" s="133"/>
      <c r="D28" s="134"/>
      <c r="E28" s="134"/>
      <c r="F28" s="133"/>
    </row>
    <row r="29" spans="3:6" ht="13.5">
      <c r="C29" s="133"/>
      <c r="D29" s="134"/>
      <c r="E29" s="134"/>
      <c r="F29" s="133"/>
    </row>
  </sheetData>
  <sheetProtection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71"/>
  <sheetViews>
    <sheetView zoomScale="120" zoomScaleNormal="120" zoomScaleSheetLayoutView="100" workbookViewId="0" topLeftCell="A1">
      <selection activeCell="D141" sqref="D141"/>
    </sheetView>
  </sheetViews>
  <sheetFormatPr defaultColWidth="9.00390625" defaultRowHeight="12.75"/>
  <cols>
    <col min="1" max="1" width="9.00390625" style="323" customWidth="1"/>
    <col min="2" max="2" width="75.875" style="323" customWidth="1"/>
    <col min="3" max="3" width="15.50390625" style="324" customWidth="1"/>
    <col min="4" max="5" width="15.50390625" style="323" customWidth="1"/>
    <col min="6" max="6" width="9.00390625" style="34" customWidth="1"/>
    <col min="7" max="16384" width="9.375" style="34" customWidth="1"/>
  </cols>
  <sheetData>
    <row r="1" spans="1:5" ht="14.25" customHeight="1">
      <c r="A1" s="557"/>
      <c r="B1" s="557"/>
      <c r="C1" s="561"/>
      <c r="D1" s="557"/>
      <c r="E1" s="580" t="str">
        <f>CONCATENATE("7. melléklet ",ALAPADATOK!A7," ",ALAPADATOK!B7," ",ALAPADATOK!C7," ",ALAPADATOK!D7," ",ALAPADATOK!E7," ",ALAPADATOK!F7," ",ALAPADATOK!G7," ",ALAPADATOK!H7)</f>
        <v>7. melléklet a  / 2020 (  ) önkormányzati rendelethez</v>
      </c>
    </row>
    <row r="2" spans="1:5" ht="15.75">
      <c r="A2" s="804" t="str">
        <f>CONCATENATE(ALAPADATOK!A3)</f>
        <v>Karácsond Községi Önkormányzat</v>
      </c>
      <c r="B2" s="804"/>
      <c r="C2" s="805"/>
      <c r="D2" s="804"/>
      <c r="E2" s="804"/>
    </row>
    <row r="3" spans="1:5" ht="15.75">
      <c r="A3" s="804" t="str">
        <f>CONCATENATE("Tájékoztató a ",ALAPADATOK!D7-2,". évi tény, ",ALAPADATOK!D7-1,". évi várható és ",ALAPADATOK!D7,". évi terv adatokról")</f>
        <v>Tájékoztató a 2018. évi tény, 2019. évi várható és 2020. évi terv adatokról</v>
      </c>
      <c r="B3" s="804"/>
      <c r="C3" s="805"/>
      <c r="D3" s="804"/>
      <c r="E3" s="804"/>
    </row>
    <row r="4" spans="1:5" ht="15.75" customHeight="1">
      <c r="A4" s="743" t="s">
        <v>15</v>
      </c>
      <c r="B4" s="743"/>
      <c r="C4" s="743"/>
      <c r="D4" s="743"/>
      <c r="E4" s="743"/>
    </row>
    <row r="5" spans="1:5" ht="15.75" customHeight="1" thickBot="1">
      <c r="A5" s="744" t="s">
        <v>145</v>
      </c>
      <c r="B5" s="744"/>
      <c r="C5" s="561"/>
      <c r="D5" s="581"/>
      <c r="E5" s="590" t="s">
        <v>740</v>
      </c>
    </row>
    <row r="6" spans="1:5" ht="30.75" customHeight="1" thickBot="1">
      <c r="A6" s="562" t="s">
        <v>68</v>
      </c>
      <c r="B6" s="563" t="s">
        <v>17</v>
      </c>
      <c r="C6" s="563" t="str">
        <f>+CONCATENATE(LEFT(KV_ÖSSZEFÜGGÉSEK!A5,4)-2,". évi tény")</f>
        <v>2018. évi tény</v>
      </c>
      <c r="D6" s="591" t="str">
        <f>+CONCATENATE(LEFT(KV_ÖSSZEFÜGGÉSEK!A5,4)-1,". évi várható")</f>
        <v>2019. évi várható</v>
      </c>
      <c r="E6" s="592" t="str">
        <f>+'Össz.ÖNK'!C8</f>
        <v>2020. évi előirányzat</v>
      </c>
    </row>
    <row r="7" spans="1:5" s="35" customFormat="1" ht="12" customHeight="1" thickBot="1">
      <c r="A7" s="29" t="s">
        <v>482</v>
      </c>
      <c r="B7" s="30" t="s">
        <v>483</v>
      </c>
      <c r="C7" s="30" t="s">
        <v>484</v>
      </c>
      <c r="D7" s="30" t="s">
        <v>486</v>
      </c>
      <c r="E7" s="386" t="s">
        <v>485</v>
      </c>
    </row>
    <row r="8" spans="1:5" s="1" customFormat="1" ht="12" customHeight="1" thickBot="1">
      <c r="A8" s="20" t="s">
        <v>18</v>
      </c>
      <c r="B8" s="21" t="s">
        <v>244</v>
      </c>
      <c r="C8" s="337">
        <f>+C9+C10+C11+C12+C13+C14</f>
        <v>170173235</v>
      </c>
      <c r="D8" s="337">
        <f>+D9+D10+D11+D12+D13+D14</f>
        <v>160401796</v>
      </c>
      <c r="E8" s="208">
        <f>+E9+E10+E11+E12+E13+E14</f>
        <v>159630451</v>
      </c>
    </row>
    <row r="9" spans="1:5" s="1" customFormat="1" ht="12" customHeight="1">
      <c r="A9" s="15" t="s">
        <v>97</v>
      </c>
      <c r="B9" s="354" t="s">
        <v>245</v>
      </c>
      <c r="C9" s="339">
        <v>67636436</v>
      </c>
      <c r="D9" s="339">
        <v>61198667</v>
      </c>
      <c r="E9" s="210">
        <v>62271454</v>
      </c>
    </row>
    <row r="10" spans="1:5" s="1" customFormat="1" ht="12" customHeight="1">
      <c r="A10" s="14" t="s">
        <v>98</v>
      </c>
      <c r="B10" s="355" t="s">
        <v>246</v>
      </c>
      <c r="C10" s="338">
        <v>52000200</v>
      </c>
      <c r="D10" s="338">
        <v>55830268</v>
      </c>
      <c r="E10" s="209">
        <v>61353950</v>
      </c>
    </row>
    <row r="11" spans="1:5" s="1" customFormat="1" ht="12" customHeight="1">
      <c r="A11" s="14" t="s">
        <v>99</v>
      </c>
      <c r="B11" s="355" t="s">
        <v>247</v>
      </c>
      <c r="C11" s="338">
        <v>34173954</v>
      </c>
      <c r="D11" s="338">
        <v>28186074</v>
      </c>
      <c r="E11" s="209">
        <v>32277067</v>
      </c>
    </row>
    <row r="12" spans="1:5" s="1" customFormat="1" ht="12" customHeight="1">
      <c r="A12" s="14" t="s">
        <v>100</v>
      </c>
      <c r="B12" s="355" t="s">
        <v>248</v>
      </c>
      <c r="C12" s="338">
        <v>3701390</v>
      </c>
      <c r="D12" s="338">
        <v>4215922</v>
      </c>
      <c r="E12" s="209">
        <v>3727980</v>
      </c>
    </row>
    <row r="13" spans="1:5" s="1" customFormat="1" ht="12" customHeight="1">
      <c r="A13" s="14" t="s">
        <v>141</v>
      </c>
      <c r="B13" s="237" t="s">
        <v>421</v>
      </c>
      <c r="C13" s="338">
        <v>12661255</v>
      </c>
      <c r="D13" s="338">
        <v>10970865</v>
      </c>
      <c r="E13" s="209"/>
    </row>
    <row r="14" spans="1:5" s="1" customFormat="1" ht="12" customHeight="1" thickBot="1">
      <c r="A14" s="16" t="s">
        <v>101</v>
      </c>
      <c r="B14" s="238" t="s">
        <v>422</v>
      </c>
      <c r="C14" s="338"/>
      <c r="D14" s="338"/>
      <c r="E14" s="209"/>
    </row>
    <row r="15" spans="1:5" s="1" customFormat="1" ht="12" customHeight="1" thickBot="1">
      <c r="A15" s="20" t="s">
        <v>19</v>
      </c>
      <c r="B15" s="236" t="s">
        <v>249</v>
      </c>
      <c r="C15" s="337">
        <f>+C16+C17+C18+C19+C20</f>
        <v>27793584</v>
      </c>
      <c r="D15" s="337">
        <f>+D16+D17+D18+D19+D20</f>
        <v>30584865</v>
      </c>
      <c r="E15" s="208">
        <f>+E16+E17+E18+E19+E20</f>
        <v>59607026</v>
      </c>
    </row>
    <row r="16" spans="1:5" s="1" customFormat="1" ht="12" customHeight="1">
      <c r="A16" s="15" t="s">
        <v>103</v>
      </c>
      <c r="B16" s="354" t="s">
        <v>250</v>
      </c>
      <c r="C16" s="339"/>
      <c r="D16" s="339"/>
      <c r="E16" s="210"/>
    </row>
    <row r="17" spans="1:5" s="1" customFormat="1" ht="12" customHeight="1">
      <c r="A17" s="14" t="s">
        <v>104</v>
      </c>
      <c r="B17" s="355" t="s">
        <v>251</v>
      </c>
      <c r="C17" s="338"/>
      <c r="D17" s="338"/>
      <c r="E17" s="209"/>
    </row>
    <row r="18" spans="1:5" s="1" customFormat="1" ht="12" customHeight="1">
      <c r="A18" s="14" t="s">
        <v>105</v>
      </c>
      <c r="B18" s="355" t="s">
        <v>411</v>
      </c>
      <c r="C18" s="338"/>
      <c r="D18" s="338"/>
      <c r="E18" s="209"/>
    </row>
    <row r="19" spans="1:5" s="1" customFormat="1" ht="12" customHeight="1">
      <c r="A19" s="14" t="s">
        <v>106</v>
      </c>
      <c r="B19" s="355" t="s">
        <v>412</v>
      </c>
      <c r="C19" s="338"/>
      <c r="D19" s="338"/>
      <c r="E19" s="209"/>
    </row>
    <row r="20" spans="1:5" s="1" customFormat="1" ht="12" customHeight="1">
      <c r="A20" s="14" t="s">
        <v>107</v>
      </c>
      <c r="B20" s="355" t="s">
        <v>252</v>
      </c>
      <c r="C20" s="338">
        <v>27793584</v>
      </c>
      <c r="D20" s="338">
        <f>24379927+3799819+2405119</f>
        <v>30584865</v>
      </c>
      <c r="E20" s="209">
        <v>59607026</v>
      </c>
    </row>
    <row r="21" spans="1:5" s="1" customFormat="1" ht="12" customHeight="1" thickBot="1">
      <c r="A21" s="16" t="s">
        <v>116</v>
      </c>
      <c r="B21" s="238" t="s">
        <v>253</v>
      </c>
      <c r="C21" s="340"/>
      <c r="D21" s="340"/>
      <c r="E21" s="211"/>
    </row>
    <row r="22" spans="1:5" s="1" customFormat="1" ht="12" customHeight="1" thickBot="1">
      <c r="A22" s="20" t="s">
        <v>20</v>
      </c>
      <c r="B22" s="21" t="s">
        <v>254</v>
      </c>
      <c r="C22" s="337">
        <f>+C23+C24+C25+C26+C27</f>
        <v>144518924</v>
      </c>
      <c r="D22" s="337">
        <f>+D23+D24+D25+D26+D27</f>
        <v>0</v>
      </c>
      <c r="E22" s="208">
        <f>+E23+E24+E25+E26+E27</f>
        <v>4999992</v>
      </c>
    </row>
    <row r="23" spans="1:5" s="1" customFormat="1" ht="12" customHeight="1">
      <c r="A23" s="15" t="s">
        <v>86</v>
      </c>
      <c r="B23" s="354" t="s">
        <v>255</v>
      </c>
      <c r="C23" s="339">
        <v>15322000</v>
      </c>
      <c r="D23" s="339"/>
      <c r="E23" s="210"/>
    </row>
    <row r="24" spans="1:5" s="1" customFormat="1" ht="12" customHeight="1">
      <c r="A24" s="14" t="s">
        <v>87</v>
      </c>
      <c r="B24" s="355" t="s">
        <v>256</v>
      </c>
      <c r="C24" s="338"/>
      <c r="D24" s="338"/>
      <c r="E24" s="209"/>
    </row>
    <row r="25" spans="1:5" s="1" customFormat="1" ht="12" customHeight="1">
      <c r="A25" s="14" t="s">
        <v>88</v>
      </c>
      <c r="B25" s="355" t="s">
        <v>413</v>
      </c>
      <c r="C25" s="338"/>
      <c r="D25" s="338"/>
      <c r="E25" s="209"/>
    </row>
    <row r="26" spans="1:5" s="1" customFormat="1" ht="12" customHeight="1">
      <c r="A26" s="14" t="s">
        <v>89</v>
      </c>
      <c r="B26" s="355" t="s">
        <v>414</v>
      </c>
      <c r="C26" s="338"/>
      <c r="D26" s="338"/>
      <c r="E26" s="209"/>
    </row>
    <row r="27" spans="1:5" s="1" customFormat="1" ht="12" customHeight="1">
      <c r="A27" s="14" t="s">
        <v>164</v>
      </c>
      <c r="B27" s="355" t="s">
        <v>257</v>
      </c>
      <c r="C27" s="338">
        <v>129196924</v>
      </c>
      <c r="D27" s="338"/>
      <c r="E27" s="209">
        <v>4999992</v>
      </c>
    </row>
    <row r="28" spans="1:5" s="1" customFormat="1" ht="12" customHeight="1" thickBot="1">
      <c r="A28" s="16" t="s">
        <v>165</v>
      </c>
      <c r="B28" s="356" t="s">
        <v>258</v>
      </c>
      <c r="C28" s="340"/>
      <c r="D28" s="340"/>
      <c r="E28" s="211"/>
    </row>
    <row r="29" spans="1:5" s="1" customFormat="1" ht="12" customHeight="1" thickBot="1">
      <c r="A29" s="20" t="s">
        <v>166</v>
      </c>
      <c r="B29" s="21" t="s">
        <v>259</v>
      </c>
      <c r="C29" s="344">
        <f>SUM(C30:C37)</f>
        <v>89871153</v>
      </c>
      <c r="D29" s="344">
        <f>SUM(D30:D37)</f>
        <v>94644027</v>
      </c>
      <c r="E29" s="385">
        <f>SUM(E30:E37)</f>
        <v>79550000</v>
      </c>
    </row>
    <row r="30" spans="1:5" s="1" customFormat="1" ht="12" customHeight="1">
      <c r="A30" s="15" t="s">
        <v>260</v>
      </c>
      <c r="B30" s="354" t="s">
        <v>661</v>
      </c>
      <c r="C30" s="339">
        <v>8244657</v>
      </c>
      <c r="D30" s="339">
        <v>8373299</v>
      </c>
      <c r="E30" s="242">
        <v>7500000</v>
      </c>
    </row>
    <row r="31" spans="1:5" s="1" customFormat="1" ht="12" customHeight="1">
      <c r="A31" s="14" t="s">
        <v>261</v>
      </c>
      <c r="B31" s="354" t="str">
        <f>'Össz.ÖNK'!B33</f>
        <v>Idegenforgalmi adó</v>
      </c>
      <c r="C31" s="338">
        <v>263400</v>
      </c>
      <c r="D31" s="338">
        <v>659600</v>
      </c>
      <c r="E31" s="243">
        <v>550000</v>
      </c>
    </row>
    <row r="32" spans="1:5" s="1" customFormat="1" ht="12" customHeight="1">
      <c r="A32" s="14" t="s">
        <v>262</v>
      </c>
      <c r="B32" s="354" t="str">
        <f>'Össz.ÖNK'!B34</f>
        <v>Iparűzési adó</v>
      </c>
      <c r="C32" s="338">
        <v>72936226</v>
      </c>
      <c r="D32" s="338">
        <v>74340462</v>
      </c>
      <c r="E32" s="243">
        <v>62000000</v>
      </c>
    </row>
    <row r="33" spans="1:5" s="1" customFormat="1" ht="12" customHeight="1">
      <c r="A33" s="14" t="s">
        <v>263</v>
      </c>
      <c r="B33" s="354" t="str">
        <f>'Össz.ÖNK'!B35</f>
        <v>Talajterhelési díj</v>
      </c>
      <c r="C33" s="338">
        <v>526787</v>
      </c>
      <c r="D33" s="338">
        <v>1981231</v>
      </c>
      <c r="E33" s="243">
        <v>2000000</v>
      </c>
    </row>
    <row r="34" spans="1:5" s="1" customFormat="1" ht="12" customHeight="1">
      <c r="A34" s="14" t="s">
        <v>540</v>
      </c>
      <c r="B34" s="354" t="str">
        <f>'Össz.ÖNK'!B36</f>
        <v>Gépjárműadó</v>
      </c>
      <c r="C34" s="338">
        <v>6867652</v>
      </c>
      <c r="D34" s="338">
        <v>7031379</v>
      </c>
      <c r="E34" s="243">
        <v>6000000</v>
      </c>
    </row>
    <row r="35" spans="1:5" s="1" customFormat="1" ht="12" customHeight="1">
      <c r="A35" s="14" t="s">
        <v>541</v>
      </c>
      <c r="B35" s="354" t="s">
        <v>754</v>
      </c>
      <c r="C35" s="338">
        <v>40000</v>
      </c>
      <c r="D35" s="338">
        <v>9400</v>
      </c>
      <c r="E35" s="243">
        <v>500000</v>
      </c>
    </row>
    <row r="36" spans="1:5" s="1" customFormat="1" ht="12" customHeight="1">
      <c r="A36" s="16" t="s">
        <v>542</v>
      </c>
      <c r="B36" s="354" t="s">
        <v>742</v>
      </c>
      <c r="C36" s="340">
        <v>783348</v>
      </c>
      <c r="D36" s="340">
        <v>477565</v>
      </c>
      <c r="E36" s="245"/>
    </row>
    <row r="37" spans="1:5" s="1" customFormat="1" ht="12" customHeight="1" thickBot="1">
      <c r="A37" s="16" t="s">
        <v>741</v>
      </c>
      <c r="B37" s="354" t="s">
        <v>738</v>
      </c>
      <c r="C37" s="340">
        <v>209083</v>
      </c>
      <c r="D37" s="340">
        <v>1771091</v>
      </c>
      <c r="E37" s="249">
        <v>1000000</v>
      </c>
    </row>
    <row r="38" spans="1:5" s="1" customFormat="1" ht="12" customHeight="1" thickBot="1">
      <c r="A38" s="20" t="s">
        <v>22</v>
      </c>
      <c r="B38" s="21" t="s">
        <v>423</v>
      </c>
      <c r="C38" s="337">
        <f>SUM(C39:C49)</f>
        <v>12944371</v>
      </c>
      <c r="D38" s="337">
        <f>SUM(D39:D49)</f>
        <v>12379782</v>
      </c>
      <c r="E38" s="208">
        <f>SUM(E39:E49)</f>
        <v>5235000</v>
      </c>
    </row>
    <row r="39" spans="1:5" s="1" customFormat="1" ht="12" customHeight="1">
      <c r="A39" s="15" t="s">
        <v>90</v>
      </c>
      <c r="B39" s="354" t="s">
        <v>267</v>
      </c>
      <c r="C39" s="339"/>
      <c r="D39" s="339"/>
      <c r="E39" s="210"/>
    </row>
    <row r="40" spans="1:5" s="1" customFormat="1" ht="12" customHeight="1">
      <c r="A40" s="14" t="s">
        <v>91</v>
      </c>
      <c r="B40" s="355" t="s">
        <v>268</v>
      </c>
      <c r="C40" s="338">
        <v>103900</v>
      </c>
      <c r="D40" s="338"/>
      <c r="E40" s="209"/>
    </row>
    <row r="41" spans="1:5" s="1" customFormat="1" ht="12" customHeight="1">
      <c r="A41" s="14" t="s">
        <v>92</v>
      </c>
      <c r="B41" s="355" t="s">
        <v>269</v>
      </c>
      <c r="C41" s="338"/>
      <c r="D41" s="338"/>
      <c r="E41" s="209"/>
    </row>
    <row r="42" spans="1:5" s="1" customFormat="1" ht="12" customHeight="1">
      <c r="A42" s="14" t="s">
        <v>168</v>
      </c>
      <c r="B42" s="355" t="s">
        <v>270</v>
      </c>
      <c r="C42" s="338">
        <v>6694903</v>
      </c>
      <c r="D42" s="338">
        <v>3328209</v>
      </c>
      <c r="E42" s="209">
        <v>3300000</v>
      </c>
    </row>
    <row r="43" spans="1:5" s="1" customFormat="1" ht="12" customHeight="1">
      <c r="A43" s="14" t="s">
        <v>169</v>
      </c>
      <c r="B43" s="355" t="s">
        <v>271</v>
      </c>
      <c r="C43" s="338">
        <v>450343</v>
      </c>
      <c r="D43" s="338"/>
      <c r="E43" s="209">
        <v>335000</v>
      </c>
    </row>
    <row r="44" spans="1:5" s="1" customFormat="1" ht="12" customHeight="1">
      <c r="A44" s="14" t="s">
        <v>170</v>
      </c>
      <c r="B44" s="355" t="s">
        <v>272</v>
      </c>
      <c r="C44" s="338">
        <v>366144</v>
      </c>
      <c r="D44" s="338"/>
      <c r="E44" s="209">
        <v>100000</v>
      </c>
    </row>
    <row r="45" spans="1:5" s="1" customFormat="1" ht="12" customHeight="1">
      <c r="A45" s="14" t="s">
        <v>171</v>
      </c>
      <c r="B45" s="355" t="s">
        <v>273</v>
      </c>
      <c r="C45" s="338"/>
      <c r="D45" s="338"/>
      <c r="E45" s="209"/>
    </row>
    <row r="46" spans="1:5" s="1" customFormat="1" ht="12" customHeight="1">
      <c r="A46" s="14" t="s">
        <v>172</v>
      </c>
      <c r="B46" s="355" t="s">
        <v>546</v>
      </c>
      <c r="C46" s="338"/>
      <c r="D46" s="338"/>
      <c r="E46" s="209"/>
    </row>
    <row r="47" spans="1:5" s="1" customFormat="1" ht="12" customHeight="1">
      <c r="A47" s="14" t="s">
        <v>265</v>
      </c>
      <c r="B47" s="355" t="s">
        <v>275</v>
      </c>
      <c r="C47" s="341">
        <v>1500</v>
      </c>
      <c r="D47" s="341"/>
      <c r="E47" s="212"/>
    </row>
    <row r="48" spans="1:5" s="1" customFormat="1" ht="12" customHeight="1">
      <c r="A48" s="16" t="s">
        <v>266</v>
      </c>
      <c r="B48" s="356" t="s">
        <v>425</v>
      </c>
      <c r="C48" s="342">
        <v>568234</v>
      </c>
      <c r="D48" s="342">
        <v>264048</v>
      </c>
      <c r="E48" s="213"/>
    </row>
    <row r="49" spans="1:5" s="1" customFormat="1" ht="12" customHeight="1" thickBot="1">
      <c r="A49" s="16" t="s">
        <v>424</v>
      </c>
      <c r="B49" s="238" t="s">
        <v>276</v>
      </c>
      <c r="C49" s="342">
        <v>4759347</v>
      </c>
      <c r="D49" s="342">
        <f>7376696+1317827+93002</f>
        <v>8787525</v>
      </c>
      <c r="E49" s="213">
        <v>1500000</v>
      </c>
    </row>
    <row r="50" spans="1:5" s="1" customFormat="1" ht="12" customHeight="1" thickBot="1">
      <c r="A50" s="20" t="s">
        <v>23</v>
      </c>
      <c r="B50" s="21" t="s">
        <v>277</v>
      </c>
      <c r="C50" s="337">
        <f>SUM(C51:C55)</f>
        <v>0</v>
      </c>
      <c r="D50" s="337">
        <f>SUM(D51:D55)</f>
        <v>0</v>
      </c>
      <c r="E50" s="208">
        <f>SUM(E51:E55)</f>
        <v>0</v>
      </c>
    </row>
    <row r="51" spans="1:5" s="1" customFormat="1" ht="12" customHeight="1">
      <c r="A51" s="15" t="s">
        <v>93</v>
      </c>
      <c r="B51" s="354" t="s">
        <v>281</v>
      </c>
      <c r="C51" s="400"/>
      <c r="D51" s="400"/>
      <c r="E51" s="235"/>
    </row>
    <row r="52" spans="1:5" s="1" customFormat="1" ht="12" customHeight="1">
      <c r="A52" s="14" t="s">
        <v>94</v>
      </c>
      <c r="B52" s="355" t="s">
        <v>282</v>
      </c>
      <c r="C52" s="341"/>
      <c r="D52" s="341"/>
      <c r="E52" s="212"/>
    </row>
    <row r="53" spans="1:5" s="1" customFormat="1" ht="12" customHeight="1">
      <c r="A53" s="14" t="s">
        <v>278</v>
      </c>
      <c r="B53" s="355" t="s">
        <v>283</v>
      </c>
      <c r="C53" s="341"/>
      <c r="D53" s="341"/>
      <c r="E53" s="212"/>
    </row>
    <row r="54" spans="1:5" s="1" customFormat="1" ht="12" customHeight="1">
      <c r="A54" s="14" t="s">
        <v>279</v>
      </c>
      <c r="B54" s="355" t="s">
        <v>284</v>
      </c>
      <c r="C54" s="341"/>
      <c r="D54" s="341"/>
      <c r="E54" s="212"/>
    </row>
    <row r="55" spans="1:5" s="1" customFormat="1" ht="12" customHeight="1" thickBot="1">
      <c r="A55" s="16" t="s">
        <v>280</v>
      </c>
      <c r="B55" s="238" t="s">
        <v>285</v>
      </c>
      <c r="C55" s="342"/>
      <c r="D55" s="342"/>
      <c r="E55" s="213"/>
    </row>
    <row r="56" spans="1:5" s="1" customFormat="1" ht="12" customHeight="1" thickBot="1">
      <c r="A56" s="20" t="s">
        <v>173</v>
      </c>
      <c r="B56" s="21" t="s">
        <v>286</v>
      </c>
      <c r="C56" s="337">
        <f>SUM(C57:C59)</f>
        <v>508422</v>
      </c>
      <c r="D56" s="337">
        <f>SUM(D57:D59)</f>
        <v>500000</v>
      </c>
      <c r="E56" s="208">
        <f>SUM(E57:E59)</f>
        <v>0</v>
      </c>
    </row>
    <row r="57" spans="1:5" s="1" customFormat="1" ht="12" customHeight="1">
      <c r="A57" s="15" t="s">
        <v>95</v>
      </c>
      <c r="B57" s="354" t="s">
        <v>287</v>
      </c>
      <c r="C57" s="339"/>
      <c r="D57" s="339"/>
      <c r="E57" s="210"/>
    </row>
    <row r="58" spans="1:5" s="1" customFormat="1" ht="12" customHeight="1">
      <c r="A58" s="14" t="s">
        <v>96</v>
      </c>
      <c r="B58" s="355" t="s">
        <v>415</v>
      </c>
      <c r="C58" s="338"/>
      <c r="D58" s="338"/>
      <c r="E58" s="209"/>
    </row>
    <row r="59" spans="1:5" s="1" customFormat="1" ht="12" customHeight="1">
      <c r="A59" s="14" t="s">
        <v>290</v>
      </c>
      <c r="B59" s="355" t="s">
        <v>288</v>
      </c>
      <c r="C59" s="338">
        <v>508422</v>
      </c>
      <c r="D59" s="338">
        <v>500000</v>
      </c>
      <c r="E59" s="209"/>
    </row>
    <row r="60" spans="1:5" s="1" customFormat="1" ht="12" customHeight="1" thickBot="1">
      <c r="A60" s="16" t="s">
        <v>291</v>
      </c>
      <c r="B60" s="238" t="s">
        <v>289</v>
      </c>
      <c r="C60" s="340"/>
      <c r="D60" s="340"/>
      <c r="E60" s="211"/>
    </row>
    <row r="61" spans="1:5" s="1" customFormat="1" ht="12" customHeight="1" thickBot="1">
      <c r="A61" s="20" t="s">
        <v>25</v>
      </c>
      <c r="B61" s="236" t="s">
        <v>292</v>
      </c>
      <c r="C61" s="337">
        <f>SUM(C62:C64)</f>
        <v>7937000</v>
      </c>
      <c r="D61" s="337">
        <f>SUM(D62:D64)</f>
        <v>600000</v>
      </c>
      <c r="E61" s="208">
        <f>SUM(E62:E64)</f>
        <v>1758395</v>
      </c>
    </row>
    <row r="62" spans="1:5" s="1" customFormat="1" ht="12" customHeight="1">
      <c r="A62" s="15" t="s">
        <v>174</v>
      </c>
      <c r="B62" s="354" t="s">
        <v>294</v>
      </c>
      <c r="C62" s="341">
        <v>5964000</v>
      </c>
      <c r="D62" s="341"/>
      <c r="E62" s="212"/>
    </row>
    <row r="63" spans="1:5" s="1" customFormat="1" ht="12" customHeight="1">
      <c r="A63" s="14" t="s">
        <v>175</v>
      </c>
      <c r="B63" s="355" t="s">
        <v>416</v>
      </c>
      <c r="C63" s="341">
        <v>1973000</v>
      </c>
      <c r="D63" s="341"/>
      <c r="E63" s="212">
        <v>1758395</v>
      </c>
    </row>
    <row r="64" spans="1:5" s="1" customFormat="1" ht="12" customHeight="1">
      <c r="A64" s="14" t="s">
        <v>223</v>
      </c>
      <c r="B64" s="355" t="s">
        <v>295</v>
      </c>
      <c r="C64" s="341"/>
      <c r="D64" s="341">
        <v>600000</v>
      </c>
      <c r="E64" s="212"/>
    </row>
    <row r="65" spans="1:5" s="1" customFormat="1" ht="12" customHeight="1" thickBot="1">
      <c r="A65" s="16" t="s">
        <v>293</v>
      </c>
      <c r="B65" s="238" t="s">
        <v>296</v>
      </c>
      <c r="C65" s="341">
        <v>0</v>
      </c>
      <c r="D65" s="341"/>
      <c r="E65" s="212"/>
    </row>
    <row r="66" spans="1:5" s="1" customFormat="1" ht="12" customHeight="1" thickBot="1">
      <c r="A66" s="420" t="s">
        <v>465</v>
      </c>
      <c r="B66" s="21" t="s">
        <v>297</v>
      </c>
      <c r="C66" s="344">
        <f>+C8+C15+C22+C29+C38+C50+C56+C61</f>
        <v>453746689</v>
      </c>
      <c r="D66" s="344">
        <f>+D8+D15+D22+D29+D38+D50+D56+D61</f>
        <v>299110470</v>
      </c>
      <c r="E66" s="385">
        <f>+E8+E15+E22+E29+E38+E50+E56+E61</f>
        <v>310780864</v>
      </c>
    </row>
    <row r="67" spans="1:5" s="1" customFormat="1" ht="12" customHeight="1" thickBot="1">
      <c r="A67" s="401" t="s">
        <v>298</v>
      </c>
      <c r="B67" s="236" t="s">
        <v>531</v>
      </c>
      <c r="C67" s="337">
        <f>SUM(C68:C70)</f>
        <v>0</v>
      </c>
      <c r="D67" s="337">
        <f>SUM(D68:D70)</f>
        <v>0</v>
      </c>
      <c r="E67" s="208">
        <f>SUM(E68:E70)</f>
        <v>0</v>
      </c>
    </row>
    <row r="68" spans="1:5" s="1" customFormat="1" ht="12" customHeight="1">
      <c r="A68" s="15" t="s">
        <v>327</v>
      </c>
      <c r="B68" s="354" t="s">
        <v>300</v>
      </c>
      <c r="C68" s="341"/>
      <c r="D68" s="341"/>
      <c r="E68" s="212"/>
    </row>
    <row r="69" spans="1:5" s="1" customFormat="1" ht="12" customHeight="1">
      <c r="A69" s="14" t="s">
        <v>336</v>
      </c>
      <c r="B69" s="355" t="s">
        <v>301</v>
      </c>
      <c r="C69" s="341"/>
      <c r="D69" s="341"/>
      <c r="E69" s="212"/>
    </row>
    <row r="70" spans="1:5" s="1" customFormat="1" ht="12" customHeight="1" thickBot="1">
      <c r="A70" s="16" t="s">
        <v>337</v>
      </c>
      <c r="B70" s="414" t="s">
        <v>450</v>
      </c>
      <c r="C70" s="341"/>
      <c r="D70" s="341"/>
      <c r="E70" s="212"/>
    </row>
    <row r="71" spans="1:5" s="1" customFormat="1" ht="12" customHeight="1" thickBot="1">
      <c r="A71" s="401" t="s">
        <v>303</v>
      </c>
      <c r="B71" s="236" t="s">
        <v>304</v>
      </c>
      <c r="C71" s="337">
        <f>SUM(C72:C75)</f>
        <v>0</v>
      </c>
      <c r="D71" s="337">
        <f>SUM(D72:D75)</f>
        <v>0</v>
      </c>
      <c r="E71" s="208">
        <f>SUM(E72:E75)</f>
        <v>0</v>
      </c>
    </row>
    <row r="72" spans="1:5" s="1" customFormat="1" ht="12" customHeight="1">
      <c r="A72" s="15" t="s">
        <v>142</v>
      </c>
      <c r="B72" s="490" t="s">
        <v>305</v>
      </c>
      <c r="C72" s="341"/>
      <c r="D72" s="341"/>
      <c r="E72" s="212"/>
    </row>
    <row r="73" spans="1:7" s="1" customFormat="1" ht="13.5" customHeight="1">
      <c r="A73" s="14" t="s">
        <v>143</v>
      </c>
      <c r="B73" s="490" t="s">
        <v>557</v>
      </c>
      <c r="C73" s="341"/>
      <c r="D73" s="341"/>
      <c r="E73" s="212"/>
      <c r="G73" s="36"/>
    </row>
    <row r="74" spans="1:5" s="1" customFormat="1" ht="12" customHeight="1">
      <c r="A74" s="14" t="s">
        <v>328</v>
      </c>
      <c r="B74" s="490" t="s">
        <v>306</v>
      </c>
      <c r="C74" s="341"/>
      <c r="D74" s="341"/>
      <c r="E74" s="212"/>
    </row>
    <row r="75" spans="1:5" s="1" customFormat="1" ht="12" customHeight="1" thickBot="1">
      <c r="A75" s="16" t="s">
        <v>329</v>
      </c>
      <c r="B75" s="491" t="s">
        <v>558</v>
      </c>
      <c r="C75" s="341"/>
      <c r="D75" s="341"/>
      <c r="E75" s="212"/>
    </row>
    <row r="76" spans="1:5" s="1" customFormat="1" ht="12" customHeight="1" thickBot="1">
      <c r="A76" s="401" t="s">
        <v>307</v>
      </c>
      <c r="B76" s="236" t="s">
        <v>308</v>
      </c>
      <c r="C76" s="337">
        <f>SUM(C77:C78)</f>
        <v>257015225</v>
      </c>
      <c r="D76" s="337">
        <f>SUM(D77:D78)</f>
        <v>397168057</v>
      </c>
      <c r="E76" s="208">
        <f>SUM(E77:E78)</f>
        <v>289986938</v>
      </c>
    </row>
    <row r="77" spans="1:5" s="1" customFormat="1" ht="12" customHeight="1">
      <c r="A77" s="15" t="s">
        <v>330</v>
      </c>
      <c r="B77" s="354" t="s">
        <v>309</v>
      </c>
      <c r="C77" s="341">
        <v>257015225</v>
      </c>
      <c r="D77" s="341">
        <f>396182836+60080+925141</f>
        <v>397168057</v>
      </c>
      <c r="E77" s="212">
        <v>289986938</v>
      </c>
    </row>
    <row r="78" spans="1:5" s="1" customFormat="1" ht="12" customHeight="1" thickBot="1">
      <c r="A78" s="16" t="s">
        <v>331</v>
      </c>
      <c r="B78" s="238" t="s">
        <v>310</v>
      </c>
      <c r="C78" s="341"/>
      <c r="D78" s="341"/>
      <c r="E78" s="212"/>
    </row>
    <row r="79" spans="1:5" s="1" customFormat="1" ht="12" customHeight="1" thickBot="1">
      <c r="A79" s="401" t="s">
        <v>311</v>
      </c>
      <c r="B79" s="236" t="s">
        <v>312</v>
      </c>
      <c r="C79" s="337">
        <f>SUM(C80:C82)</f>
        <v>5034671</v>
      </c>
      <c r="D79" s="337">
        <f>SUM(D80:D82)</f>
        <v>6385218</v>
      </c>
      <c r="E79" s="208">
        <f>SUM(E80:E82)</f>
        <v>0</v>
      </c>
    </row>
    <row r="80" spans="1:5" s="1" customFormat="1" ht="12" customHeight="1">
      <c r="A80" s="15" t="s">
        <v>332</v>
      </c>
      <c r="B80" s="354" t="s">
        <v>313</v>
      </c>
      <c r="C80" s="341">
        <v>5034671</v>
      </c>
      <c r="D80" s="341">
        <v>6385218</v>
      </c>
      <c r="E80" s="212"/>
    </row>
    <row r="81" spans="1:5" s="1" customFormat="1" ht="12" customHeight="1">
      <c r="A81" s="14" t="s">
        <v>333</v>
      </c>
      <c r="B81" s="355" t="s">
        <v>314</v>
      </c>
      <c r="C81" s="341"/>
      <c r="D81" s="341"/>
      <c r="E81" s="212"/>
    </row>
    <row r="82" spans="1:5" s="1" customFormat="1" ht="12" customHeight="1" thickBot="1">
      <c r="A82" s="16" t="s">
        <v>334</v>
      </c>
      <c r="B82" s="238" t="s">
        <v>559</v>
      </c>
      <c r="C82" s="341"/>
      <c r="D82" s="341"/>
      <c r="E82" s="212"/>
    </row>
    <row r="83" spans="1:5" s="1" customFormat="1" ht="12" customHeight="1" thickBot="1">
      <c r="A83" s="401" t="s">
        <v>315</v>
      </c>
      <c r="B83" s="236" t="s">
        <v>335</v>
      </c>
      <c r="C83" s="337">
        <f>SUM(C84:C87)</f>
        <v>0</v>
      </c>
      <c r="D83" s="337">
        <f>SUM(D84:D87)</f>
        <v>0</v>
      </c>
      <c r="E83" s="208">
        <f>SUM(E84:E87)</f>
        <v>0</v>
      </c>
    </row>
    <row r="84" spans="1:5" s="1" customFormat="1" ht="12" customHeight="1">
      <c r="A84" s="358" t="s">
        <v>316</v>
      </c>
      <c r="B84" s="354" t="s">
        <v>317</v>
      </c>
      <c r="C84" s="341"/>
      <c r="D84" s="341"/>
      <c r="E84" s="212"/>
    </row>
    <row r="85" spans="1:5" s="1" customFormat="1" ht="12" customHeight="1">
      <c r="A85" s="359" t="s">
        <v>318</v>
      </c>
      <c r="B85" s="355" t="s">
        <v>319</v>
      </c>
      <c r="C85" s="341"/>
      <c r="D85" s="341"/>
      <c r="E85" s="212"/>
    </row>
    <row r="86" spans="1:5" s="1" customFormat="1" ht="12" customHeight="1">
      <c r="A86" s="359" t="s">
        <v>320</v>
      </c>
      <c r="B86" s="355" t="s">
        <v>321</v>
      </c>
      <c r="C86" s="341"/>
      <c r="D86" s="341"/>
      <c r="E86" s="212"/>
    </row>
    <row r="87" spans="1:5" s="1" customFormat="1" ht="12" customHeight="1" thickBot="1">
      <c r="A87" s="360" t="s">
        <v>322</v>
      </c>
      <c r="B87" s="238" t="s">
        <v>323</v>
      </c>
      <c r="C87" s="341"/>
      <c r="D87" s="341"/>
      <c r="E87" s="212"/>
    </row>
    <row r="88" spans="1:5" s="1" customFormat="1" ht="12" customHeight="1" thickBot="1">
      <c r="A88" s="401" t="s">
        <v>324</v>
      </c>
      <c r="B88" s="236" t="s">
        <v>464</v>
      </c>
      <c r="C88" s="403"/>
      <c r="D88" s="403"/>
      <c r="E88" s="404"/>
    </row>
    <row r="89" spans="1:5" s="1" customFormat="1" ht="12" customHeight="1" thickBot="1">
      <c r="A89" s="401" t="s">
        <v>326</v>
      </c>
      <c r="B89" s="236" t="s">
        <v>325</v>
      </c>
      <c r="C89" s="403"/>
      <c r="D89" s="403"/>
      <c r="E89" s="404"/>
    </row>
    <row r="90" spans="1:5" s="1" customFormat="1" ht="12" customHeight="1" thickBot="1">
      <c r="A90" s="401" t="s">
        <v>338</v>
      </c>
      <c r="B90" s="361" t="s">
        <v>467</v>
      </c>
      <c r="C90" s="344">
        <f>+C67+C71+C76+C79+C83+C89+C88</f>
        <v>262049896</v>
      </c>
      <c r="D90" s="344">
        <f>+D67+D71+D76+D79+D83+D89+D88</f>
        <v>403553275</v>
      </c>
      <c r="E90" s="385">
        <f>+E67+E71+E76+E79+E83+E89+E88</f>
        <v>289986938</v>
      </c>
    </row>
    <row r="91" spans="1:5" s="1" customFormat="1" ht="12" customHeight="1" thickBot="1">
      <c r="A91" s="402" t="s">
        <v>466</v>
      </c>
      <c r="B91" s="362" t="s">
        <v>468</v>
      </c>
      <c r="C91" s="344">
        <f>+C66+C90</f>
        <v>715796585</v>
      </c>
      <c r="D91" s="344">
        <f>+D66+D90</f>
        <v>702663745</v>
      </c>
      <c r="E91" s="385">
        <f>+E66+E90</f>
        <v>600767802</v>
      </c>
    </row>
    <row r="92" spans="1:5" s="1" customFormat="1" ht="12" customHeight="1">
      <c r="A92" s="313"/>
      <c r="B92" s="314"/>
      <c r="C92" s="315"/>
      <c r="D92" s="316"/>
      <c r="E92" s="317"/>
    </row>
    <row r="93" spans="1:5" s="1" customFormat="1" ht="12" customHeight="1">
      <c r="A93" s="748" t="s">
        <v>46</v>
      </c>
      <c r="B93" s="748"/>
      <c r="C93" s="748"/>
      <c r="D93" s="748"/>
      <c r="E93" s="748"/>
    </row>
    <row r="94" spans="1:5" s="1" customFormat="1" ht="12" customHeight="1" thickBot="1">
      <c r="A94" s="745" t="s">
        <v>146</v>
      </c>
      <c r="B94" s="745"/>
      <c r="C94" s="324"/>
      <c r="D94" s="107"/>
      <c r="E94" s="251" t="str">
        <f>E5</f>
        <v>Ft-ban</v>
      </c>
    </row>
    <row r="95" spans="1:6" s="1" customFormat="1" ht="24" customHeight="1" thickBot="1">
      <c r="A95" s="23" t="s">
        <v>16</v>
      </c>
      <c r="B95" s="24" t="s">
        <v>47</v>
      </c>
      <c r="C95" s="24" t="str">
        <f>+C6</f>
        <v>2018. évi tény</v>
      </c>
      <c r="D95" s="24" t="str">
        <f>+D6</f>
        <v>2019. évi várható</v>
      </c>
      <c r="E95" s="125" t="str">
        <f>+E6</f>
        <v>2020. évi előirányzat</v>
      </c>
      <c r="F95" s="115"/>
    </row>
    <row r="96" spans="1:6" s="1" customFormat="1" ht="12" customHeight="1" thickBot="1">
      <c r="A96" s="29" t="s">
        <v>482</v>
      </c>
      <c r="B96" s="30" t="s">
        <v>483</v>
      </c>
      <c r="C96" s="30" t="s">
        <v>484</v>
      </c>
      <c r="D96" s="30" t="s">
        <v>486</v>
      </c>
      <c r="E96" s="386" t="s">
        <v>485</v>
      </c>
      <c r="F96" s="115"/>
    </row>
    <row r="97" spans="1:6" s="1" customFormat="1" ht="15" customHeight="1" thickBot="1">
      <c r="A97" s="22" t="s">
        <v>18</v>
      </c>
      <c r="B97" s="26" t="s">
        <v>426</v>
      </c>
      <c r="C97" s="336">
        <f>C98+C99+C100+C101+C102+C115</f>
        <v>255070448</v>
      </c>
      <c r="D97" s="336">
        <f>D98+D99+D100+D101+D102+D115</f>
        <v>274391576</v>
      </c>
      <c r="E97" s="423">
        <f>E98+E99+E100+E101+E102+E115</f>
        <v>324280327</v>
      </c>
      <c r="F97" s="115"/>
    </row>
    <row r="98" spans="1:5" s="1" customFormat="1" ht="12.75" customHeight="1">
      <c r="A98" s="17" t="s">
        <v>97</v>
      </c>
      <c r="B98" s="10" t="s">
        <v>48</v>
      </c>
      <c r="C98" s="430">
        <v>127259524</v>
      </c>
      <c r="D98" s="430">
        <f>45352752+55557132+37843691</f>
        <v>138753575</v>
      </c>
      <c r="E98" s="424">
        <v>166674261</v>
      </c>
    </row>
    <row r="99" spans="1:5" ht="16.5" customHeight="1">
      <c r="A99" s="14" t="s">
        <v>98</v>
      </c>
      <c r="B99" s="8" t="s">
        <v>176</v>
      </c>
      <c r="C99" s="338">
        <v>23969020</v>
      </c>
      <c r="D99" s="338">
        <f>7021041+10557379+7227830</f>
        <v>24806250</v>
      </c>
      <c r="E99" s="209">
        <v>30160158</v>
      </c>
    </row>
    <row r="100" spans="1:5" ht="15.75">
      <c r="A100" s="14" t="s">
        <v>99</v>
      </c>
      <c r="B100" s="8" t="s">
        <v>133</v>
      </c>
      <c r="C100" s="340">
        <v>60667776</v>
      </c>
      <c r="D100" s="340">
        <f>59193681+22189638+4914713</f>
        <v>86298032</v>
      </c>
      <c r="E100" s="211">
        <v>95366898</v>
      </c>
    </row>
    <row r="101" spans="1:5" s="35" customFormat="1" ht="12" customHeight="1">
      <c r="A101" s="14" t="s">
        <v>100</v>
      </c>
      <c r="B101" s="11" t="s">
        <v>177</v>
      </c>
      <c r="C101" s="340">
        <v>3530117</v>
      </c>
      <c r="D101" s="340">
        <v>1667282</v>
      </c>
      <c r="E101" s="211">
        <v>1834010</v>
      </c>
    </row>
    <row r="102" spans="1:5" ht="12" customHeight="1">
      <c r="A102" s="14" t="s">
        <v>111</v>
      </c>
      <c r="B102" s="19" t="s">
        <v>178</v>
      </c>
      <c r="C102" s="340">
        <v>39644011</v>
      </c>
      <c r="D102" s="340">
        <v>22866437</v>
      </c>
      <c r="E102" s="211">
        <v>27155000</v>
      </c>
    </row>
    <row r="103" spans="1:5" ht="12" customHeight="1">
      <c r="A103" s="14" t="s">
        <v>101</v>
      </c>
      <c r="B103" s="8" t="s">
        <v>431</v>
      </c>
      <c r="C103" s="340">
        <v>3471256</v>
      </c>
      <c r="D103" s="340">
        <v>231312</v>
      </c>
      <c r="E103" s="211">
        <v>3600000</v>
      </c>
    </row>
    <row r="104" spans="1:5" ht="12" customHeight="1">
      <c r="A104" s="14" t="s">
        <v>102</v>
      </c>
      <c r="B104" s="111" t="s">
        <v>430</v>
      </c>
      <c r="C104" s="340"/>
      <c r="D104" s="340"/>
      <c r="E104" s="211"/>
    </row>
    <row r="105" spans="1:5" ht="12" customHeight="1">
      <c r="A105" s="14" t="s">
        <v>112</v>
      </c>
      <c r="B105" s="111" t="s">
        <v>429</v>
      </c>
      <c r="C105" s="340"/>
      <c r="D105" s="340"/>
      <c r="E105" s="211"/>
    </row>
    <row r="106" spans="1:5" ht="12" customHeight="1">
      <c r="A106" s="14" t="s">
        <v>113</v>
      </c>
      <c r="B106" s="109" t="s">
        <v>341</v>
      </c>
      <c r="C106" s="340"/>
      <c r="D106" s="340"/>
      <c r="E106" s="211"/>
    </row>
    <row r="107" spans="1:5" ht="12" customHeight="1">
      <c r="A107" s="14" t="s">
        <v>114</v>
      </c>
      <c r="B107" s="110" t="s">
        <v>342</v>
      </c>
      <c r="C107" s="340"/>
      <c r="D107" s="340"/>
      <c r="E107" s="211"/>
    </row>
    <row r="108" spans="1:5" ht="12" customHeight="1">
      <c r="A108" s="14" t="s">
        <v>115</v>
      </c>
      <c r="B108" s="110" t="s">
        <v>343</v>
      </c>
      <c r="C108" s="340"/>
      <c r="D108" s="340"/>
      <c r="E108" s="211"/>
    </row>
    <row r="109" spans="1:5" ht="12" customHeight="1">
      <c r="A109" s="14" t="s">
        <v>117</v>
      </c>
      <c r="B109" s="109" t="s">
        <v>344</v>
      </c>
      <c r="C109" s="340">
        <v>31323932</v>
      </c>
      <c r="D109" s="340">
        <v>13988795</v>
      </c>
      <c r="E109" s="211">
        <v>13800000</v>
      </c>
    </row>
    <row r="110" spans="1:5" ht="12" customHeight="1">
      <c r="A110" s="14" t="s">
        <v>179</v>
      </c>
      <c r="B110" s="109" t="s">
        <v>345</v>
      </c>
      <c r="C110" s="340"/>
      <c r="D110" s="340"/>
      <c r="E110" s="211"/>
    </row>
    <row r="111" spans="1:5" ht="12" customHeight="1">
      <c r="A111" s="14" t="s">
        <v>339</v>
      </c>
      <c r="B111" s="110" t="s">
        <v>346</v>
      </c>
      <c r="C111" s="340">
        <v>4848823</v>
      </c>
      <c r="D111" s="340"/>
      <c r="E111" s="211"/>
    </row>
    <row r="112" spans="1:5" ht="12" customHeight="1">
      <c r="A112" s="13" t="s">
        <v>340</v>
      </c>
      <c r="B112" s="111" t="s">
        <v>347</v>
      </c>
      <c r="C112" s="340"/>
      <c r="D112" s="340"/>
      <c r="E112" s="211"/>
    </row>
    <row r="113" spans="1:5" ht="12" customHeight="1">
      <c r="A113" s="14" t="s">
        <v>427</v>
      </c>
      <c r="B113" s="111" t="s">
        <v>348</v>
      </c>
      <c r="C113" s="340"/>
      <c r="D113" s="340"/>
      <c r="E113" s="211"/>
    </row>
    <row r="114" spans="1:5" ht="12" customHeight="1">
      <c r="A114" s="16" t="s">
        <v>428</v>
      </c>
      <c r="B114" s="111" t="s">
        <v>349</v>
      </c>
      <c r="C114" s="340"/>
      <c r="D114" s="340">
        <v>8646330</v>
      </c>
      <c r="E114" s="211">
        <v>9755000</v>
      </c>
    </row>
    <row r="115" spans="1:5" ht="12" customHeight="1">
      <c r="A115" s="14" t="s">
        <v>432</v>
      </c>
      <c r="B115" s="11" t="s">
        <v>49</v>
      </c>
      <c r="C115" s="338"/>
      <c r="D115" s="338"/>
      <c r="E115" s="209">
        <v>3090000</v>
      </c>
    </row>
    <row r="116" spans="1:5" ht="12" customHeight="1">
      <c r="A116" s="14" t="s">
        <v>433</v>
      </c>
      <c r="B116" s="8" t="s">
        <v>435</v>
      </c>
      <c r="C116" s="338"/>
      <c r="D116" s="338"/>
      <c r="E116" s="209">
        <v>3090000</v>
      </c>
    </row>
    <row r="117" spans="1:5" ht="12" customHeight="1" thickBot="1">
      <c r="A117" s="18" t="s">
        <v>434</v>
      </c>
      <c r="B117" s="418" t="s">
        <v>436</v>
      </c>
      <c r="C117" s="431"/>
      <c r="D117" s="431"/>
      <c r="E117" s="425"/>
    </row>
    <row r="118" spans="1:5" ht="12" customHeight="1" thickBot="1">
      <c r="A118" s="415" t="s">
        <v>19</v>
      </c>
      <c r="B118" s="416" t="s">
        <v>350</v>
      </c>
      <c r="C118" s="432">
        <f>+C119+C121+C123</f>
        <v>58071626</v>
      </c>
      <c r="D118" s="432">
        <f>+D119+D121+D123</f>
        <v>384435312</v>
      </c>
      <c r="E118" s="426">
        <f>+E119+E121+E123</f>
        <v>270102257</v>
      </c>
    </row>
    <row r="119" spans="1:5" ht="12" customHeight="1">
      <c r="A119" s="15" t="s">
        <v>103</v>
      </c>
      <c r="B119" s="8" t="s">
        <v>222</v>
      </c>
      <c r="C119" s="339">
        <v>5140681</v>
      </c>
      <c r="D119" s="339">
        <f>30948255+1586383+237582</f>
        <v>32772220</v>
      </c>
      <c r="E119" s="210">
        <v>23270043</v>
      </c>
    </row>
    <row r="120" spans="1:5" ht="15.75">
      <c r="A120" s="15" t="s">
        <v>104</v>
      </c>
      <c r="B120" s="12" t="s">
        <v>354</v>
      </c>
      <c r="C120" s="339"/>
      <c r="D120" s="339"/>
      <c r="E120" s="210"/>
    </row>
    <row r="121" spans="1:5" ht="12" customHeight="1">
      <c r="A121" s="15" t="s">
        <v>105</v>
      </c>
      <c r="B121" s="12" t="s">
        <v>180</v>
      </c>
      <c r="C121" s="338">
        <v>52930945</v>
      </c>
      <c r="D121" s="338">
        <v>351663092</v>
      </c>
      <c r="E121" s="209">
        <v>246832214</v>
      </c>
    </row>
    <row r="122" spans="1:5" ht="12" customHeight="1">
      <c r="A122" s="15" t="s">
        <v>106</v>
      </c>
      <c r="B122" s="12" t="s">
        <v>355</v>
      </c>
      <c r="C122" s="338"/>
      <c r="D122" s="338"/>
      <c r="E122" s="209"/>
    </row>
    <row r="123" spans="1:5" ht="12" customHeight="1">
      <c r="A123" s="15" t="s">
        <v>107</v>
      </c>
      <c r="B123" s="238" t="s">
        <v>224</v>
      </c>
      <c r="C123" s="338"/>
      <c r="D123" s="338"/>
      <c r="E123" s="209"/>
    </row>
    <row r="124" spans="1:5" ht="12" customHeight="1">
      <c r="A124" s="15" t="s">
        <v>116</v>
      </c>
      <c r="B124" s="237" t="s">
        <v>417</v>
      </c>
      <c r="C124" s="338"/>
      <c r="D124" s="338"/>
      <c r="E124" s="209"/>
    </row>
    <row r="125" spans="1:5" ht="12" customHeight="1">
      <c r="A125" s="15" t="s">
        <v>118</v>
      </c>
      <c r="B125" s="350" t="s">
        <v>360</v>
      </c>
      <c r="C125" s="338"/>
      <c r="D125" s="338"/>
      <c r="E125" s="209"/>
    </row>
    <row r="126" spans="1:5" ht="12" customHeight="1">
      <c r="A126" s="15" t="s">
        <v>181</v>
      </c>
      <c r="B126" s="110" t="s">
        <v>343</v>
      </c>
      <c r="C126" s="338"/>
      <c r="D126" s="338"/>
      <c r="E126" s="209"/>
    </row>
    <row r="127" spans="1:5" ht="12" customHeight="1">
      <c r="A127" s="15" t="s">
        <v>182</v>
      </c>
      <c r="B127" s="110" t="s">
        <v>359</v>
      </c>
      <c r="C127" s="338"/>
      <c r="D127" s="338"/>
      <c r="E127" s="209"/>
    </row>
    <row r="128" spans="1:5" ht="12" customHeight="1">
      <c r="A128" s="15" t="s">
        <v>183</v>
      </c>
      <c r="B128" s="110" t="s">
        <v>358</v>
      </c>
      <c r="C128" s="338"/>
      <c r="D128" s="338"/>
      <c r="E128" s="209"/>
    </row>
    <row r="129" spans="1:5" ht="12" customHeight="1">
      <c r="A129" s="15" t="s">
        <v>351</v>
      </c>
      <c r="B129" s="110" t="s">
        <v>346</v>
      </c>
      <c r="C129" s="338"/>
      <c r="D129" s="338"/>
      <c r="E129" s="209"/>
    </row>
    <row r="130" spans="1:5" ht="12" customHeight="1">
      <c r="A130" s="15" t="s">
        <v>352</v>
      </c>
      <c r="B130" s="110" t="s">
        <v>357</v>
      </c>
      <c r="C130" s="338"/>
      <c r="D130" s="338"/>
      <c r="E130" s="209"/>
    </row>
    <row r="131" spans="1:5" ht="12" customHeight="1" thickBot="1">
      <c r="A131" s="13" t="s">
        <v>353</v>
      </c>
      <c r="B131" s="110" t="s">
        <v>356</v>
      </c>
      <c r="C131" s="340"/>
      <c r="D131" s="340"/>
      <c r="E131" s="211"/>
    </row>
    <row r="132" spans="1:5" ht="12" customHeight="1" thickBot="1">
      <c r="A132" s="20" t="s">
        <v>20</v>
      </c>
      <c r="B132" s="91" t="s">
        <v>437</v>
      </c>
      <c r="C132" s="337">
        <f>+C97+C118</f>
        <v>313142074</v>
      </c>
      <c r="D132" s="337">
        <f>+D97+D118</f>
        <v>658826888</v>
      </c>
      <c r="E132" s="208">
        <f>+E97+E118</f>
        <v>594382584</v>
      </c>
    </row>
    <row r="133" spans="1:5" ht="12" customHeight="1" thickBot="1">
      <c r="A133" s="20" t="s">
        <v>21</v>
      </c>
      <c r="B133" s="91" t="s">
        <v>438</v>
      </c>
      <c r="C133" s="337">
        <f>+C134+C135+C136</f>
        <v>0</v>
      </c>
      <c r="D133" s="337">
        <f>+D134+D135+D136</f>
        <v>0</v>
      </c>
      <c r="E133" s="208">
        <f>+E134+E135+E136</f>
        <v>0</v>
      </c>
    </row>
    <row r="134" spans="1:5" ht="12" customHeight="1">
      <c r="A134" s="15" t="s">
        <v>260</v>
      </c>
      <c r="B134" s="12" t="s">
        <v>445</v>
      </c>
      <c r="C134" s="338"/>
      <c r="D134" s="338"/>
      <c r="E134" s="209"/>
    </row>
    <row r="135" spans="1:5" ht="12" customHeight="1">
      <c r="A135" s="15" t="s">
        <v>261</v>
      </c>
      <c r="B135" s="12" t="s">
        <v>446</v>
      </c>
      <c r="C135" s="338"/>
      <c r="D135" s="338"/>
      <c r="E135" s="209"/>
    </row>
    <row r="136" spans="1:5" ht="12" customHeight="1" thickBot="1">
      <c r="A136" s="13" t="s">
        <v>262</v>
      </c>
      <c r="B136" s="12" t="s">
        <v>447</v>
      </c>
      <c r="C136" s="338"/>
      <c r="D136" s="338"/>
      <c r="E136" s="209"/>
    </row>
    <row r="137" spans="1:5" ht="12" customHeight="1" thickBot="1">
      <c r="A137" s="20" t="s">
        <v>22</v>
      </c>
      <c r="B137" s="91" t="s">
        <v>439</v>
      </c>
      <c r="C137" s="337">
        <f>SUM(C138:C143)</f>
        <v>0</v>
      </c>
      <c r="D137" s="337">
        <f>SUM(D138:D143)</f>
        <v>0</v>
      </c>
      <c r="E137" s="208">
        <f>SUM(E138:E143)</f>
        <v>0</v>
      </c>
    </row>
    <row r="138" spans="1:5" ht="12" customHeight="1">
      <c r="A138" s="15" t="s">
        <v>90</v>
      </c>
      <c r="B138" s="9" t="s">
        <v>448</v>
      </c>
      <c r="C138" s="338"/>
      <c r="D138" s="338"/>
      <c r="E138" s="209"/>
    </row>
    <row r="139" spans="1:5" ht="12" customHeight="1">
      <c r="A139" s="15" t="s">
        <v>91</v>
      </c>
      <c r="B139" s="9" t="s">
        <v>440</v>
      </c>
      <c r="C139" s="338"/>
      <c r="D139" s="338"/>
      <c r="E139" s="209"/>
    </row>
    <row r="140" spans="1:5" ht="12" customHeight="1">
      <c r="A140" s="15" t="s">
        <v>92</v>
      </c>
      <c r="B140" s="9" t="s">
        <v>441</v>
      </c>
      <c r="C140" s="338"/>
      <c r="D140" s="338"/>
      <c r="E140" s="209"/>
    </row>
    <row r="141" spans="1:5" ht="12" customHeight="1">
      <c r="A141" s="15" t="s">
        <v>168</v>
      </c>
      <c r="B141" s="9" t="s">
        <v>442</v>
      </c>
      <c r="C141" s="338"/>
      <c r="D141" s="338"/>
      <c r="E141" s="209"/>
    </row>
    <row r="142" spans="1:5" ht="12" customHeight="1">
      <c r="A142" s="15" t="s">
        <v>169</v>
      </c>
      <c r="B142" s="9" t="s">
        <v>443</v>
      </c>
      <c r="C142" s="338"/>
      <c r="D142" s="338"/>
      <c r="E142" s="209"/>
    </row>
    <row r="143" spans="1:5" ht="12" customHeight="1" thickBot="1">
      <c r="A143" s="13" t="s">
        <v>170</v>
      </c>
      <c r="B143" s="9" t="s">
        <v>444</v>
      </c>
      <c r="C143" s="338"/>
      <c r="D143" s="338"/>
      <c r="E143" s="209"/>
    </row>
    <row r="144" spans="1:5" ht="12" customHeight="1" thickBot="1">
      <c r="A144" s="20" t="s">
        <v>23</v>
      </c>
      <c r="B144" s="91" t="s">
        <v>452</v>
      </c>
      <c r="C144" s="344">
        <f>+C145+C146+C147+C148</f>
        <v>5486454</v>
      </c>
      <c r="D144" s="344">
        <f>+D145+D146+D147+D148</f>
        <v>0</v>
      </c>
      <c r="E144" s="385">
        <f>+E145+E146+E147+E148</f>
        <v>6385218</v>
      </c>
    </row>
    <row r="145" spans="1:5" ht="12" customHeight="1">
      <c r="A145" s="15" t="s">
        <v>93</v>
      </c>
      <c r="B145" s="9" t="s">
        <v>361</v>
      </c>
      <c r="C145" s="338"/>
      <c r="D145" s="338"/>
      <c r="E145" s="209"/>
    </row>
    <row r="146" spans="1:5" ht="12" customHeight="1">
      <c r="A146" s="15" t="s">
        <v>94</v>
      </c>
      <c r="B146" s="9" t="s">
        <v>362</v>
      </c>
      <c r="C146" s="338">
        <v>5486454</v>
      </c>
      <c r="D146" s="338"/>
      <c r="E146" s="209">
        <v>6385218</v>
      </c>
    </row>
    <row r="147" spans="1:5" ht="12" customHeight="1">
      <c r="A147" s="15" t="s">
        <v>278</v>
      </c>
      <c r="B147" s="9" t="s">
        <v>453</v>
      </c>
      <c r="C147" s="338"/>
      <c r="D147" s="338"/>
      <c r="E147" s="209"/>
    </row>
    <row r="148" spans="1:5" ht="12" customHeight="1" thickBot="1">
      <c r="A148" s="13" t="s">
        <v>279</v>
      </c>
      <c r="B148" s="7" t="s">
        <v>380</v>
      </c>
      <c r="C148" s="338"/>
      <c r="D148" s="338"/>
      <c r="E148" s="209"/>
    </row>
    <row r="149" spans="1:5" ht="12" customHeight="1" thickBot="1">
      <c r="A149" s="20" t="s">
        <v>24</v>
      </c>
      <c r="B149" s="91" t="s">
        <v>454</v>
      </c>
      <c r="C149" s="433">
        <f>SUM(C150:C154)</f>
        <v>0</v>
      </c>
      <c r="D149" s="433">
        <f>SUM(D150:D154)</f>
        <v>0</v>
      </c>
      <c r="E149" s="427">
        <f>SUM(E150:E154)</f>
        <v>0</v>
      </c>
    </row>
    <row r="150" spans="1:5" ht="12" customHeight="1">
      <c r="A150" s="15" t="s">
        <v>95</v>
      </c>
      <c r="B150" s="9" t="s">
        <v>449</v>
      </c>
      <c r="C150" s="338"/>
      <c r="D150" s="338"/>
      <c r="E150" s="209"/>
    </row>
    <row r="151" spans="1:5" ht="12" customHeight="1">
      <c r="A151" s="15" t="s">
        <v>96</v>
      </c>
      <c r="B151" s="9" t="s">
        <v>456</v>
      </c>
      <c r="C151" s="338"/>
      <c r="D151" s="338"/>
      <c r="E151" s="209"/>
    </row>
    <row r="152" spans="1:5" ht="12" customHeight="1">
      <c r="A152" s="15" t="s">
        <v>290</v>
      </c>
      <c r="B152" s="9" t="s">
        <v>451</v>
      </c>
      <c r="C152" s="338"/>
      <c r="D152" s="338"/>
      <c r="E152" s="209"/>
    </row>
    <row r="153" spans="1:5" ht="12" customHeight="1">
      <c r="A153" s="15" t="s">
        <v>291</v>
      </c>
      <c r="B153" s="9" t="s">
        <v>457</v>
      </c>
      <c r="C153" s="338"/>
      <c r="D153" s="338"/>
      <c r="E153" s="209"/>
    </row>
    <row r="154" spans="1:5" ht="12" customHeight="1" thickBot="1">
      <c r="A154" s="15" t="s">
        <v>455</v>
      </c>
      <c r="B154" s="9" t="s">
        <v>458</v>
      </c>
      <c r="C154" s="338"/>
      <c r="D154" s="338"/>
      <c r="E154" s="209"/>
    </row>
    <row r="155" spans="1:5" ht="12" customHeight="1" thickBot="1">
      <c r="A155" s="20" t="s">
        <v>25</v>
      </c>
      <c r="B155" s="91" t="s">
        <v>459</v>
      </c>
      <c r="C155" s="434"/>
      <c r="D155" s="434"/>
      <c r="E155" s="428"/>
    </row>
    <row r="156" spans="1:5" ht="12" customHeight="1" thickBot="1">
      <c r="A156" s="20" t="s">
        <v>26</v>
      </c>
      <c r="B156" s="91" t="s">
        <v>460</v>
      </c>
      <c r="C156" s="434"/>
      <c r="D156" s="434"/>
      <c r="E156" s="428"/>
    </row>
    <row r="157" spans="1:6" ht="15" customHeight="1" thickBot="1">
      <c r="A157" s="20" t="s">
        <v>27</v>
      </c>
      <c r="B157" s="91" t="s">
        <v>462</v>
      </c>
      <c r="C157" s="435">
        <f>+C133+C137+C144+C149+C155+C156</f>
        <v>5486454</v>
      </c>
      <c r="D157" s="435">
        <f>+D133+D137+D144+D149+D155+D156</f>
        <v>0</v>
      </c>
      <c r="E157" s="429">
        <f>+E133+E137+E144+E149+E155+E156</f>
        <v>6385218</v>
      </c>
      <c r="F157" s="92"/>
    </row>
    <row r="158" spans="1:5" s="1" customFormat="1" ht="12.75" customHeight="1" thickBot="1">
      <c r="A158" s="239" t="s">
        <v>28</v>
      </c>
      <c r="B158" s="320" t="s">
        <v>461</v>
      </c>
      <c r="C158" s="435">
        <f>+C132+C157</f>
        <v>318628528</v>
      </c>
      <c r="D158" s="435">
        <f>+D132+D157</f>
        <v>658826888</v>
      </c>
      <c r="E158" s="429">
        <f>+E132+E157</f>
        <v>600767802</v>
      </c>
    </row>
    <row r="159" spans="3:5" ht="15.75">
      <c r="C159" s="323"/>
      <c r="E159" s="576">
        <f>E91-E158</f>
        <v>0</v>
      </c>
    </row>
    <row r="160" ht="15.75">
      <c r="C160" s="323"/>
    </row>
    <row r="161" ht="15.75">
      <c r="C161" s="323"/>
    </row>
    <row r="162" ht="16.5" customHeight="1">
      <c r="C162" s="323"/>
    </row>
    <row r="163" ht="15.75">
      <c r="C163" s="323"/>
    </row>
    <row r="164" ht="15.75">
      <c r="C164" s="323"/>
    </row>
    <row r="165" ht="15.75">
      <c r="C165" s="323"/>
    </row>
    <row r="166" ht="15.75">
      <c r="C166" s="323"/>
    </row>
    <row r="167" ht="15.75">
      <c r="C167" s="323"/>
    </row>
    <row r="168" ht="15.75">
      <c r="C168" s="323"/>
    </row>
    <row r="169" ht="15.75">
      <c r="C169" s="323"/>
    </row>
    <row r="170" ht="15.75">
      <c r="C170" s="323"/>
    </row>
    <row r="171" ht="15.75">
      <c r="C171" s="323"/>
    </row>
  </sheetData>
  <sheetProtection/>
  <mergeCells count="6">
    <mergeCell ref="A4:E4"/>
    <mergeCell ref="A93:E93"/>
    <mergeCell ref="A94:B94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0" fitToWidth="1" horizontalDpi="600" verticalDpi="600" orientation="portrait" paperSize="9" scale="72" r:id="rId1"/>
  <rowBreaks count="1" manualBreakCount="1">
    <brk id="92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6.875" style="149" customWidth="1"/>
    <col min="2" max="2" width="42.875" style="41" customWidth="1"/>
    <col min="3" max="8" width="12.875" style="41" customWidth="1"/>
    <col min="9" max="9" width="14.375" style="41" customWidth="1"/>
    <col min="10" max="10" width="4.375" style="41" customWidth="1"/>
    <col min="11" max="16384" width="9.375" style="41" customWidth="1"/>
  </cols>
  <sheetData>
    <row r="1" spans="1:10" ht="27.75" customHeight="1">
      <c r="A1" s="807" t="s">
        <v>4</v>
      </c>
      <c r="B1" s="807"/>
      <c r="C1" s="807"/>
      <c r="D1" s="807"/>
      <c r="E1" s="807"/>
      <c r="F1" s="807"/>
      <c r="G1" s="807"/>
      <c r="H1" s="807"/>
      <c r="I1" s="807"/>
      <c r="J1" s="806" t="str">
        <f>CONCATENATE("2. tájékoztató tábla ",ALAPADATOK!A7," ",ALAPADATOK!B7," ",ALAPADATOK!C7," ",ALAPADATOK!D7," ",ALAPADATOK!E7," ",ALAPADATOK!F7," ",ALAPADATOK!G7," ",ALAPADATOK!H7)</f>
        <v>2. tájékoztató tábla a  / 2020 (  ) önkormányzati rendelethez</v>
      </c>
    </row>
    <row r="2" spans="9:10" ht="20.25" customHeight="1" thickBot="1">
      <c r="I2" s="408" t="str">
        <f>'3 év tájékoztató'!E5</f>
        <v>Ft-ban</v>
      </c>
      <c r="J2" s="806"/>
    </row>
    <row r="3" spans="1:10" s="409" customFormat="1" ht="26.25" customHeight="1">
      <c r="A3" s="815" t="s">
        <v>68</v>
      </c>
      <c r="B3" s="810" t="s">
        <v>84</v>
      </c>
      <c r="C3" s="815" t="s">
        <v>85</v>
      </c>
      <c r="D3" s="815" t="str">
        <f>+CONCATENATE(LEFT(KV_ÖSSZEFÜGGÉSEK!A5,4)," előtti kifizetés")</f>
        <v>2020 előtti kifizetés</v>
      </c>
      <c r="E3" s="812" t="s">
        <v>67</v>
      </c>
      <c r="F3" s="813"/>
      <c r="G3" s="813"/>
      <c r="H3" s="814"/>
      <c r="I3" s="810" t="s">
        <v>50</v>
      </c>
      <c r="J3" s="806"/>
    </row>
    <row r="4" spans="1:10" s="410" customFormat="1" ht="32.25" customHeight="1" thickBot="1">
      <c r="A4" s="816"/>
      <c r="B4" s="811"/>
      <c r="C4" s="811"/>
      <c r="D4" s="816"/>
      <c r="E4" s="214" t="str">
        <f>+CONCATENATE(LEFT(KV_ÖSSZEFÜGGÉSEK!A5,4),".")</f>
        <v>2020.</v>
      </c>
      <c r="F4" s="214" t="str">
        <f>+CONCATENATE(LEFT(KV_ÖSSZEFÜGGÉSEK!A5,4)+1,".")</f>
        <v>2021.</v>
      </c>
      <c r="G4" s="214" t="str">
        <f>+CONCATENATE(LEFT(KV_ÖSSZEFÜGGÉSEK!A5,4)+2,".")</f>
        <v>2022.</v>
      </c>
      <c r="H4" s="215" t="str">
        <f>+CONCATENATE(LEFT(KV_ÖSSZEFÜGGÉSEK!A5,4)+2,".",CHAR(10)," után")</f>
        <v>2022.
 után</v>
      </c>
      <c r="I4" s="811"/>
      <c r="J4" s="806"/>
    </row>
    <row r="5" spans="1:10" s="411" customFormat="1" ht="12.75" customHeight="1" thickBot="1">
      <c r="A5" s="216" t="s">
        <v>482</v>
      </c>
      <c r="B5" s="217" t="s">
        <v>483</v>
      </c>
      <c r="C5" s="218" t="s">
        <v>484</v>
      </c>
      <c r="D5" s="217" t="s">
        <v>486</v>
      </c>
      <c r="E5" s="216" t="s">
        <v>485</v>
      </c>
      <c r="F5" s="218" t="s">
        <v>487</v>
      </c>
      <c r="G5" s="218" t="s">
        <v>488</v>
      </c>
      <c r="H5" s="219" t="s">
        <v>489</v>
      </c>
      <c r="I5" s="220" t="s">
        <v>490</v>
      </c>
      <c r="J5" s="806"/>
    </row>
    <row r="6" spans="1:10" ht="24.75" customHeight="1" thickBot="1">
      <c r="A6" s="221" t="s">
        <v>18</v>
      </c>
      <c r="B6" s="222" t="s">
        <v>5</v>
      </c>
      <c r="C6" s="458"/>
      <c r="D6" s="459">
        <f>+D7+D8</f>
        <v>0</v>
      </c>
      <c r="E6" s="460">
        <f>+E7+E8</f>
        <v>0</v>
      </c>
      <c r="F6" s="461">
        <f>+F7+F8</f>
        <v>0</v>
      </c>
      <c r="G6" s="461">
        <f>+G7+G8</f>
        <v>0</v>
      </c>
      <c r="H6" s="462">
        <f>+H7+H8</f>
        <v>0</v>
      </c>
      <c r="I6" s="44">
        <f aca="true" t="shared" si="0" ref="I6:I17">SUM(D6:H6)</f>
        <v>0</v>
      </c>
      <c r="J6" s="806"/>
    </row>
    <row r="7" spans="1:10" ht="19.5" customHeight="1">
      <c r="A7" s="223" t="s">
        <v>19</v>
      </c>
      <c r="B7" s="45" t="s">
        <v>69</v>
      </c>
      <c r="C7" s="463"/>
      <c r="D7" s="464"/>
      <c r="E7" s="465"/>
      <c r="F7" s="466"/>
      <c r="G7" s="466"/>
      <c r="H7" s="467"/>
      <c r="I7" s="224">
        <f t="shared" si="0"/>
        <v>0</v>
      </c>
      <c r="J7" s="806"/>
    </row>
    <row r="8" spans="1:10" ht="19.5" customHeight="1" thickBot="1">
      <c r="A8" s="223" t="s">
        <v>20</v>
      </c>
      <c r="B8" s="45" t="s">
        <v>69</v>
      </c>
      <c r="C8" s="463"/>
      <c r="D8" s="464"/>
      <c r="E8" s="465"/>
      <c r="F8" s="466"/>
      <c r="G8" s="466"/>
      <c r="H8" s="467"/>
      <c r="I8" s="224">
        <f t="shared" si="0"/>
        <v>0</v>
      </c>
      <c r="J8" s="806"/>
    </row>
    <row r="9" spans="1:10" ht="25.5" customHeight="1" thickBot="1">
      <c r="A9" s="221" t="s">
        <v>21</v>
      </c>
      <c r="B9" s="222" t="s">
        <v>6</v>
      </c>
      <c r="C9" s="458"/>
      <c r="D9" s="459">
        <f>+D10+D11</f>
        <v>0</v>
      </c>
      <c r="E9" s="460">
        <f>+E10+E11</f>
        <v>0</v>
      </c>
      <c r="F9" s="461">
        <f>+F10+F11</f>
        <v>0</v>
      </c>
      <c r="G9" s="461">
        <f>+G10+G11</f>
        <v>0</v>
      </c>
      <c r="H9" s="462">
        <f>+H10+H11</f>
        <v>0</v>
      </c>
      <c r="I9" s="44">
        <f t="shared" si="0"/>
        <v>0</v>
      </c>
      <c r="J9" s="806"/>
    </row>
    <row r="10" spans="1:10" ht="19.5" customHeight="1">
      <c r="A10" s="223" t="s">
        <v>22</v>
      </c>
      <c r="B10" s="45" t="s">
        <v>69</v>
      </c>
      <c r="C10" s="463"/>
      <c r="D10" s="464"/>
      <c r="E10" s="465"/>
      <c r="F10" s="466"/>
      <c r="G10" s="466"/>
      <c r="H10" s="467"/>
      <c r="I10" s="224">
        <f t="shared" si="0"/>
        <v>0</v>
      </c>
      <c r="J10" s="806"/>
    </row>
    <row r="11" spans="1:10" ht="19.5" customHeight="1" thickBot="1">
      <c r="A11" s="223" t="s">
        <v>23</v>
      </c>
      <c r="B11" s="45" t="s">
        <v>69</v>
      </c>
      <c r="C11" s="463"/>
      <c r="D11" s="464"/>
      <c r="E11" s="465"/>
      <c r="F11" s="466"/>
      <c r="G11" s="466"/>
      <c r="H11" s="467"/>
      <c r="I11" s="224">
        <f t="shared" si="0"/>
        <v>0</v>
      </c>
      <c r="J11" s="806"/>
    </row>
    <row r="12" spans="1:10" ht="19.5" customHeight="1" thickBot="1">
      <c r="A12" s="221" t="s">
        <v>24</v>
      </c>
      <c r="B12" s="222" t="s">
        <v>199</v>
      </c>
      <c r="C12" s="458"/>
      <c r="D12" s="459">
        <f>+D13</f>
        <v>0</v>
      </c>
      <c r="E12" s="460">
        <f>+E13</f>
        <v>0</v>
      </c>
      <c r="F12" s="461">
        <f>+F13</f>
        <v>0</v>
      </c>
      <c r="G12" s="461">
        <f>+G13</f>
        <v>0</v>
      </c>
      <c r="H12" s="462">
        <f>+H13</f>
        <v>0</v>
      </c>
      <c r="I12" s="44">
        <f t="shared" si="0"/>
        <v>0</v>
      </c>
      <c r="J12" s="806"/>
    </row>
    <row r="13" spans="1:10" ht="19.5" customHeight="1" thickBot="1">
      <c r="A13" s="223" t="s">
        <v>25</v>
      </c>
      <c r="B13" s="45" t="s">
        <v>69</v>
      </c>
      <c r="C13" s="463"/>
      <c r="D13" s="464"/>
      <c r="E13" s="465"/>
      <c r="F13" s="466"/>
      <c r="G13" s="466"/>
      <c r="H13" s="467"/>
      <c r="I13" s="224">
        <f t="shared" si="0"/>
        <v>0</v>
      </c>
      <c r="J13" s="806"/>
    </row>
    <row r="14" spans="1:10" ht="19.5" customHeight="1" thickBot="1">
      <c r="A14" s="221" t="s">
        <v>26</v>
      </c>
      <c r="B14" s="222" t="s">
        <v>200</v>
      </c>
      <c r="C14" s="458"/>
      <c r="D14" s="459">
        <f>+D15</f>
        <v>0</v>
      </c>
      <c r="E14" s="460">
        <f>+E15</f>
        <v>0</v>
      </c>
      <c r="F14" s="461">
        <f>+F15</f>
        <v>0</v>
      </c>
      <c r="G14" s="461">
        <f>+G15</f>
        <v>0</v>
      </c>
      <c r="H14" s="462">
        <f>+H15</f>
        <v>0</v>
      </c>
      <c r="I14" s="44">
        <f t="shared" si="0"/>
        <v>0</v>
      </c>
      <c r="J14" s="806"/>
    </row>
    <row r="15" spans="1:10" ht="19.5" customHeight="1" thickBot="1">
      <c r="A15" s="225" t="s">
        <v>27</v>
      </c>
      <c r="B15" s="46" t="s">
        <v>69</v>
      </c>
      <c r="C15" s="468"/>
      <c r="D15" s="469"/>
      <c r="E15" s="470"/>
      <c r="F15" s="471"/>
      <c r="G15" s="471"/>
      <c r="H15" s="472"/>
      <c r="I15" s="226">
        <f t="shared" si="0"/>
        <v>0</v>
      </c>
      <c r="J15" s="806"/>
    </row>
    <row r="16" spans="1:10" ht="19.5" customHeight="1" thickBot="1">
      <c r="A16" s="221" t="s">
        <v>28</v>
      </c>
      <c r="B16" s="227" t="s">
        <v>201</v>
      </c>
      <c r="C16" s="458"/>
      <c r="D16" s="459">
        <f>+D17</f>
        <v>0</v>
      </c>
      <c r="E16" s="460">
        <f>+E17</f>
        <v>0</v>
      </c>
      <c r="F16" s="461">
        <f>+F17</f>
        <v>0</v>
      </c>
      <c r="G16" s="461">
        <f>+G17</f>
        <v>0</v>
      </c>
      <c r="H16" s="462">
        <f>+H17</f>
        <v>0</v>
      </c>
      <c r="I16" s="44">
        <f t="shared" si="0"/>
        <v>0</v>
      </c>
      <c r="J16" s="806"/>
    </row>
    <row r="17" spans="1:10" ht="19.5" customHeight="1" thickBot="1">
      <c r="A17" s="228" t="s">
        <v>29</v>
      </c>
      <c r="B17" s="47" t="s">
        <v>69</v>
      </c>
      <c r="C17" s="473"/>
      <c r="D17" s="474"/>
      <c r="E17" s="475"/>
      <c r="F17" s="476"/>
      <c r="G17" s="476"/>
      <c r="H17" s="477"/>
      <c r="I17" s="229">
        <f t="shared" si="0"/>
        <v>0</v>
      </c>
      <c r="J17" s="806"/>
    </row>
    <row r="18" spans="1:10" ht="19.5" customHeight="1" thickBot="1">
      <c r="A18" s="808" t="s">
        <v>139</v>
      </c>
      <c r="B18" s="809"/>
      <c r="C18" s="478"/>
      <c r="D18" s="459">
        <f aca="true" t="shared" si="1" ref="D18:I18">+D6+D9+D12+D14+D16</f>
        <v>0</v>
      </c>
      <c r="E18" s="460">
        <f t="shared" si="1"/>
        <v>0</v>
      </c>
      <c r="F18" s="461">
        <f t="shared" si="1"/>
        <v>0</v>
      </c>
      <c r="G18" s="461">
        <f t="shared" si="1"/>
        <v>0</v>
      </c>
      <c r="H18" s="462">
        <f t="shared" si="1"/>
        <v>0</v>
      </c>
      <c r="I18" s="44">
        <f t="shared" si="1"/>
        <v>0</v>
      </c>
      <c r="J18" s="806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5.875" style="61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575" t="str">
        <f>CONCATENATE("3. tájékoztató tábla ",ALAPADATOK!A7," ",ALAPADATOK!B7," ",ALAPADATOK!C7," ",ALAPADATOK!D7," ",ALAPADATOK!E7," ",ALAPADATOK!F7," ",ALAPADATOK!G7," ",ALAPADATOK!H7)</f>
        <v>3. tájékoztató tábla a  / 2020 (  ) önkormányzati rendelethez</v>
      </c>
    </row>
    <row r="3" spans="2:4" ht="31.5" customHeight="1">
      <c r="B3" s="818" t="s">
        <v>7</v>
      </c>
      <c r="C3" s="818"/>
      <c r="D3" s="818"/>
    </row>
    <row r="4" spans="1:4" s="49" customFormat="1" ht="16.5" thickBot="1">
      <c r="A4" s="48"/>
      <c r="B4" s="318"/>
      <c r="D4" s="37" t="str">
        <f>'KV_2.sz.tájékoztató_t.'!I2</f>
        <v>Ft-ban</v>
      </c>
    </row>
    <row r="5" spans="1:4" s="51" customFormat="1" ht="48" customHeight="1" thickBot="1">
      <c r="A5" s="50" t="s">
        <v>16</v>
      </c>
      <c r="B5" s="153" t="s">
        <v>17</v>
      </c>
      <c r="C5" s="153" t="s">
        <v>70</v>
      </c>
      <c r="D5" s="154" t="s">
        <v>71</v>
      </c>
    </row>
    <row r="6" spans="1:4" s="51" customFormat="1" ht="13.5" customHeight="1" thickBot="1">
      <c r="A6" s="31" t="s">
        <v>482</v>
      </c>
      <c r="B6" s="156" t="s">
        <v>483</v>
      </c>
      <c r="C6" s="156" t="s">
        <v>484</v>
      </c>
      <c r="D6" s="157" t="s">
        <v>486</v>
      </c>
    </row>
    <row r="7" spans="1:4" ht="18" customHeight="1">
      <c r="A7" s="101" t="s">
        <v>18</v>
      </c>
      <c r="B7" s="158" t="s">
        <v>160</v>
      </c>
      <c r="C7" s="99"/>
      <c r="D7" s="52"/>
    </row>
    <row r="8" spans="1:4" ht="18" customHeight="1">
      <c r="A8" s="53" t="s">
        <v>19</v>
      </c>
      <c r="B8" s="159" t="s">
        <v>161</v>
      </c>
      <c r="C8" s="100"/>
      <c r="D8" s="55"/>
    </row>
    <row r="9" spans="1:4" ht="18" customHeight="1">
      <c r="A9" s="53" t="s">
        <v>20</v>
      </c>
      <c r="B9" s="159" t="s">
        <v>119</v>
      </c>
      <c r="C9" s="100"/>
      <c r="D9" s="55"/>
    </row>
    <row r="10" spans="1:4" ht="18" customHeight="1">
      <c r="A10" s="53" t="s">
        <v>21</v>
      </c>
      <c r="B10" s="159" t="s">
        <v>120</v>
      </c>
      <c r="C10" s="100"/>
      <c r="D10" s="55"/>
    </row>
    <row r="11" spans="1:4" ht="18" customHeight="1">
      <c r="A11" s="53" t="s">
        <v>22</v>
      </c>
      <c r="B11" s="159" t="s">
        <v>153</v>
      </c>
      <c r="C11" s="100"/>
      <c r="D11" s="55"/>
    </row>
    <row r="12" spans="1:4" ht="18" customHeight="1">
      <c r="A12" s="53" t="s">
        <v>23</v>
      </c>
      <c r="B12" s="159" t="s">
        <v>154</v>
      </c>
      <c r="C12" s="100"/>
      <c r="D12" s="55"/>
    </row>
    <row r="13" spans="1:4" ht="18" customHeight="1">
      <c r="A13" s="53" t="s">
        <v>24</v>
      </c>
      <c r="B13" s="160" t="s">
        <v>155</v>
      </c>
      <c r="C13" s="100"/>
      <c r="D13" s="55"/>
    </row>
    <row r="14" spans="1:4" ht="18" customHeight="1">
      <c r="A14" s="53" t="s">
        <v>26</v>
      </c>
      <c r="B14" s="160" t="s">
        <v>156</v>
      </c>
      <c r="C14" s="100"/>
      <c r="D14" s="55"/>
    </row>
    <row r="15" spans="1:4" ht="18" customHeight="1">
      <c r="A15" s="53" t="s">
        <v>27</v>
      </c>
      <c r="B15" s="160" t="s">
        <v>157</v>
      </c>
      <c r="C15" s="100"/>
      <c r="D15" s="55"/>
    </row>
    <row r="16" spans="1:4" ht="18" customHeight="1">
      <c r="A16" s="53" t="s">
        <v>28</v>
      </c>
      <c r="B16" s="160" t="s">
        <v>158</v>
      </c>
      <c r="C16" s="100"/>
      <c r="D16" s="55"/>
    </row>
    <row r="17" spans="1:4" ht="22.5" customHeight="1">
      <c r="A17" s="53" t="s">
        <v>29</v>
      </c>
      <c r="B17" s="160" t="s">
        <v>159</v>
      </c>
      <c r="C17" s="100"/>
      <c r="D17" s="55"/>
    </row>
    <row r="18" spans="1:4" ht="18" customHeight="1">
      <c r="A18" s="53" t="s">
        <v>30</v>
      </c>
      <c r="B18" s="159" t="s">
        <v>121</v>
      </c>
      <c r="C18" s="100"/>
      <c r="D18" s="55"/>
    </row>
    <row r="19" spans="1:4" ht="18" customHeight="1">
      <c r="A19" s="53" t="s">
        <v>31</v>
      </c>
      <c r="B19" s="159" t="s">
        <v>9</v>
      </c>
      <c r="C19" s="100"/>
      <c r="D19" s="55"/>
    </row>
    <row r="20" spans="1:4" ht="18" customHeight="1">
      <c r="A20" s="53" t="s">
        <v>32</v>
      </c>
      <c r="B20" s="159" t="s">
        <v>8</v>
      </c>
      <c r="C20" s="100"/>
      <c r="D20" s="55"/>
    </row>
    <row r="21" spans="1:4" ht="18" customHeight="1">
      <c r="A21" s="53" t="s">
        <v>33</v>
      </c>
      <c r="B21" s="159" t="s">
        <v>122</v>
      </c>
      <c r="C21" s="100"/>
      <c r="D21" s="55"/>
    </row>
    <row r="22" spans="1:4" ht="18" customHeight="1">
      <c r="A22" s="53" t="s">
        <v>34</v>
      </c>
      <c r="B22" s="159" t="s">
        <v>123</v>
      </c>
      <c r="C22" s="100"/>
      <c r="D22" s="55"/>
    </row>
    <row r="23" spans="1:4" ht="18" customHeight="1">
      <c r="A23" s="53" t="s">
        <v>35</v>
      </c>
      <c r="B23" s="90"/>
      <c r="C23" s="54"/>
      <c r="D23" s="55"/>
    </row>
    <row r="24" spans="1:4" ht="18" customHeight="1">
      <c r="A24" s="53" t="s">
        <v>36</v>
      </c>
      <c r="B24" s="56"/>
      <c r="C24" s="54"/>
      <c r="D24" s="55"/>
    </row>
    <row r="25" spans="1:4" ht="18" customHeight="1">
      <c r="A25" s="53" t="s">
        <v>37</v>
      </c>
      <c r="B25" s="56"/>
      <c r="C25" s="54"/>
      <c r="D25" s="55"/>
    </row>
    <row r="26" spans="1:4" ht="18" customHeight="1">
      <c r="A26" s="53" t="s">
        <v>38</v>
      </c>
      <c r="B26" s="56"/>
      <c r="C26" s="54"/>
      <c r="D26" s="55"/>
    </row>
    <row r="27" spans="1:4" ht="18" customHeight="1">
      <c r="A27" s="53" t="s">
        <v>39</v>
      </c>
      <c r="B27" s="56"/>
      <c r="C27" s="54"/>
      <c r="D27" s="55"/>
    </row>
    <row r="28" spans="1:4" ht="18" customHeight="1">
      <c r="A28" s="53" t="s">
        <v>40</v>
      </c>
      <c r="B28" s="56"/>
      <c r="C28" s="54"/>
      <c r="D28" s="55"/>
    </row>
    <row r="29" spans="1:4" ht="18" customHeight="1">
      <c r="A29" s="53" t="s">
        <v>41</v>
      </c>
      <c r="B29" s="56"/>
      <c r="C29" s="54"/>
      <c r="D29" s="55"/>
    </row>
    <row r="30" spans="1:4" ht="18" customHeight="1">
      <c r="A30" s="53" t="s">
        <v>42</v>
      </c>
      <c r="B30" s="56"/>
      <c r="C30" s="54"/>
      <c r="D30" s="55"/>
    </row>
    <row r="31" spans="1:4" ht="18" customHeight="1" thickBot="1">
      <c r="A31" s="102" t="s">
        <v>43</v>
      </c>
      <c r="B31" s="57"/>
      <c r="C31" s="58"/>
      <c r="D31" s="59"/>
    </row>
    <row r="32" spans="1:4" ht="18" customHeight="1" thickBot="1">
      <c r="A32" s="32" t="s">
        <v>44</v>
      </c>
      <c r="B32" s="164" t="s">
        <v>52</v>
      </c>
      <c r="C32" s="165">
        <f>+C7+C8+C9+C10+C11+C18+C19+C20+C21+C22+C23+C24+C25+C26+C27+C28+C29+C30+C31</f>
        <v>0</v>
      </c>
      <c r="D32" s="166">
        <f>+D7+D8+D9+D10+D11+D18+D19+D20+D21+D22+D23+D24+D25+D26+D27+D28+D29+D30+D31</f>
        <v>0</v>
      </c>
    </row>
    <row r="33" spans="1:4" ht="8.25" customHeight="1">
      <c r="A33" s="60"/>
      <c r="B33" s="817"/>
      <c r="C33" s="817"/>
      <c r="D33" s="817"/>
    </row>
  </sheetData>
  <sheetProtection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4.875" style="71" customWidth="1"/>
    <col min="2" max="2" width="31.125" style="84" customWidth="1"/>
    <col min="3" max="4" width="9.00390625" style="84" customWidth="1"/>
    <col min="5" max="5" width="9.50390625" style="84" customWidth="1"/>
    <col min="6" max="6" width="8.875" style="84" customWidth="1"/>
    <col min="7" max="7" width="8.625" style="84" customWidth="1"/>
    <col min="8" max="8" width="8.875" style="84" customWidth="1"/>
    <col min="9" max="9" width="8.125" style="84" customWidth="1"/>
    <col min="10" max="14" width="9.50390625" style="84" customWidth="1"/>
    <col min="15" max="15" width="12.625" style="71" customWidth="1"/>
    <col min="16" max="16384" width="9.375" style="84" customWidth="1"/>
  </cols>
  <sheetData>
    <row r="1" spans="13:15" ht="15.75">
      <c r="M1" s="569"/>
      <c r="N1" s="520"/>
      <c r="O1" s="575" t="str">
        <f>CONCATENATE("4. tájékoztató tábla ",ALAPADATOK!A7," ",ALAPADATOK!B7," ",ALAPADATOK!C7," ",ALAPADATOK!D7," ",ALAPADATOK!E7," ",ALAPADATOK!F7," ",ALAPADATOK!G7," ",ALAPADATOK!H7)</f>
        <v>4. tájékoztató tábla a  / 2020 (  ) önkormányzati rendelethez</v>
      </c>
    </row>
    <row r="2" spans="1:15" ht="31.5" customHeight="1">
      <c r="A2" s="822" t="str">
        <f>+CONCATENATE("Előirányzat-felhasználási terv",CHAR(10),LEFT(KV_ÖSSZEFÜGGÉSEK!A5,4),". évre")</f>
        <v>Előirányzat-felhasználási terv
2020. évre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</row>
    <row r="3" ht="16.5" thickBot="1">
      <c r="O3" s="4" t="str">
        <f>'KV_3.sz.tájékoztató_t.'!D4</f>
        <v>Ft-ban</v>
      </c>
    </row>
    <row r="4" spans="1:15" s="71" customFormat="1" ht="25.5" customHeight="1" thickBot="1">
      <c r="A4" s="68" t="s">
        <v>16</v>
      </c>
      <c r="B4" s="69" t="s">
        <v>60</v>
      </c>
      <c r="C4" s="69" t="s">
        <v>72</v>
      </c>
      <c r="D4" s="69" t="s">
        <v>73</v>
      </c>
      <c r="E4" s="69" t="s">
        <v>74</v>
      </c>
      <c r="F4" s="69" t="s">
        <v>75</v>
      </c>
      <c r="G4" s="69" t="s">
        <v>76</v>
      </c>
      <c r="H4" s="69" t="s">
        <v>77</v>
      </c>
      <c r="I4" s="69" t="s">
        <v>78</v>
      </c>
      <c r="J4" s="69" t="s">
        <v>79</v>
      </c>
      <c r="K4" s="69" t="s">
        <v>80</v>
      </c>
      <c r="L4" s="69" t="s">
        <v>81</v>
      </c>
      <c r="M4" s="69" t="s">
        <v>82</v>
      </c>
      <c r="N4" s="69" t="s">
        <v>83</v>
      </c>
      <c r="O4" s="70" t="s">
        <v>52</v>
      </c>
    </row>
    <row r="5" spans="1:15" s="73" customFormat="1" ht="15" customHeight="1" thickBot="1">
      <c r="A5" s="72" t="s">
        <v>18</v>
      </c>
      <c r="B5" s="819" t="s">
        <v>55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1"/>
    </row>
    <row r="6" spans="1:17" s="73" customFormat="1" ht="22.5">
      <c r="A6" s="74" t="s">
        <v>19</v>
      </c>
      <c r="B6" s="412" t="s">
        <v>364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75">
        <f aca="true" t="shared" si="0" ref="O6:O26">SUM(C6:N6)</f>
        <v>0</v>
      </c>
      <c r="Q6" s="573"/>
    </row>
    <row r="7" spans="1:15" s="78" customFormat="1" ht="22.5">
      <c r="A7" s="76" t="s">
        <v>20</v>
      </c>
      <c r="B7" s="232" t="s">
        <v>408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77">
        <f t="shared" si="0"/>
        <v>0</v>
      </c>
    </row>
    <row r="8" spans="1:15" s="78" customFormat="1" ht="22.5">
      <c r="A8" s="76" t="s">
        <v>21</v>
      </c>
      <c r="B8" s="231" t="s">
        <v>409</v>
      </c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79">
        <f t="shared" si="0"/>
        <v>0</v>
      </c>
    </row>
    <row r="9" spans="1:15" s="78" customFormat="1" ht="13.5" customHeight="1">
      <c r="A9" s="76" t="s">
        <v>22</v>
      </c>
      <c r="B9" s="230" t="s">
        <v>167</v>
      </c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77">
        <f t="shared" si="0"/>
        <v>0</v>
      </c>
    </row>
    <row r="10" spans="1:15" s="78" customFormat="1" ht="13.5" customHeight="1">
      <c r="A10" s="76" t="s">
        <v>23</v>
      </c>
      <c r="B10" s="230" t="s">
        <v>410</v>
      </c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77">
        <f t="shared" si="0"/>
        <v>0</v>
      </c>
    </row>
    <row r="11" spans="1:15" s="78" customFormat="1" ht="13.5" customHeight="1">
      <c r="A11" s="76" t="s">
        <v>24</v>
      </c>
      <c r="B11" s="230" t="s">
        <v>10</v>
      </c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77">
        <f t="shared" si="0"/>
        <v>0</v>
      </c>
    </row>
    <row r="12" spans="1:15" s="78" customFormat="1" ht="13.5" customHeight="1">
      <c r="A12" s="76" t="s">
        <v>25</v>
      </c>
      <c r="B12" s="230" t="s">
        <v>366</v>
      </c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77">
        <f t="shared" si="0"/>
        <v>0</v>
      </c>
    </row>
    <row r="13" spans="1:15" s="78" customFormat="1" ht="22.5">
      <c r="A13" s="76" t="s">
        <v>26</v>
      </c>
      <c r="B13" s="232" t="s">
        <v>397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77">
        <f t="shared" si="0"/>
        <v>0</v>
      </c>
    </row>
    <row r="14" spans="1:15" s="78" customFormat="1" ht="13.5" customHeight="1" thickBot="1">
      <c r="A14" s="76" t="s">
        <v>27</v>
      </c>
      <c r="B14" s="230" t="s">
        <v>11</v>
      </c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77">
        <f t="shared" si="0"/>
        <v>0</v>
      </c>
    </row>
    <row r="15" spans="1:15" s="73" customFormat="1" ht="15.75" customHeight="1" thickBot="1">
      <c r="A15" s="72" t="s">
        <v>28</v>
      </c>
      <c r="B15" s="33" t="s">
        <v>108</v>
      </c>
      <c r="C15" s="482">
        <f aca="true" t="shared" si="1" ref="C15:N15">SUM(C6:C14)</f>
        <v>0</v>
      </c>
      <c r="D15" s="482">
        <f t="shared" si="1"/>
        <v>0</v>
      </c>
      <c r="E15" s="482">
        <f t="shared" si="1"/>
        <v>0</v>
      </c>
      <c r="F15" s="482">
        <f t="shared" si="1"/>
        <v>0</v>
      </c>
      <c r="G15" s="482">
        <f t="shared" si="1"/>
        <v>0</v>
      </c>
      <c r="H15" s="482">
        <f t="shared" si="1"/>
        <v>0</v>
      </c>
      <c r="I15" s="482">
        <f t="shared" si="1"/>
        <v>0</v>
      </c>
      <c r="J15" s="482">
        <f t="shared" si="1"/>
        <v>0</v>
      </c>
      <c r="K15" s="482">
        <f t="shared" si="1"/>
        <v>0</v>
      </c>
      <c r="L15" s="482">
        <f t="shared" si="1"/>
        <v>0</v>
      </c>
      <c r="M15" s="482">
        <f t="shared" si="1"/>
        <v>0</v>
      </c>
      <c r="N15" s="482">
        <f t="shared" si="1"/>
        <v>0</v>
      </c>
      <c r="O15" s="80">
        <f>SUM(C15:N15)</f>
        <v>0</v>
      </c>
    </row>
    <row r="16" spans="1:15" s="73" customFormat="1" ht="15" customHeight="1" thickBot="1">
      <c r="A16" s="72" t="s">
        <v>29</v>
      </c>
      <c r="B16" s="819" t="s">
        <v>56</v>
      </c>
      <c r="C16" s="820"/>
      <c r="D16" s="820"/>
      <c r="E16" s="820"/>
      <c r="F16" s="820"/>
      <c r="G16" s="820"/>
      <c r="H16" s="820"/>
      <c r="I16" s="820"/>
      <c r="J16" s="820"/>
      <c r="K16" s="820"/>
      <c r="L16" s="820"/>
      <c r="M16" s="820"/>
      <c r="N16" s="820"/>
      <c r="O16" s="821"/>
    </row>
    <row r="17" spans="1:15" s="78" customFormat="1" ht="13.5" customHeight="1">
      <c r="A17" s="81" t="s">
        <v>30</v>
      </c>
      <c r="B17" s="233" t="s">
        <v>61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79">
        <f t="shared" si="0"/>
        <v>0</v>
      </c>
    </row>
    <row r="18" spans="1:15" s="78" customFormat="1" ht="27" customHeight="1">
      <c r="A18" s="76" t="s">
        <v>31</v>
      </c>
      <c r="B18" s="232" t="s">
        <v>176</v>
      </c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77">
        <f t="shared" si="0"/>
        <v>0</v>
      </c>
    </row>
    <row r="19" spans="1:15" s="78" customFormat="1" ht="13.5" customHeight="1">
      <c r="A19" s="76" t="s">
        <v>32</v>
      </c>
      <c r="B19" s="230" t="s">
        <v>133</v>
      </c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77">
        <f t="shared" si="0"/>
        <v>0</v>
      </c>
    </row>
    <row r="20" spans="1:15" s="78" customFormat="1" ht="13.5" customHeight="1">
      <c r="A20" s="76" t="s">
        <v>33</v>
      </c>
      <c r="B20" s="230" t="s">
        <v>177</v>
      </c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77">
        <f t="shared" si="0"/>
        <v>0</v>
      </c>
    </row>
    <row r="21" spans="1:15" s="78" customFormat="1" ht="13.5" customHeight="1">
      <c r="A21" s="76" t="s">
        <v>34</v>
      </c>
      <c r="B21" s="230" t="s">
        <v>12</v>
      </c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77">
        <f t="shared" si="0"/>
        <v>0</v>
      </c>
    </row>
    <row r="22" spans="1:15" s="78" customFormat="1" ht="13.5" customHeight="1">
      <c r="A22" s="76" t="s">
        <v>35</v>
      </c>
      <c r="B22" s="230" t="s">
        <v>222</v>
      </c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77">
        <f t="shared" si="0"/>
        <v>0</v>
      </c>
    </row>
    <row r="23" spans="1:15" s="78" customFormat="1" ht="15.75">
      <c r="A23" s="76" t="s">
        <v>36</v>
      </c>
      <c r="B23" s="232" t="s">
        <v>180</v>
      </c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77">
        <f t="shared" si="0"/>
        <v>0</v>
      </c>
    </row>
    <row r="24" spans="1:15" s="78" customFormat="1" ht="13.5" customHeight="1">
      <c r="A24" s="76" t="s">
        <v>37</v>
      </c>
      <c r="B24" s="230" t="s">
        <v>224</v>
      </c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77">
        <f t="shared" si="0"/>
        <v>0</v>
      </c>
    </row>
    <row r="25" spans="1:15" s="78" customFormat="1" ht="13.5" customHeight="1" thickBot="1">
      <c r="A25" s="76" t="s">
        <v>38</v>
      </c>
      <c r="B25" s="230" t="s">
        <v>13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77">
        <f t="shared" si="0"/>
        <v>0</v>
      </c>
    </row>
    <row r="26" spans="1:15" s="73" customFormat="1" ht="15.75" customHeight="1" thickBot="1">
      <c r="A26" s="82" t="s">
        <v>39</v>
      </c>
      <c r="B26" s="33" t="s">
        <v>109</v>
      </c>
      <c r="C26" s="482">
        <f aca="true" t="shared" si="2" ref="C26:N26">SUM(C17:C25)</f>
        <v>0</v>
      </c>
      <c r="D26" s="482">
        <f t="shared" si="2"/>
        <v>0</v>
      </c>
      <c r="E26" s="482">
        <f t="shared" si="2"/>
        <v>0</v>
      </c>
      <c r="F26" s="482">
        <f t="shared" si="2"/>
        <v>0</v>
      </c>
      <c r="G26" s="482">
        <f t="shared" si="2"/>
        <v>0</v>
      </c>
      <c r="H26" s="482">
        <f t="shared" si="2"/>
        <v>0</v>
      </c>
      <c r="I26" s="482">
        <f t="shared" si="2"/>
        <v>0</v>
      </c>
      <c r="J26" s="482">
        <f t="shared" si="2"/>
        <v>0</v>
      </c>
      <c r="K26" s="482">
        <f t="shared" si="2"/>
        <v>0</v>
      </c>
      <c r="L26" s="482">
        <f t="shared" si="2"/>
        <v>0</v>
      </c>
      <c r="M26" s="482">
        <f t="shared" si="2"/>
        <v>0</v>
      </c>
      <c r="N26" s="482">
        <f t="shared" si="2"/>
        <v>0</v>
      </c>
      <c r="O26" s="80">
        <f t="shared" si="0"/>
        <v>0</v>
      </c>
    </row>
    <row r="27" spans="1:15" ht="16.5" thickBot="1">
      <c r="A27" s="82" t="s">
        <v>40</v>
      </c>
      <c r="B27" s="234" t="s">
        <v>110</v>
      </c>
      <c r="C27" s="483">
        <f aca="true" t="shared" si="3" ref="C27:O27">C15-C26</f>
        <v>0</v>
      </c>
      <c r="D27" s="483">
        <f t="shared" si="3"/>
        <v>0</v>
      </c>
      <c r="E27" s="483">
        <f t="shared" si="3"/>
        <v>0</v>
      </c>
      <c r="F27" s="483">
        <f t="shared" si="3"/>
        <v>0</v>
      </c>
      <c r="G27" s="483">
        <f t="shared" si="3"/>
        <v>0</v>
      </c>
      <c r="H27" s="483">
        <f t="shared" si="3"/>
        <v>0</v>
      </c>
      <c r="I27" s="483">
        <f t="shared" si="3"/>
        <v>0</v>
      </c>
      <c r="J27" s="483">
        <f t="shared" si="3"/>
        <v>0</v>
      </c>
      <c r="K27" s="483">
        <f t="shared" si="3"/>
        <v>0</v>
      </c>
      <c r="L27" s="483">
        <f t="shared" si="3"/>
        <v>0</v>
      </c>
      <c r="M27" s="483">
        <f t="shared" si="3"/>
        <v>0</v>
      </c>
      <c r="N27" s="483">
        <f t="shared" si="3"/>
        <v>0</v>
      </c>
      <c r="O27" s="83">
        <f t="shared" si="3"/>
        <v>0</v>
      </c>
    </row>
    <row r="28" ht="15.75">
      <c r="A28" s="85"/>
    </row>
    <row r="29" spans="2:15" ht="15.75">
      <c r="B29" s="86"/>
      <c r="C29" s="87"/>
      <c r="D29" s="87"/>
      <c r="O29" s="84"/>
    </row>
    <row r="30" ht="15.75">
      <c r="O30" s="84"/>
    </row>
    <row r="31" ht="15.75">
      <c r="O31" s="84"/>
    </row>
    <row r="32" ht="15.75">
      <c r="O32" s="84"/>
    </row>
    <row r="33" ht="15.75">
      <c r="O33" s="84"/>
    </row>
    <row r="34" ht="15.75">
      <c r="O34" s="84"/>
    </row>
    <row r="35" ht="15.75">
      <c r="O35" s="84"/>
    </row>
    <row r="36" ht="15.75">
      <c r="O36" s="84"/>
    </row>
    <row r="37" ht="15.75">
      <c r="O37" s="84"/>
    </row>
    <row r="38" ht="15.75">
      <c r="O38" s="84"/>
    </row>
    <row r="39" ht="15.75">
      <c r="O39" s="84"/>
    </row>
    <row r="40" ht="15.75">
      <c r="O40" s="84"/>
    </row>
    <row r="41" ht="15.75">
      <c r="O41" s="84"/>
    </row>
    <row r="42" ht="15.75">
      <c r="O42" s="84"/>
    </row>
    <row r="43" ht="15.75">
      <c r="O43" s="84"/>
    </row>
    <row r="44" ht="15.75">
      <c r="O44" s="84"/>
    </row>
    <row r="45" ht="15.75">
      <c r="O45" s="84"/>
    </row>
    <row r="46" ht="15.75">
      <c r="O46" s="84"/>
    </row>
    <row r="47" ht="15.75">
      <c r="O47" s="84"/>
    </row>
    <row r="48" ht="15.75">
      <c r="O48" s="84"/>
    </row>
    <row r="49" ht="15.75">
      <c r="O49" s="84"/>
    </row>
    <row r="50" ht="15.75">
      <c r="O50" s="84"/>
    </row>
    <row r="51" ht="15.75">
      <c r="O51" s="84"/>
    </row>
    <row r="52" ht="15.75">
      <c r="O52" s="84"/>
    </row>
    <row r="53" ht="15.75">
      <c r="O53" s="84"/>
    </row>
    <row r="54" ht="15.75">
      <c r="O54" s="84"/>
    </row>
    <row r="55" ht="15.75">
      <c r="O55" s="84"/>
    </row>
    <row r="56" ht="15.75">
      <c r="O56" s="84"/>
    </row>
    <row r="57" ht="15.75">
      <c r="O57" s="84"/>
    </row>
    <row r="58" ht="15.75">
      <c r="O58" s="84"/>
    </row>
    <row r="59" ht="15.75">
      <c r="O59" s="84"/>
    </row>
    <row r="60" ht="15.75">
      <c r="O60" s="84"/>
    </row>
    <row r="61" ht="15.75">
      <c r="O61" s="84"/>
    </row>
    <row r="62" ht="15.75">
      <c r="O62" s="84"/>
    </row>
    <row r="63" ht="15.75">
      <c r="O63" s="84"/>
    </row>
    <row r="64" ht="15.75">
      <c r="O64" s="84"/>
    </row>
    <row r="65" ht="15.75">
      <c r="O65" s="84"/>
    </row>
    <row r="66" ht="15.75">
      <c r="O66" s="84"/>
    </row>
    <row r="67" ht="15.75">
      <c r="O67" s="84"/>
    </row>
    <row r="68" ht="15.75">
      <c r="O68" s="84"/>
    </row>
    <row r="69" ht="15.75">
      <c r="O69" s="84"/>
    </row>
    <row r="70" ht="15.75">
      <c r="O70" s="84"/>
    </row>
    <row r="71" ht="15.75">
      <c r="O71" s="84"/>
    </row>
    <row r="72" ht="15.75">
      <c r="O72" s="84"/>
    </row>
    <row r="73" ht="15.75">
      <c r="O73" s="84"/>
    </row>
    <row r="74" ht="15.75">
      <c r="O74" s="84"/>
    </row>
    <row r="75" ht="15.75">
      <c r="O75" s="84"/>
    </row>
    <row r="76" ht="15.75">
      <c r="O76" s="84"/>
    </row>
    <row r="77" ht="15.75">
      <c r="O77" s="84"/>
    </row>
    <row r="78" ht="15.75">
      <c r="O78" s="84"/>
    </row>
    <row r="79" ht="15.75">
      <c r="O79" s="84"/>
    </row>
    <row r="80" ht="15.75">
      <c r="O80" s="84"/>
    </row>
    <row r="81" ht="15.75">
      <c r="O81" s="84"/>
    </row>
    <row r="82" ht="15.75">
      <c r="O82" s="84"/>
    </row>
  </sheetData>
  <sheetProtection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556" t="s">
        <v>144</v>
      </c>
    </row>
    <row r="4" spans="1:2" ht="12.75">
      <c r="A4" s="103"/>
      <c r="B4" s="103"/>
    </row>
    <row r="5" spans="1:2" s="114" customFormat="1" ht="15.75">
      <c r="A5" s="62" t="str">
        <f>CONCATENATE(ALAPADATOK!D7,". évi előirányzat BEVÉTELEK")</f>
        <v>2020. évi előirányzat BEVÉTELEK</v>
      </c>
      <c r="B5" s="113"/>
    </row>
    <row r="6" spans="1:2" ht="12.75">
      <c r="A6" s="103"/>
      <c r="B6" s="103"/>
    </row>
    <row r="7" spans="1:2" ht="12.75">
      <c r="A7" s="103" t="s">
        <v>532</v>
      </c>
      <c r="B7" s="103" t="s">
        <v>476</v>
      </c>
    </row>
    <row r="8" spans="1:2" ht="12.75">
      <c r="A8" s="103" t="s">
        <v>533</v>
      </c>
      <c r="B8" s="103" t="s">
        <v>477</v>
      </c>
    </row>
    <row r="9" spans="1:2" ht="12.75">
      <c r="A9" s="103" t="s">
        <v>534</v>
      </c>
      <c r="B9" s="103" t="s">
        <v>478</v>
      </c>
    </row>
    <row r="10" spans="1:2" ht="12.75">
      <c r="A10" s="103"/>
      <c r="B10" s="103"/>
    </row>
    <row r="11" spans="1:2" ht="12.75">
      <c r="A11" s="103"/>
      <c r="B11" s="103"/>
    </row>
    <row r="12" spans="1:2" s="114" customFormat="1" ht="15.75">
      <c r="A12" s="62" t="str">
        <f>+CONCATENATE(LEFT(A5,4),". évi előirányzat KIADÁSOK")</f>
        <v>2020. évi előirányzat KIADÁSOK</v>
      </c>
      <c r="B12" s="113"/>
    </row>
    <row r="13" spans="1:2" ht="12.75">
      <c r="A13" s="103"/>
      <c r="B13" s="103"/>
    </row>
    <row r="14" spans="1:2" ht="12.75">
      <c r="A14" s="103" t="s">
        <v>535</v>
      </c>
      <c r="B14" s="103" t="s">
        <v>479</v>
      </c>
    </row>
    <row r="15" spans="1:2" ht="12.75">
      <c r="A15" s="103" t="s">
        <v>536</v>
      </c>
      <c r="B15" s="103" t="s">
        <v>480</v>
      </c>
    </row>
    <row r="16" spans="1:2" ht="12.75">
      <c r="A16" s="103" t="s">
        <v>537</v>
      </c>
      <c r="B16" s="103" t="s">
        <v>481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27"/>
  <sheetViews>
    <sheetView zoomScale="120" zoomScaleNormal="120" zoomScalePageLayoutView="120" workbookViewId="0" topLeftCell="A2">
      <selection activeCell="C26" sqref="C26"/>
    </sheetView>
  </sheetViews>
  <sheetFormatPr defaultColWidth="9.00390625" defaultRowHeight="12.75"/>
  <cols>
    <col min="1" max="1" width="13.875" style="0" customWidth="1"/>
    <col min="2" max="2" width="88.625" style="0" customWidth="1"/>
    <col min="3" max="3" width="16.875" style="0" customWidth="1"/>
  </cols>
  <sheetData>
    <row r="1" spans="2:3" ht="47.25" customHeight="1" hidden="1">
      <c r="B1" s="824" t="s">
        <v>687</v>
      </c>
      <c r="C1" s="824"/>
    </row>
    <row r="2" spans="2:3" ht="13.5" customHeight="1" thickBot="1">
      <c r="B2" s="644" t="s">
        <v>755</v>
      </c>
      <c r="C2" s="645" t="s">
        <v>659</v>
      </c>
    </row>
    <row r="3" spans="1:7" ht="63.75" customHeight="1" thickBot="1">
      <c r="A3" s="646" t="s">
        <v>688</v>
      </c>
      <c r="B3" s="647" t="s">
        <v>51</v>
      </c>
      <c r="C3" s="648" t="str">
        <f>+CONCATENATE(LEFT('[1]KV_ÖSSZEFÜGGÉSEK'!A5,4),". évi tervezett támogatás összesen")</f>
        <v>2019. évi tervezett támogatás összesen</v>
      </c>
      <c r="G3" s="649"/>
    </row>
    <row r="4" spans="1:3" s="653" customFormat="1" ht="13.5" thickBot="1">
      <c r="A4" s="650" t="s">
        <v>482</v>
      </c>
      <c r="B4" s="651" t="s">
        <v>483</v>
      </c>
      <c r="C4" s="652" t="s">
        <v>484</v>
      </c>
    </row>
    <row r="5" spans="1:3" ht="12.75">
      <c r="A5" s="654" t="s">
        <v>689</v>
      </c>
      <c r="B5" s="655" t="s">
        <v>690</v>
      </c>
      <c r="C5" s="656">
        <v>55481000</v>
      </c>
    </row>
    <row r="6" spans="1:3" ht="12.75" customHeight="1">
      <c r="A6" s="657" t="s">
        <v>691</v>
      </c>
      <c r="B6" s="658" t="s">
        <v>692</v>
      </c>
      <c r="C6" s="656">
        <v>7733880</v>
      </c>
    </row>
    <row r="7" spans="1:3" ht="12.75">
      <c r="A7" s="657" t="s">
        <v>693</v>
      </c>
      <c r="B7" s="658" t="s">
        <v>694</v>
      </c>
      <c r="C7" s="656">
        <v>8256000</v>
      </c>
    </row>
    <row r="8" spans="1:3" ht="12.75">
      <c r="A8" s="657" t="s">
        <v>695</v>
      </c>
      <c r="B8" s="658" t="s">
        <v>696</v>
      </c>
      <c r="C8" s="656">
        <v>100000</v>
      </c>
    </row>
    <row r="9" spans="1:3" ht="12.75">
      <c r="A9" s="657" t="s">
        <v>697</v>
      </c>
      <c r="B9" s="658" t="s">
        <v>698</v>
      </c>
      <c r="C9" s="656">
        <v>5600090</v>
      </c>
    </row>
    <row r="10" spans="1:3" ht="12.75">
      <c r="A10" s="657" t="s">
        <v>699</v>
      </c>
      <c r="B10" s="658" t="s">
        <v>700</v>
      </c>
      <c r="C10" s="656">
        <v>4681167</v>
      </c>
    </row>
    <row r="11" spans="1:3" ht="12.75">
      <c r="A11" s="657" t="s">
        <v>701</v>
      </c>
      <c r="B11" s="658" t="s">
        <v>702</v>
      </c>
      <c r="C11" s="656">
        <v>38250</v>
      </c>
    </row>
    <row r="12" spans="1:3" ht="12.75">
      <c r="A12" s="657" t="s">
        <v>703</v>
      </c>
      <c r="B12" s="658" t="s">
        <v>704</v>
      </c>
      <c r="C12" s="656">
        <v>263400</v>
      </c>
    </row>
    <row r="13" spans="1:3" ht="12.75">
      <c r="A13" s="657" t="s">
        <v>705</v>
      </c>
      <c r="B13" s="658" t="s">
        <v>706</v>
      </c>
      <c r="C13" s="656">
        <v>840800</v>
      </c>
    </row>
    <row r="14" spans="1:3" ht="12.75" customHeight="1">
      <c r="A14" s="657" t="s">
        <v>707</v>
      </c>
      <c r="B14" s="658" t="s">
        <v>708</v>
      </c>
      <c r="C14" s="656">
        <v>61353950</v>
      </c>
    </row>
    <row r="15" spans="1:3" ht="12.75">
      <c r="A15" s="657" t="s">
        <v>709</v>
      </c>
      <c r="B15" s="658" t="s">
        <v>710</v>
      </c>
      <c r="C15" s="656">
        <v>20715000</v>
      </c>
    </row>
    <row r="16" spans="1:3" ht="12.75">
      <c r="A16" s="657" t="s">
        <v>711</v>
      </c>
      <c r="B16" s="658" t="s">
        <v>712</v>
      </c>
      <c r="C16" s="656">
        <v>11562067</v>
      </c>
    </row>
    <row r="17" spans="1:3" ht="12.75">
      <c r="A17" s="657" t="s">
        <v>713</v>
      </c>
      <c r="B17" s="658" t="s">
        <v>714</v>
      </c>
      <c r="C17" s="656">
        <v>3727980</v>
      </c>
    </row>
    <row r="18" spans="1:3" ht="12.75">
      <c r="A18" s="657"/>
      <c r="B18" s="658"/>
      <c r="C18" s="656"/>
    </row>
    <row r="19" spans="1:3" ht="12.75">
      <c r="A19" s="657"/>
      <c r="B19" s="658"/>
      <c r="C19" s="656"/>
    </row>
    <row r="20" spans="1:3" ht="12.75">
      <c r="A20" s="657"/>
      <c r="B20" s="658"/>
      <c r="C20" s="656"/>
    </row>
    <row r="21" spans="1:3" ht="12.75">
      <c r="A21" s="657"/>
      <c r="B21" s="658"/>
      <c r="C21" s="656"/>
    </row>
    <row r="22" spans="1:3" ht="12.75">
      <c r="A22" s="657"/>
      <c r="B22" s="658"/>
      <c r="C22" s="656"/>
    </row>
    <row r="23" spans="1:3" ht="12.75">
      <c r="A23" s="657"/>
      <c r="B23" s="658"/>
      <c r="C23" s="656"/>
    </row>
    <row r="24" spans="1:3" ht="12.75">
      <c r="A24" s="657"/>
      <c r="B24" s="658"/>
      <c r="C24" s="656"/>
    </row>
    <row r="25" spans="1:3" ht="13.5" thickBot="1">
      <c r="A25" s="659"/>
      <c r="B25" s="660"/>
      <c r="C25" s="656"/>
    </row>
    <row r="26" spans="1:3" s="664" customFormat="1" ht="19.5" customHeight="1" thickBot="1">
      <c r="A26" s="661"/>
      <c r="B26" s="662" t="s">
        <v>52</v>
      </c>
      <c r="C26" s="663">
        <f>SUM(C5:C25)</f>
        <v>180353584</v>
      </c>
    </row>
    <row r="27" spans="1:2" ht="12.75">
      <c r="A27" s="825" t="s">
        <v>664</v>
      </c>
      <c r="B27" s="825"/>
    </row>
  </sheetData>
  <sheetProtection/>
  <mergeCells count="2">
    <mergeCell ref="B1:C1"/>
    <mergeCell ref="A27:B2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/>
  </sheetPr>
  <dimension ref="A1:E20"/>
  <sheetViews>
    <sheetView tabSelected="1" zoomScale="120" zoomScaleNormal="120" workbookViewId="0" topLeftCell="A1">
      <selection activeCell="G17" sqref="G16:G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65"/>
      <c r="D1" s="574" t="s">
        <v>774</v>
      </c>
    </row>
    <row r="2" spans="1:4" ht="45" customHeight="1">
      <c r="A2" s="829" t="s">
        <v>715</v>
      </c>
      <c r="B2" s="829"/>
      <c r="C2" s="829"/>
      <c r="D2" s="829"/>
    </row>
    <row r="3" spans="1:4" ht="17.25" customHeight="1">
      <c r="A3" s="319"/>
      <c r="B3" s="319"/>
      <c r="C3" s="319"/>
      <c r="D3" s="319"/>
    </row>
    <row r="4" spans="3:4" ht="13.5" thickBot="1">
      <c r="C4" s="826"/>
      <c r="D4" s="826"/>
    </row>
    <row r="5" spans="1:4" ht="42.75" customHeight="1" thickBot="1">
      <c r="A5" s="666" t="s">
        <v>68</v>
      </c>
      <c r="B5" s="667" t="s">
        <v>124</v>
      </c>
      <c r="C5" s="667" t="s">
        <v>125</v>
      </c>
      <c r="D5" s="668" t="s">
        <v>14</v>
      </c>
    </row>
    <row r="6" spans="1:4" ht="15.75" customHeight="1">
      <c r="A6" s="669" t="s">
        <v>18</v>
      </c>
      <c r="B6" s="27" t="s">
        <v>716</v>
      </c>
      <c r="C6" s="27" t="s">
        <v>717</v>
      </c>
      <c r="D6" s="484">
        <v>1310000</v>
      </c>
    </row>
    <row r="7" spans="1:4" ht="15.75" customHeight="1">
      <c r="A7" s="670" t="s">
        <v>19</v>
      </c>
      <c r="B7" s="28" t="s">
        <v>718</v>
      </c>
      <c r="C7" s="28" t="s">
        <v>717</v>
      </c>
      <c r="D7" s="485">
        <v>1985000</v>
      </c>
    </row>
    <row r="8" spans="1:4" ht="15.75" customHeight="1">
      <c r="A8" s="670" t="s">
        <v>20</v>
      </c>
      <c r="B8" s="28" t="s">
        <v>719</v>
      </c>
      <c r="C8" s="28" t="s">
        <v>720</v>
      </c>
      <c r="D8" s="485">
        <v>30000</v>
      </c>
    </row>
    <row r="9" spans="1:4" ht="15.75" customHeight="1">
      <c r="A9" s="670" t="s">
        <v>21</v>
      </c>
      <c r="B9" s="28" t="s">
        <v>721</v>
      </c>
      <c r="C9" s="28" t="s">
        <v>720</v>
      </c>
      <c r="D9" s="485">
        <v>30000</v>
      </c>
    </row>
    <row r="10" spans="1:4" ht="15.75" customHeight="1">
      <c r="A10" s="670" t="s">
        <v>22</v>
      </c>
      <c r="B10" s="28" t="s">
        <v>722</v>
      </c>
      <c r="C10" s="28" t="s">
        <v>720</v>
      </c>
      <c r="D10" s="485">
        <v>75000</v>
      </c>
    </row>
    <row r="11" spans="1:4" ht="15.75" customHeight="1">
      <c r="A11" s="670" t="s">
        <v>31</v>
      </c>
      <c r="B11" s="28" t="s">
        <v>724</v>
      </c>
      <c r="C11" s="28" t="s">
        <v>723</v>
      </c>
      <c r="D11" s="485">
        <v>50000</v>
      </c>
    </row>
    <row r="12" spans="1:4" ht="15.75" customHeight="1">
      <c r="A12" s="670" t="s">
        <v>32</v>
      </c>
      <c r="B12" s="28" t="s">
        <v>725</v>
      </c>
      <c r="C12" s="28" t="s">
        <v>723</v>
      </c>
      <c r="D12" s="485">
        <v>50000</v>
      </c>
    </row>
    <row r="13" spans="1:4" ht="15.75" customHeight="1">
      <c r="A13" s="670" t="s">
        <v>33</v>
      </c>
      <c r="B13" s="28" t="s">
        <v>726</v>
      </c>
      <c r="C13" s="28" t="s">
        <v>723</v>
      </c>
      <c r="D13" s="485">
        <v>15000</v>
      </c>
    </row>
    <row r="14" spans="1:4" ht="20.25" customHeight="1">
      <c r="A14" s="670" t="s">
        <v>34</v>
      </c>
      <c r="B14" s="28" t="s">
        <v>727</v>
      </c>
      <c r="C14" s="28" t="s">
        <v>728</v>
      </c>
      <c r="D14" s="485">
        <v>3200000</v>
      </c>
    </row>
    <row r="15" spans="1:4" ht="15.75" customHeight="1">
      <c r="A15" s="670" t="s">
        <v>35</v>
      </c>
      <c r="B15" s="28" t="s">
        <v>743</v>
      </c>
      <c r="C15" s="28" t="s">
        <v>723</v>
      </c>
      <c r="D15" s="485">
        <v>20000</v>
      </c>
    </row>
    <row r="16" spans="1:4" ht="15.75" customHeight="1">
      <c r="A16" s="670" t="s">
        <v>36</v>
      </c>
      <c r="B16" s="28" t="s">
        <v>761</v>
      </c>
      <c r="C16" s="28" t="s">
        <v>717</v>
      </c>
      <c r="D16" s="485">
        <v>45000</v>
      </c>
    </row>
    <row r="17" spans="1:4" ht="15.75" customHeight="1">
      <c r="A17" s="670" t="s">
        <v>37</v>
      </c>
      <c r="B17" s="28"/>
      <c r="C17" s="28"/>
      <c r="D17" s="485"/>
    </row>
    <row r="18" spans="1:4" ht="15.75" customHeight="1" thickBot="1">
      <c r="A18" s="728" t="s">
        <v>38</v>
      </c>
      <c r="B18" s="729"/>
      <c r="C18" s="729"/>
      <c r="D18" s="730"/>
    </row>
    <row r="19" spans="1:5" ht="15.75" customHeight="1" thickBot="1">
      <c r="A19" s="827" t="s">
        <v>52</v>
      </c>
      <c r="B19" s="828"/>
      <c r="C19" s="671"/>
      <c r="D19" s="672">
        <f>SUM(D6:D17)</f>
        <v>6810000</v>
      </c>
      <c r="E19">
        <v>-2945000</v>
      </c>
    </row>
    <row r="20" ht="12.75">
      <c r="A20" t="s">
        <v>194</v>
      </c>
    </row>
  </sheetData>
  <sheetProtection/>
  <mergeCells count="3">
    <mergeCell ref="C4:D4"/>
    <mergeCell ref="A19:B19"/>
    <mergeCell ref="A2:D2"/>
  </mergeCells>
  <conditionalFormatting sqref="D19">
    <cfRule type="cellIs" priority="1" dxfId="7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51"/>
  <sheetViews>
    <sheetView zoomScale="120" zoomScaleNormal="120" zoomScaleSheetLayoutView="100" workbookViewId="0" topLeftCell="A1">
      <selection activeCell="J21" sqref="J21"/>
    </sheetView>
  </sheetViews>
  <sheetFormatPr defaultColWidth="9.00390625" defaultRowHeight="12.75"/>
  <cols>
    <col min="1" max="1" width="9.00390625" style="321" customWidth="1"/>
    <col min="2" max="2" width="66.375" style="321" bestFit="1" customWidth="1"/>
    <col min="3" max="3" width="15.50390625" style="322" customWidth="1"/>
    <col min="4" max="5" width="15.50390625" style="321" customWidth="1"/>
    <col min="6" max="6" width="9.00390625" style="351" customWidth="1"/>
    <col min="7" max="16384" width="9.375" style="351" customWidth="1"/>
  </cols>
  <sheetData>
    <row r="1" spans="3:5" ht="15.75">
      <c r="C1" s="570"/>
      <c r="D1" s="567"/>
      <c r="E1" s="574" t="str">
        <f>CONCATENATE("10. melléklet ",ALAPADATOK!A7," ",ALAPADATOK!B7," ",ALAPADATOK!C7," ",ALAPADATOK!D7," ",ALAPADATOK!E7," ",ALAPADATOK!F7," ",ALAPADATOK!G7," ",ALAPADATOK!H7)</f>
        <v>10. melléklet a  / 2020 (  ) önkormányzati rendelethez</v>
      </c>
    </row>
    <row r="2" spans="1:5" ht="15.75">
      <c r="A2" s="830" t="str">
        <f>CONCATENATE(ALAPADATOK!A3)</f>
        <v>Karácsond Községi Önkormányzat</v>
      </c>
      <c r="B2" s="831"/>
      <c r="C2" s="831"/>
      <c r="D2" s="831"/>
      <c r="E2" s="831"/>
    </row>
    <row r="3" spans="1:5" ht="15.75">
      <c r="A3" s="804" t="str">
        <f>CONCATENATE(ALAPADATOK!D7,". ÉVI KÖLTSÉGVETÉSI ÉVET KÖVETŐ 3 ÉV TERVEZETT")</f>
        <v>2020. ÉVI KÖLTSÉGVETÉSI ÉVET KÖVETŐ 3 ÉV TERVEZETT</v>
      </c>
      <c r="B3" s="832"/>
      <c r="C3" s="832"/>
      <c r="D3" s="832"/>
      <c r="E3" s="832"/>
    </row>
    <row r="4" spans="1:5" ht="15.75" customHeight="1">
      <c r="A4" s="748" t="s">
        <v>590</v>
      </c>
      <c r="B4" s="748"/>
      <c r="C4" s="748"/>
      <c r="D4" s="748"/>
      <c r="E4" s="748"/>
    </row>
    <row r="5" spans="1:5" ht="15.75" customHeight="1" thickBot="1">
      <c r="A5" s="747" t="s">
        <v>145</v>
      </c>
      <c r="B5" s="747"/>
      <c r="D5" s="107"/>
      <c r="E5" s="251" t="str">
        <f>'KV_4.sz.tájékoztató_t.'!O3</f>
        <v>Ft-ban</v>
      </c>
    </row>
    <row r="6" spans="1:5" ht="37.5" customHeight="1" thickBot="1">
      <c r="A6" s="23" t="s">
        <v>68</v>
      </c>
      <c r="B6" s="24" t="s">
        <v>17</v>
      </c>
      <c r="C6" s="24" t="str">
        <f>+CONCATENATE(LEFT(KV_ÖSSZEFÜGGÉSEK!A5,4)+1,". évi")</f>
        <v>2021. évi</v>
      </c>
      <c r="D6" s="345" t="str">
        <f>+CONCATENATE(LEFT(KV_ÖSSZEFÜGGÉSEK!A5,4)+2,". évi")</f>
        <v>2022. évi</v>
      </c>
      <c r="E6" s="125" t="str">
        <f>+CONCATENATE(LEFT(KV_ÖSSZEFÜGGÉSEK!A5,4)+3,". évi")</f>
        <v>2023. évi</v>
      </c>
    </row>
    <row r="7" spans="1:5" s="352" customFormat="1" ht="12" customHeight="1" thickBot="1">
      <c r="A7" s="29" t="s">
        <v>482</v>
      </c>
      <c r="B7" s="30" t="s">
        <v>483</v>
      </c>
      <c r="C7" s="30" t="s">
        <v>484</v>
      </c>
      <c r="D7" s="30" t="s">
        <v>486</v>
      </c>
      <c r="E7" s="386" t="s">
        <v>485</v>
      </c>
    </row>
    <row r="8" spans="1:5" s="353" customFormat="1" ht="12" customHeight="1" thickBot="1">
      <c r="A8" s="20" t="s">
        <v>18</v>
      </c>
      <c r="B8" s="21" t="s">
        <v>519</v>
      </c>
      <c r="C8" s="403">
        <v>133000000</v>
      </c>
      <c r="D8" s="403">
        <v>130000000</v>
      </c>
      <c r="E8" s="404">
        <v>129000000</v>
      </c>
    </row>
    <row r="9" spans="1:5" s="353" customFormat="1" ht="12" customHeight="1" thickBot="1">
      <c r="A9" s="20" t="s">
        <v>19</v>
      </c>
      <c r="B9" s="236" t="s">
        <v>365</v>
      </c>
      <c r="C9" s="403">
        <v>16000000</v>
      </c>
      <c r="D9" s="403">
        <v>14000000</v>
      </c>
      <c r="E9" s="404">
        <v>13000000</v>
      </c>
    </row>
    <row r="10" spans="1:5" s="353" customFormat="1" ht="12" customHeight="1" thickBot="1">
      <c r="A10" s="20" t="s">
        <v>20</v>
      </c>
      <c r="B10" s="21" t="s">
        <v>372</v>
      </c>
      <c r="C10" s="403"/>
      <c r="D10" s="403"/>
      <c r="E10" s="404"/>
    </row>
    <row r="11" spans="1:5" s="353" customFormat="1" ht="12" customHeight="1" thickBot="1">
      <c r="A11" s="20" t="s">
        <v>166</v>
      </c>
      <c r="B11" s="21" t="s">
        <v>259</v>
      </c>
      <c r="C11" s="344">
        <v>55750000</v>
      </c>
      <c r="D11" s="344">
        <f>SUM(D12:D18)</f>
        <v>53300000</v>
      </c>
      <c r="E11" s="385">
        <f>SUM(E12:E18)</f>
        <v>51900000</v>
      </c>
    </row>
    <row r="12" spans="1:5" s="353" customFormat="1" ht="12" customHeight="1">
      <c r="A12" s="15" t="s">
        <v>260</v>
      </c>
      <c r="B12" s="354" t="str">
        <f>'Össz.ÖNK'!B32</f>
        <v>Késedelmi pótlék</v>
      </c>
      <c r="C12" s="339"/>
      <c r="D12" s="339"/>
      <c r="E12" s="210"/>
    </row>
    <row r="13" spans="1:5" s="353" customFormat="1" ht="12" customHeight="1">
      <c r="A13" s="14" t="s">
        <v>261</v>
      </c>
      <c r="B13" s="355" t="str">
        <f>'Össz.ÖNK'!B33</f>
        <v>Idegenforgalmi adó</v>
      </c>
      <c r="C13" s="338">
        <v>200000</v>
      </c>
      <c r="D13" s="338">
        <v>200000</v>
      </c>
      <c r="E13" s="209">
        <v>200000</v>
      </c>
    </row>
    <row r="14" spans="1:5" s="353" customFormat="1" ht="12" customHeight="1">
      <c r="A14" s="14" t="s">
        <v>262</v>
      </c>
      <c r="B14" s="355" t="str">
        <f>'Össz.ÖNK'!B34</f>
        <v>Iparűzési adó</v>
      </c>
      <c r="C14" s="338">
        <v>45000000</v>
      </c>
      <c r="D14" s="338">
        <v>43000000</v>
      </c>
      <c r="E14" s="209">
        <v>42000000</v>
      </c>
    </row>
    <row r="15" spans="1:5" s="353" customFormat="1" ht="12" customHeight="1">
      <c r="A15" s="14" t="s">
        <v>263</v>
      </c>
      <c r="B15" s="355" t="str">
        <f>'Össz.ÖNK'!B35</f>
        <v>Talajterhelési díj</v>
      </c>
      <c r="C15" s="338">
        <v>200000</v>
      </c>
      <c r="D15" s="338"/>
      <c r="E15" s="209"/>
    </row>
    <row r="16" spans="1:5" s="353" customFormat="1" ht="12" customHeight="1">
      <c r="A16" s="14" t="s">
        <v>540</v>
      </c>
      <c r="B16" s="355" t="str">
        <f>'Össz.ÖNK'!B36</f>
        <v>Gépjárműadó</v>
      </c>
      <c r="C16" s="338">
        <v>4600000</v>
      </c>
      <c r="D16" s="338">
        <v>4500000</v>
      </c>
      <c r="E16" s="209">
        <v>4400000</v>
      </c>
    </row>
    <row r="17" spans="1:5" s="353" customFormat="1" ht="12" customHeight="1">
      <c r="A17" s="14" t="s">
        <v>541</v>
      </c>
      <c r="B17" s="355" t="str">
        <f>'Össz.ÖNK'!B37</f>
        <v>Egyéb bírság</v>
      </c>
      <c r="C17" s="338"/>
      <c r="D17" s="338">
        <v>200000</v>
      </c>
      <c r="E17" s="209"/>
    </row>
    <row r="18" spans="1:5" s="353" customFormat="1" ht="12" customHeight="1" thickBot="1">
      <c r="A18" s="16" t="s">
        <v>542</v>
      </c>
      <c r="B18" s="356" t="str">
        <f>'Össz.ÖNK'!B38</f>
        <v>Kommunális adó</v>
      </c>
      <c r="C18" s="340">
        <v>5500000</v>
      </c>
      <c r="D18" s="340">
        <v>5400000</v>
      </c>
      <c r="E18" s="211">
        <v>5300000</v>
      </c>
    </row>
    <row r="19" spans="1:5" s="353" customFormat="1" ht="12" customHeight="1" thickBot="1">
      <c r="A19" s="20" t="s">
        <v>22</v>
      </c>
      <c r="B19" s="21" t="s">
        <v>522</v>
      </c>
      <c r="C19" s="403">
        <v>1000000</v>
      </c>
      <c r="D19" s="403">
        <v>1000000</v>
      </c>
      <c r="E19" s="404">
        <v>1000000</v>
      </c>
    </row>
    <row r="20" spans="1:5" s="353" customFormat="1" ht="12" customHeight="1" thickBot="1">
      <c r="A20" s="20" t="s">
        <v>23</v>
      </c>
      <c r="B20" s="21" t="s">
        <v>10</v>
      </c>
      <c r="C20" s="403"/>
      <c r="D20" s="403"/>
      <c r="E20" s="404"/>
    </row>
    <row r="21" spans="1:5" s="353" customFormat="1" ht="12" customHeight="1" thickBot="1">
      <c r="A21" s="20" t="s">
        <v>173</v>
      </c>
      <c r="B21" s="21" t="s">
        <v>521</v>
      </c>
      <c r="C21" s="403"/>
      <c r="D21" s="403"/>
      <c r="E21" s="404"/>
    </row>
    <row r="22" spans="1:5" s="353" customFormat="1" ht="12" customHeight="1" thickBot="1">
      <c r="A22" s="20" t="s">
        <v>25</v>
      </c>
      <c r="B22" s="236" t="s">
        <v>520</v>
      </c>
      <c r="C22" s="403"/>
      <c r="D22" s="403"/>
      <c r="E22" s="404"/>
    </row>
    <row r="23" spans="1:5" s="353" customFormat="1" ht="12" customHeight="1" thickBot="1">
      <c r="A23" s="20" t="s">
        <v>26</v>
      </c>
      <c r="B23" s="21" t="s">
        <v>297</v>
      </c>
      <c r="C23" s="344">
        <f>+C8+C9+C10+C11+C19+C20+C21+C22</f>
        <v>205750000</v>
      </c>
      <c r="D23" s="344">
        <f>+D8+D9+D10+D11+D19+D20+D21+D22</f>
        <v>198300000</v>
      </c>
      <c r="E23" s="247">
        <f>+E8+E9+E10+E11+E19+E20+E21+E22</f>
        <v>194900000</v>
      </c>
    </row>
    <row r="24" spans="1:5" s="353" customFormat="1" ht="12" customHeight="1" thickBot="1">
      <c r="A24" s="20" t="s">
        <v>27</v>
      </c>
      <c r="B24" s="21" t="s">
        <v>523</v>
      </c>
      <c r="C24" s="443"/>
      <c r="D24" s="443"/>
      <c r="E24" s="444"/>
    </row>
    <row r="25" spans="1:5" s="353" customFormat="1" ht="12" customHeight="1" thickBot="1">
      <c r="A25" s="20" t="s">
        <v>28</v>
      </c>
      <c r="B25" s="21" t="s">
        <v>524</v>
      </c>
      <c r="C25" s="344">
        <f>+C23+C24</f>
        <v>205750000</v>
      </c>
      <c r="D25" s="344">
        <f>+D23+D24</f>
        <v>198300000</v>
      </c>
      <c r="E25" s="385">
        <f>+E23+E24</f>
        <v>194900000</v>
      </c>
    </row>
    <row r="26" spans="1:5" s="353" customFormat="1" ht="12" customHeight="1">
      <c r="A26" s="313"/>
      <c r="B26" s="314"/>
      <c r="C26" s="315"/>
      <c r="D26" s="440"/>
      <c r="E26" s="441"/>
    </row>
    <row r="27" spans="1:5" s="353" customFormat="1" ht="12" customHeight="1">
      <c r="A27" s="748" t="s">
        <v>46</v>
      </c>
      <c r="B27" s="748"/>
      <c r="C27" s="748"/>
      <c r="D27" s="748"/>
      <c r="E27" s="748"/>
    </row>
    <row r="28" spans="1:5" s="353" customFormat="1" ht="12" customHeight="1" thickBot="1">
      <c r="A28" s="745" t="s">
        <v>146</v>
      </c>
      <c r="B28" s="745"/>
      <c r="C28" s="322"/>
      <c r="D28" s="107"/>
      <c r="E28" s="251" t="str">
        <f>E5</f>
        <v>Ft-ban</v>
      </c>
    </row>
    <row r="29" spans="1:6" s="353" customFormat="1" ht="24" customHeight="1" thickBot="1">
      <c r="A29" s="23" t="s">
        <v>16</v>
      </c>
      <c r="B29" s="24" t="s">
        <v>47</v>
      </c>
      <c r="C29" s="24" t="str">
        <f>+C6</f>
        <v>2021. évi</v>
      </c>
      <c r="D29" s="24" t="str">
        <f>+D6</f>
        <v>2022. évi</v>
      </c>
      <c r="E29" s="125" t="str">
        <f>+E6</f>
        <v>2023. évi</v>
      </c>
      <c r="F29" s="442"/>
    </row>
    <row r="30" spans="1:6" s="353" customFormat="1" ht="12" customHeight="1" thickBot="1">
      <c r="A30" s="348" t="s">
        <v>482</v>
      </c>
      <c r="B30" s="349" t="s">
        <v>483</v>
      </c>
      <c r="C30" s="349" t="s">
        <v>484</v>
      </c>
      <c r="D30" s="349" t="s">
        <v>486</v>
      </c>
      <c r="E30" s="436" t="s">
        <v>485</v>
      </c>
      <c r="F30" s="442"/>
    </row>
    <row r="31" spans="1:6" s="353" customFormat="1" ht="15" customHeight="1" thickBot="1">
      <c r="A31" s="20" t="s">
        <v>18</v>
      </c>
      <c r="B31" s="25" t="s">
        <v>525</v>
      </c>
      <c r="C31" s="403">
        <v>205750000</v>
      </c>
      <c r="D31" s="403">
        <v>198300000</v>
      </c>
      <c r="E31" s="399">
        <v>194900000</v>
      </c>
      <c r="F31" s="442"/>
    </row>
    <row r="32" spans="1:5" ht="12" customHeight="1" thickBot="1">
      <c r="A32" s="415" t="s">
        <v>19</v>
      </c>
      <c r="B32" s="437" t="s">
        <v>530</v>
      </c>
      <c r="C32" s="438">
        <f>+C33+C34+C35</f>
        <v>0</v>
      </c>
      <c r="D32" s="438">
        <f>+D33+D34+D35</f>
        <v>0</v>
      </c>
      <c r="E32" s="439">
        <f>+E33+E34+E35</f>
        <v>0</v>
      </c>
    </row>
    <row r="33" spans="1:5" ht="12" customHeight="1">
      <c r="A33" s="15" t="s">
        <v>103</v>
      </c>
      <c r="B33" s="8" t="s">
        <v>222</v>
      </c>
      <c r="C33" s="339"/>
      <c r="D33" s="339"/>
      <c r="E33" s="210"/>
    </row>
    <row r="34" spans="1:5" ht="12" customHeight="1">
      <c r="A34" s="15" t="s">
        <v>104</v>
      </c>
      <c r="B34" s="12" t="s">
        <v>180</v>
      </c>
      <c r="C34" s="338"/>
      <c r="D34" s="338"/>
      <c r="E34" s="209"/>
    </row>
    <row r="35" spans="1:5" ht="12" customHeight="1" thickBot="1">
      <c r="A35" s="15" t="s">
        <v>105</v>
      </c>
      <c r="B35" s="238" t="s">
        <v>224</v>
      </c>
      <c r="C35" s="338"/>
      <c r="D35" s="338"/>
      <c r="E35" s="209"/>
    </row>
    <row r="36" spans="1:5" ht="12" customHeight="1" thickBot="1">
      <c r="A36" s="20" t="s">
        <v>20</v>
      </c>
      <c r="B36" s="91" t="s">
        <v>437</v>
      </c>
      <c r="C36" s="337">
        <f>+C31+C32</f>
        <v>205750000</v>
      </c>
      <c r="D36" s="337">
        <f>+D31+D32</f>
        <v>198300000</v>
      </c>
      <c r="E36" s="208">
        <f>+E31+E32</f>
        <v>194900000</v>
      </c>
    </row>
    <row r="37" spans="1:6" ht="15" customHeight="1" thickBot="1">
      <c r="A37" s="20" t="s">
        <v>21</v>
      </c>
      <c r="B37" s="91" t="s">
        <v>526</v>
      </c>
      <c r="C37" s="445"/>
      <c r="D37" s="445"/>
      <c r="E37" s="446"/>
      <c r="F37" s="366"/>
    </row>
    <row r="38" spans="1:5" s="353" customFormat="1" ht="12.75" customHeight="1" thickBot="1">
      <c r="A38" s="239" t="s">
        <v>22</v>
      </c>
      <c r="B38" s="320" t="s">
        <v>527</v>
      </c>
      <c r="C38" s="435">
        <f>+C36+C37</f>
        <v>205750000</v>
      </c>
      <c r="D38" s="435">
        <f>+D36+D37</f>
        <v>198300000</v>
      </c>
      <c r="E38" s="429">
        <f>+E36+E37</f>
        <v>194900000</v>
      </c>
    </row>
    <row r="39" spans="3:5" ht="15.75">
      <c r="C39" s="579">
        <f>C25-C38</f>
        <v>0</v>
      </c>
      <c r="D39" s="579">
        <f>D25-D38</f>
        <v>0</v>
      </c>
      <c r="E39" s="579">
        <f>E25-E38</f>
        <v>0</v>
      </c>
    </row>
    <row r="40" ht="15.75">
      <c r="C40" s="321"/>
    </row>
    <row r="41" ht="15.75">
      <c r="C41" s="321"/>
    </row>
    <row r="42" ht="16.5" customHeight="1">
      <c r="C42" s="321"/>
    </row>
    <row r="43" ht="15.75">
      <c r="C43" s="321"/>
    </row>
    <row r="44" ht="15.75">
      <c r="C44" s="321"/>
    </row>
    <row r="45" spans="6:7" s="321" customFormat="1" ht="15.75">
      <c r="F45" s="351"/>
      <c r="G45" s="351"/>
    </row>
    <row r="46" spans="6:7" s="321" customFormat="1" ht="15.75">
      <c r="F46" s="351"/>
      <c r="G46" s="351"/>
    </row>
    <row r="47" spans="6:7" s="321" customFormat="1" ht="15.75">
      <c r="F47" s="351"/>
      <c r="G47" s="351"/>
    </row>
    <row r="48" spans="6:7" s="321" customFormat="1" ht="15.75">
      <c r="F48" s="351"/>
      <c r="G48" s="351"/>
    </row>
    <row r="49" spans="6:7" s="321" customFormat="1" ht="15.75">
      <c r="F49" s="351"/>
      <c r="G49" s="351"/>
    </row>
    <row r="50" spans="6:7" s="321" customFormat="1" ht="15.75">
      <c r="F50" s="351"/>
      <c r="G50" s="351"/>
    </row>
    <row r="51" spans="6:7" s="321" customFormat="1" ht="15.75">
      <c r="F51" s="351"/>
      <c r="G51" s="351"/>
    </row>
  </sheetData>
  <sheetProtection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164"/>
  <sheetViews>
    <sheetView zoomScale="120" zoomScaleNormal="120" zoomScaleSheetLayoutView="100" workbookViewId="0" topLeftCell="A146">
      <selection activeCell="B171" sqref="B171"/>
    </sheetView>
  </sheetViews>
  <sheetFormatPr defaultColWidth="9.00390625" defaultRowHeight="12.75"/>
  <cols>
    <col min="1" max="1" width="9.50390625" style="321" customWidth="1"/>
    <col min="2" max="2" width="99.375" style="321" customWidth="1"/>
    <col min="3" max="3" width="21.625" style="322" customWidth="1"/>
    <col min="4" max="4" width="9.00390625" style="351" customWidth="1"/>
    <col min="5" max="16384" width="9.375" style="351" customWidth="1"/>
  </cols>
  <sheetData>
    <row r="1" spans="1:3" ht="18.75" customHeight="1">
      <c r="A1" s="557"/>
      <c r="B1" s="741" t="s">
        <v>762</v>
      </c>
      <c r="C1" s="742"/>
    </row>
    <row r="2" spans="1:3" ht="21.75" customHeight="1">
      <c r="A2" s="558"/>
      <c r="B2" s="559" t="str">
        <f>CONCATENATE(ALAPADATOK!A3)</f>
        <v>Karácsond Községi Önkormányzat</v>
      </c>
      <c r="C2" s="560"/>
    </row>
    <row r="3" spans="1:3" ht="21.75" customHeight="1">
      <c r="A3" s="560"/>
      <c r="B3" s="559" t="str">
        <f>CONCATENATE(ALAPADATOK!D7,". ÉVI KÖLTSÉGVETÉS")</f>
        <v>2020. ÉVI KÖLTSÉGVETÉS</v>
      </c>
      <c r="C3" s="560"/>
    </row>
    <row r="4" spans="1:3" ht="21.75" customHeight="1">
      <c r="A4" s="560"/>
      <c r="B4" s="559" t="s">
        <v>565</v>
      </c>
      <c r="C4" s="560"/>
    </row>
    <row r="5" spans="1:3" ht="21.75" customHeight="1">
      <c r="A5" s="557"/>
      <c r="B5" s="557"/>
      <c r="C5" s="561"/>
    </row>
    <row r="6" spans="1:3" ht="15" customHeight="1">
      <c r="A6" s="743" t="s">
        <v>15</v>
      </c>
      <c r="B6" s="743"/>
      <c r="C6" s="743"/>
    </row>
    <row r="7" spans="1:3" ht="15" customHeight="1" thickBot="1">
      <c r="A7" s="744" t="s">
        <v>145</v>
      </c>
      <c r="B7" s="744"/>
      <c r="C7" s="510" t="s">
        <v>551</v>
      </c>
    </row>
    <row r="8" spans="1:3" ht="24" customHeight="1" thickBot="1">
      <c r="A8" s="562" t="s">
        <v>68</v>
      </c>
      <c r="B8" s="563" t="s">
        <v>17</v>
      </c>
      <c r="C8" s="564" t="str">
        <f>+CONCATENATE(LEFT(KV_ÖSSZEFÜGGÉSEK!A5,4),". évi előirányzat")</f>
        <v>2020. évi előirányzat</v>
      </c>
    </row>
    <row r="9" spans="1:3" s="352" customFormat="1" ht="12" customHeight="1" thickBot="1">
      <c r="A9" s="495"/>
      <c r="B9" s="496" t="s">
        <v>482</v>
      </c>
      <c r="C9" s="497" t="s">
        <v>483</v>
      </c>
    </row>
    <row r="10" spans="1:3" s="353" customFormat="1" ht="12" customHeight="1" thickBot="1">
      <c r="A10" s="20" t="s">
        <v>18</v>
      </c>
      <c r="B10" s="21" t="s">
        <v>244</v>
      </c>
      <c r="C10" s="241">
        <f>+C11+C12+C13+C14+C15+C16</f>
        <v>180353584</v>
      </c>
    </row>
    <row r="11" spans="1:3" s="353" customFormat="1" ht="12" customHeight="1">
      <c r="A11" s="15" t="s">
        <v>97</v>
      </c>
      <c r="B11" s="354" t="s">
        <v>245</v>
      </c>
      <c r="C11" s="244">
        <v>82994587</v>
      </c>
    </row>
    <row r="12" spans="1:3" s="353" customFormat="1" ht="12" customHeight="1">
      <c r="A12" s="14" t="s">
        <v>98</v>
      </c>
      <c r="B12" s="355" t="s">
        <v>246</v>
      </c>
      <c r="C12" s="243">
        <v>61353950</v>
      </c>
    </row>
    <row r="13" spans="1:3" s="353" customFormat="1" ht="12" customHeight="1">
      <c r="A13" s="14" t="s">
        <v>99</v>
      </c>
      <c r="B13" s="355" t="s">
        <v>538</v>
      </c>
      <c r="C13" s="243">
        <v>32277067</v>
      </c>
    </row>
    <row r="14" spans="1:3" s="353" customFormat="1" ht="12" customHeight="1">
      <c r="A14" s="14" t="s">
        <v>100</v>
      </c>
      <c r="B14" s="355" t="s">
        <v>248</v>
      </c>
      <c r="C14" s="243">
        <v>3727980</v>
      </c>
    </row>
    <row r="15" spans="1:3" s="353" customFormat="1" ht="12" customHeight="1">
      <c r="A15" s="14" t="s">
        <v>141</v>
      </c>
      <c r="B15" s="237" t="s">
        <v>421</v>
      </c>
      <c r="C15" s="243"/>
    </row>
    <row r="16" spans="1:3" s="353" customFormat="1" ht="12" customHeight="1" thickBot="1">
      <c r="A16" s="16" t="s">
        <v>101</v>
      </c>
      <c r="B16" s="238" t="s">
        <v>422</v>
      </c>
      <c r="C16" s="243"/>
    </row>
    <row r="17" spans="1:3" s="353" customFormat="1" ht="12" customHeight="1" thickBot="1">
      <c r="A17" s="20" t="s">
        <v>19</v>
      </c>
      <c r="B17" s="236" t="s">
        <v>249</v>
      </c>
      <c r="C17" s="241">
        <f>+C18+C19+C20+C21+C22</f>
        <v>22455065</v>
      </c>
    </row>
    <row r="18" spans="1:3" s="353" customFormat="1" ht="12" customHeight="1">
      <c r="A18" s="15" t="s">
        <v>103</v>
      </c>
      <c r="B18" s="354" t="s">
        <v>250</v>
      </c>
      <c r="C18" s="244"/>
    </row>
    <row r="19" spans="1:3" s="353" customFormat="1" ht="12" customHeight="1">
      <c r="A19" s="14" t="s">
        <v>104</v>
      </c>
      <c r="B19" s="355" t="s">
        <v>251</v>
      </c>
      <c r="C19" s="243"/>
    </row>
    <row r="20" spans="1:3" s="353" customFormat="1" ht="12" customHeight="1">
      <c r="A20" s="14" t="s">
        <v>105</v>
      </c>
      <c r="B20" s="355" t="s">
        <v>411</v>
      </c>
      <c r="C20" s="243"/>
    </row>
    <row r="21" spans="1:3" s="353" customFormat="1" ht="12" customHeight="1">
      <c r="A21" s="14" t="s">
        <v>106</v>
      </c>
      <c r="B21" s="355" t="s">
        <v>412</v>
      </c>
      <c r="C21" s="243"/>
    </row>
    <row r="22" spans="1:3" s="353" customFormat="1" ht="12" customHeight="1">
      <c r="A22" s="14" t="s">
        <v>107</v>
      </c>
      <c r="B22" s="355" t="s">
        <v>560</v>
      </c>
      <c r="C22" s="243">
        <v>22455065</v>
      </c>
    </row>
    <row r="23" spans="1:3" s="353" customFormat="1" ht="12" customHeight="1" thickBot="1">
      <c r="A23" s="16" t="s">
        <v>116</v>
      </c>
      <c r="B23" s="238" t="s">
        <v>253</v>
      </c>
      <c r="C23" s="245"/>
    </row>
    <row r="24" spans="1:3" s="353" customFormat="1" ht="12" customHeight="1" thickBot="1">
      <c r="A24" s="20" t="s">
        <v>20</v>
      </c>
      <c r="B24" s="21" t="s">
        <v>254</v>
      </c>
      <c r="C24" s="241">
        <f>+C25+C26+C27+C28+C29</f>
        <v>4999992</v>
      </c>
    </row>
    <row r="25" spans="1:3" s="353" customFormat="1" ht="12" customHeight="1">
      <c r="A25" s="15" t="s">
        <v>86</v>
      </c>
      <c r="B25" s="354" t="s">
        <v>255</v>
      </c>
      <c r="C25" s="244"/>
    </row>
    <row r="26" spans="1:3" s="353" customFormat="1" ht="12" customHeight="1">
      <c r="A26" s="14" t="s">
        <v>87</v>
      </c>
      <c r="B26" s="355" t="s">
        <v>256</v>
      </c>
      <c r="C26" s="243"/>
    </row>
    <row r="27" spans="1:3" s="353" customFormat="1" ht="12" customHeight="1">
      <c r="A27" s="14" t="s">
        <v>88</v>
      </c>
      <c r="B27" s="355" t="s">
        <v>413</v>
      </c>
      <c r="C27" s="243"/>
    </row>
    <row r="28" spans="1:3" s="353" customFormat="1" ht="12" customHeight="1">
      <c r="A28" s="14" t="s">
        <v>89</v>
      </c>
      <c r="B28" s="355" t="s">
        <v>414</v>
      </c>
      <c r="C28" s="243"/>
    </row>
    <row r="29" spans="1:3" s="353" customFormat="1" ht="12" customHeight="1">
      <c r="A29" s="14" t="s">
        <v>164</v>
      </c>
      <c r="B29" s="355" t="s">
        <v>257</v>
      </c>
      <c r="C29" s="243">
        <v>4999992</v>
      </c>
    </row>
    <row r="30" spans="1:3" s="488" customFormat="1" ht="12" customHeight="1" thickBot="1">
      <c r="A30" s="498" t="s">
        <v>165</v>
      </c>
      <c r="B30" s="486" t="s">
        <v>555</v>
      </c>
      <c r="C30" s="487"/>
    </row>
    <row r="31" spans="1:3" s="353" customFormat="1" ht="12" customHeight="1" thickBot="1">
      <c r="A31" s="20" t="s">
        <v>166</v>
      </c>
      <c r="B31" s="21" t="s">
        <v>539</v>
      </c>
      <c r="C31" s="247">
        <f>SUM(C32:C38)</f>
        <v>73000000</v>
      </c>
    </row>
    <row r="32" spans="1:3" s="353" customFormat="1" ht="12" customHeight="1">
      <c r="A32" s="15" t="s">
        <v>260</v>
      </c>
      <c r="B32" s="354" t="s">
        <v>739</v>
      </c>
      <c r="C32" s="244">
        <v>500000</v>
      </c>
    </row>
    <row r="33" spans="1:3" s="353" customFormat="1" ht="12" customHeight="1">
      <c r="A33" s="14" t="s">
        <v>261</v>
      </c>
      <c r="B33" s="355" t="s">
        <v>543</v>
      </c>
      <c r="C33" s="243"/>
    </row>
    <row r="34" spans="1:3" s="353" customFormat="1" ht="12" customHeight="1">
      <c r="A34" s="14" t="s">
        <v>262</v>
      </c>
      <c r="B34" s="355" t="s">
        <v>544</v>
      </c>
      <c r="C34" s="243">
        <v>62000000</v>
      </c>
    </row>
    <row r="35" spans="1:3" s="353" customFormat="1" ht="12" customHeight="1">
      <c r="A35" s="14" t="s">
        <v>263</v>
      </c>
      <c r="B35" s="355" t="s">
        <v>545</v>
      </c>
      <c r="C35" s="243">
        <v>2000000</v>
      </c>
    </row>
    <row r="36" spans="1:3" s="353" customFormat="1" ht="12" customHeight="1">
      <c r="A36" s="14" t="s">
        <v>540</v>
      </c>
      <c r="B36" s="355" t="s">
        <v>264</v>
      </c>
      <c r="C36" s="243"/>
    </row>
    <row r="37" spans="1:3" s="353" customFormat="1" ht="12" customHeight="1">
      <c r="A37" s="14" t="s">
        <v>541</v>
      </c>
      <c r="B37" s="355" t="s">
        <v>738</v>
      </c>
      <c r="C37" s="243">
        <v>1000000</v>
      </c>
    </row>
    <row r="38" spans="1:3" s="353" customFormat="1" ht="12" customHeight="1" thickBot="1">
      <c r="A38" s="16" t="s">
        <v>542</v>
      </c>
      <c r="B38" s="594" t="s">
        <v>661</v>
      </c>
      <c r="C38" s="245">
        <v>7500000</v>
      </c>
    </row>
    <row r="39" spans="1:3" s="353" customFormat="1" ht="12" customHeight="1" thickBot="1">
      <c r="A39" s="20" t="s">
        <v>22</v>
      </c>
      <c r="B39" s="21" t="s">
        <v>423</v>
      </c>
      <c r="C39" s="241">
        <f>SUM(C40:C50)</f>
        <v>5235000</v>
      </c>
    </row>
    <row r="40" spans="1:3" s="353" customFormat="1" ht="12" customHeight="1">
      <c r="A40" s="15" t="s">
        <v>90</v>
      </c>
      <c r="B40" s="354" t="s">
        <v>267</v>
      </c>
      <c r="C40" s="244"/>
    </row>
    <row r="41" spans="1:3" s="353" customFormat="1" ht="12" customHeight="1">
      <c r="A41" s="14" t="s">
        <v>91</v>
      </c>
      <c r="B41" s="355" t="s">
        <v>268</v>
      </c>
      <c r="C41" s="243"/>
    </row>
    <row r="42" spans="1:3" s="353" customFormat="1" ht="12" customHeight="1">
      <c r="A42" s="14" t="s">
        <v>92</v>
      </c>
      <c r="B42" s="355" t="s">
        <v>269</v>
      </c>
      <c r="C42" s="243"/>
    </row>
    <row r="43" spans="1:3" s="353" customFormat="1" ht="12" customHeight="1">
      <c r="A43" s="14" t="s">
        <v>168</v>
      </c>
      <c r="B43" s="355" t="s">
        <v>270</v>
      </c>
      <c r="C43" s="243">
        <v>3300000</v>
      </c>
    </row>
    <row r="44" spans="1:3" s="353" customFormat="1" ht="12" customHeight="1">
      <c r="A44" s="14" t="s">
        <v>169</v>
      </c>
      <c r="B44" s="355" t="s">
        <v>271</v>
      </c>
      <c r="C44" s="243">
        <v>335000</v>
      </c>
    </row>
    <row r="45" spans="1:3" s="353" customFormat="1" ht="12" customHeight="1">
      <c r="A45" s="14" t="s">
        <v>170</v>
      </c>
      <c r="B45" s="355" t="s">
        <v>272</v>
      </c>
      <c r="C45" s="243">
        <v>100000</v>
      </c>
    </row>
    <row r="46" spans="1:3" s="353" customFormat="1" ht="12" customHeight="1">
      <c r="A46" s="14" t="s">
        <v>171</v>
      </c>
      <c r="B46" s="355" t="s">
        <v>273</v>
      </c>
      <c r="C46" s="243"/>
    </row>
    <row r="47" spans="1:3" s="353" customFormat="1" ht="12" customHeight="1">
      <c r="A47" s="14" t="s">
        <v>172</v>
      </c>
      <c r="B47" s="355" t="s">
        <v>546</v>
      </c>
      <c r="C47" s="243"/>
    </row>
    <row r="48" spans="1:3" s="353" customFormat="1" ht="12" customHeight="1">
      <c r="A48" s="14" t="s">
        <v>265</v>
      </c>
      <c r="B48" s="355" t="s">
        <v>275</v>
      </c>
      <c r="C48" s="246"/>
    </row>
    <row r="49" spans="1:3" s="353" customFormat="1" ht="12" customHeight="1">
      <c r="A49" s="16" t="s">
        <v>266</v>
      </c>
      <c r="B49" s="356" t="s">
        <v>425</v>
      </c>
      <c r="C49" s="343"/>
    </row>
    <row r="50" spans="1:3" s="353" customFormat="1" ht="12" customHeight="1" thickBot="1">
      <c r="A50" s="16" t="s">
        <v>424</v>
      </c>
      <c r="B50" s="238" t="s">
        <v>276</v>
      </c>
      <c r="C50" s="343">
        <v>1500000</v>
      </c>
    </row>
    <row r="51" spans="1:3" s="353" customFormat="1" ht="12" customHeight="1" thickBot="1">
      <c r="A51" s="20" t="s">
        <v>23</v>
      </c>
      <c r="B51" s="21" t="s">
        <v>277</v>
      </c>
      <c r="C51" s="241">
        <f>SUM(C52:C56)</f>
        <v>0</v>
      </c>
    </row>
    <row r="52" spans="1:3" s="353" customFormat="1" ht="12" customHeight="1">
      <c r="A52" s="15" t="s">
        <v>93</v>
      </c>
      <c r="B52" s="354" t="s">
        <v>281</v>
      </c>
      <c r="C52" s="398"/>
    </row>
    <row r="53" spans="1:3" s="353" customFormat="1" ht="12" customHeight="1">
      <c r="A53" s="14" t="s">
        <v>94</v>
      </c>
      <c r="B53" s="355" t="s">
        <v>282</v>
      </c>
      <c r="C53" s="246"/>
    </row>
    <row r="54" spans="1:3" s="353" customFormat="1" ht="12" customHeight="1">
      <c r="A54" s="14" t="s">
        <v>278</v>
      </c>
      <c r="B54" s="355" t="s">
        <v>283</v>
      </c>
      <c r="C54" s="246"/>
    </row>
    <row r="55" spans="1:3" s="353" customFormat="1" ht="12" customHeight="1">
      <c r="A55" s="14" t="s">
        <v>279</v>
      </c>
      <c r="B55" s="355" t="s">
        <v>284</v>
      </c>
      <c r="C55" s="246"/>
    </row>
    <row r="56" spans="1:3" s="353" customFormat="1" ht="12" customHeight="1" thickBot="1">
      <c r="A56" s="16" t="s">
        <v>280</v>
      </c>
      <c r="B56" s="238" t="s">
        <v>285</v>
      </c>
      <c r="C56" s="343"/>
    </row>
    <row r="57" spans="1:3" s="353" customFormat="1" ht="12" customHeight="1" thickBot="1">
      <c r="A57" s="20" t="s">
        <v>173</v>
      </c>
      <c r="B57" s="21" t="s">
        <v>286</v>
      </c>
      <c r="C57" s="241">
        <f>SUM(C58:C60)</f>
        <v>16428828</v>
      </c>
    </row>
    <row r="58" spans="1:3" s="353" customFormat="1" ht="12" customHeight="1">
      <c r="A58" s="15" t="s">
        <v>95</v>
      </c>
      <c r="B58" s="354" t="s">
        <v>287</v>
      </c>
      <c r="C58" s="244"/>
    </row>
    <row r="59" spans="1:3" s="353" customFormat="1" ht="12" customHeight="1">
      <c r="A59" s="14" t="s">
        <v>96</v>
      </c>
      <c r="B59" s="355" t="s">
        <v>415</v>
      </c>
      <c r="C59" s="243"/>
    </row>
    <row r="60" spans="1:3" s="353" customFormat="1" ht="12" customHeight="1">
      <c r="A60" s="14" t="s">
        <v>290</v>
      </c>
      <c r="B60" s="355" t="s">
        <v>288</v>
      </c>
      <c r="C60" s="243">
        <v>16428828</v>
      </c>
    </row>
    <row r="61" spans="1:3" s="353" customFormat="1" ht="12" customHeight="1" thickBot="1">
      <c r="A61" s="16" t="s">
        <v>291</v>
      </c>
      <c r="B61" s="238" t="s">
        <v>289</v>
      </c>
      <c r="C61" s="245"/>
    </row>
    <row r="62" spans="1:3" s="353" customFormat="1" ht="12" customHeight="1" thickBot="1">
      <c r="A62" s="20" t="s">
        <v>25</v>
      </c>
      <c r="B62" s="236" t="s">
        <v>292</v>
      </c>
      <c r="C62" s="241">
        <f>SUM(C63:C65)</f>
        <v>1758395</v>
      </c>
    </row>
    <row r="63" spans="1:3" s="353" customFormat="1" ht="12" customHeight="1">
      <c r="A63" s="15" t="s">
        <v>174</v>
      </c>
      <c r="B63" s="354" t="s">
        <v>294</v>
      </c>
      <c r="C63" s="246"/>
    </row>
    <row r="64" spans="1:3" s="353" customFormat="1" ht="12" customHeight="1">
      <c r="A64" s="14" t="s">
        <v>175</v>
      </c>
      <c r="B64" s="355" t="s">
        <v>416</v>
      </c>
      <c r="C64" s="246">
        <v>1758395</v>
      </c>
    </row>
    <row r="65" spans="1:3" s="353" customFormat="1" ht="12" customHeight="1">
      <c r="A65" s="14" t="s">
        <v>223</v>
      </c>
      <c r="B65" s="355" t="s">
        <v>295</v>
      </c>
      <c r="C65" s="246"/>
    </row>
    <row r="66" spans="1:3" s="353" customFormat="1" ht="12" customHeight="1" thickBot="1">
      <c r="A66" s="16" t="s">
        <v>293</v>
      </c>
      <c r="B66" s="238" t="s">
        <v>296</v>
      </c>
      <c r="C66" s="246"/>
    </row>
    <row r="67" spans="1:3" s="353" customFormat="1" ht="12" customHeight="1" thickBot="1">
      <c r="A67" s="420" t="s">
        <v>465</v>
      </c>
      <c r="B67" s="21" t="s">
        <v>297</v>
      </c>
      <c r="C67" s="247">
        <f>+C10+C17+C24+C31+C39+C51+C57+C62</f>
        <v>304230864</v>
      </c>
    </row>
    <row r="68" spans="1:3" s="353" customFormat="1" ht="12" customHeight="1" thickBot="1">
      <c r="A68" s="401" t="s">
        <v>298</v>
      </c>
      <c r="B68" s="236" t="s">
        <v>299</v>
      </c>
      <c r="C68" s="241">
        <f>SUM(C69:C71)</f>
        <v>0</v>
      </c>
    </row>
    <row r="69" spans="1:3" s="353" customFormat="1" ht="12" customHeight="1">
      <c r="A69" s="15" t="s">
        <v>327</v>
      </c>
      <c r="B69" s="354" t="s">
        <v>300</v>
      </c>
      <c r="C69" s="246"/>
    </row>
    <row r="70" spans="1:3" s="353" customFormat="1" ht="12" customHeight="1">
      <c r="A70" s="14" t="s">
        <v>336</v>
      </c>
      <c r="B70" s="355" t="s">
        <v>301</v>
      </c>
      <c r="C70" s="246"/>
    </row>
    <row r="71" spans="1:3" s="353" customFormat="1" ht="12" customHeight="1" thickBot="1">
      <c r="A71" s="16" t="s">
        <v>337</v>
      </c>
      <c r="B71" s="414" t="s">
        <v>556</v>
      </c>
      <c r="C71" s="246"/>
    </row>
    <row r="72" spans="1:3" s="353" customFormat="1" ht="12" customHeight="1" thickBot="1">
      <c r="A72" s="401" t="s">
        <v>303</v>
      </c>
      <c r="B72" s="236" t="s">
        <v>304</v>
      </c>
      <c r="C72" s="241">
        <f>SUM(C73:C76)</f>
        <v>0</v>
      </c>
    </row>
    <row r="73" spans="1:3" s="353" customFormat="1" ht="12" customHeight="1">
      <c r="A73" s="15" t="s">
        <v>142</v>
      </c>
      <c r="B73" s="354" t="s">
        <v>305</v>
      </c>
      <c r="C73" s="246"/>
    </row>
    <row r="74" spans="1:3" s="353" customFormat="1" ht="12" customHeight="1">
      <c r="A74" s="14" t="s">
        <v>143</v>
      </c>
      <c r="B74" s="355" t="s">
        <v>557</v>
      </c>
      <c r="C74" s="246"/>
    </row>
    <row r="75" spans="1:3" s="353" customFormat="1" ht="12" customHeight="1" thickBot="1">
      <c r="A75" s="16" t="s">
        <v>328</v>
      </c>
      <c r="B75" s="356" t="s">
        <v>306</v>
      </c>
      <c r="C75" s="343"/>
    </row>
    <row r="76" spans="1:3" s="353" customFormat="1" ht="12" customHeight="1" thickBot="1">
      <c r="A76" s="500" t="s">
        <v>329</v>
      </c>
      <c r="B76" s="501" t="s">
        <v>558</v>
      </c>
      <c r="C76" s="502"/>
    </row>
    <row r="77" spans="1:3" s="353" customFormat="1" ht="12" customHeight="1" thickBot="1">
      <c r="A77" s="401" t="s">
        <v>307</v>
      </c>
      <c r="B77" s="236" t="s">
        <v>308</v>
      </c>
      <c r="C77" s="241">
        <f>SUM(C78:C79)</f>
        <v>289986938</v>
      </c>
    </row>
    <row r="78" spans="1:3" s="353" customFormat="1" ht="12" customHeight="1" thickBot="1">
      <c r="A78" s="13" t="s">
        <v>330</v>
      </c>
      <c r="B78" s="499" t="s">
        <v>309</v>
      </c>
      <c r="C78" s="343">
        <v>289986938</v>
      </c>
    </row>
    <row r="79" spans="1:3" s="353" customFormat="1" ht="12" customHeight="1" thickBot="1">
      <c r="A79" s="500" t="s">
        <v>331</v>
      </c>
      <c r="B79" s="501" t="s">
        <v>310</v>
      </c>
      <c r="C79" s="502"/>
    </row>
    <row r="80" spans="1:3" s="353" customFormat="1" ht="12" customHeight="1" thickBot="1">
      <c r="A80" s="401" t="s">
        <v>311</v>
      </c>
      <c r="B80" s="236" t="s">
        <v>312</v>
      </c>
      <c r="C80" s="241">
        <f>SUM(C81:C83)</f>
        <v>0</v>
      </c>
    </row>
    <row r="81" spans="1:3" s="353" customFormat="1" ht="12" customHeight="1">
      <c r="A81" s="15" t="s">
        <v>332</v>
      </c>
      <c r="B81" s="354" t="s">
        <v>313</v>
      </c>
      <c r="C81" s="246"/>
    </row>
    <row r="82" spans="1:3" s="353" customFormat="1" ht="12" customHeight="1">
      <c r="A82" s="14" t="s">
        <v>333</v>
      </c>
      <c r="B82" s="355" t="s">
        <v>314</v>
      </c>
      <c r="C82" s="246"/>
    </row>
    <row r="83" spans="1:3" s="353" customFormat="1" ht="12" customHeight="1" thickBot="1">
      <c r="A83" s="18" t="s">
        <v>334</v>
      </c>
      <c r="B83" s="503" t="s">
        <v>559</v>
      </c>
      <c r="C83" s="504"/>
    </row>
    <row r="84" spans="1:3" s="353" customFormat="1" ht="12" customHeight="1" thickBot="1">
      <c r="A84" s="401" t="s">
        <v>315</v>
      </c>
      <c r="B84" s="236" t="s">
        <v>335</v>
      </c>
      <c r="C84" s="241">
        <f>SUM(C85:C88)</f>
        <v>0</v>
      </c>
    </row>
    <row r="85" spans="1:3" s="353" customFormat="1" ht="12" customHeight="1">
      <c r="A85" s="358" t="s">
        <v>316</v>
      </c>
      <c r="B85" s="354" t="s">
        <v>317</v>
      </c>
      <c r="C85" s="246"/>
    </row>
    <row r="86" spans="1:3" s="353" customFormat="1" ht="12" customHeight="1">
      <c r="A86" s="359" t="s">
        <v>318</v>
      </c>
      <c r="B86" s="355" t="s">
        <v>319</v>
      </c>
      <c r="C86" s="246"/>
    </row>
    <row r="87" spans="1:3" s="353" customFormat="1" ht="12" customHeight="1">
      <c r="A87" s="359" t="s">
        <v>320</v>
      </c>
      <c r="B87" s="355" t="s">
        <v>321</v>
      </c>
      <c r="C87" s="246"/>
    </row>
    <row r="88" spans="1:3" s="353" customFormat="1" ht="12" customHeight="1" thickBot="1">
      <c r="A88" s="360" t="s">
        <v>322</v>
      </c>
      <c r="B88" s="238" t="s">
        <v>323</v>
      </c>
      <c r="C88" s="246"/>
    </row>
    <row r="89" spans="1:3" s="353" customFormat="1" ht="12" customHeight="1" thickBot="1">
      <c r="A89" s="401" t="s">
        <v>324</v>
      </c>
      <c r="B89" s="236" t="s">
        <v>464</v>
      </c>
      <c r="C89" s="399"/>
    </row>
    <row r="90" spans="1:3" s="353" customFormat="1" ht="13.5" customHeight="1" thickBot="1">
      <c r="A90" s="401" t="s">
        <v>326</v>
      </c>
      <c r="B90" s="236" t="s">
        <v>325</v>
      </c>
      <c r="C90" s="399"/>
    </row>
    <row r="91" spans="1:3" s="353" customFormat="1" ht="15.75" customHeight="1" thickBot="1">
      <c r="A91" s="401" t="s">
        <v>338</v>
      </c>
      <c r="B91" s="361" t="s">
        <v>467</v>
      </c>
      <c r="C91" s="247">
        <f>+C68+C72+C77+C80+C84+C90+C89</f>
        <v>289986938</v>
      </c>
    </row>
    <row r="92" spans="1:3" s="353" customFormat="1" ht="16.5" customHeight="1" thickBot="1">
      <c r="A92" s="402" t="s">
        <v>466</v>
      </c>
      <c r="B92" s="362" t="s">
        <v>468</v>
      </c>
      <c r="C92" s="247">
        <f>+C67+C91</f>
        <v>594217802</v>
      </c>
    </row>
    <row r="93" spans="1:3" s="353" customFormat="1" ht="10.5" customHeight="1">
      <c r="A93" s="5"/>
      <c r="B93" s="6"/>
      <c r="C93" s="248"/>
    </row>
    <row r="94" spans="1:3" ht="16.5" customHeight="1">
      <c r="A94" s="748" t="s">
        <v>46</v>
      </c>
      <c r="B94" s="748"/>
      <c r="C94" s="748"/>
    </row>
    <row r="95" spans="1:3" s="363" customFormat="1" ht="16.5" customHeight="1" thickBot="1">
      <c r="A95" s="745" t="s">
        <v>146</v>
      </c>
      <c r="B95" s="745"/>
      <c r="C95" s="511" t="str">
        <f>C7</f>
        <v>Forintban!</v>
      </c>
    </row>
    <row r="96" spans="1:3" ht="30" customHeight="1" thickBot="1">
      <c r="A96" s="492" t="s">
        <v>68</v>
      </c>
      <c r="B96" s="493" t="s">
        <v>47</v>
      </c>
      <c r="C96" s="494" t="str">
        <f>+C8</f>
        <v>2020. évi előirányzat</v>
      </c>
    </row>
    <row r="97" spans="1:3" s="352" customFormat="1" ht="12" customHeight="1" thickBot="1">
      <c r="A97" s="492"/>
      <c r="B97" s="493" t="s">
        <v>482</v>
      </c>
      <c r="C97" s="494" t="s">
        <v>483</v>
      </c>
    </row>
    <row r="98" spans="1:3" ht="12" customHeight="1" thickBot="1">
      <c r="A98" s="22" t="s">
        <v>18</v>
      </c>
      <c r="B98" s="26" t="s">
        <v>426</v>
      </c>
      <c r="C98" s="240">
        <f>C99+C100+C101+C102+C103+C116</f>
        <v>317411429</v>
      </c>
    </row>
    <row r="99" spans="1:3" ht="12" customHeight="1">
      <c r="A99" s="17" t="s">
        <v>97</v>
      </c>
      <c r="B99" s="10" t="s">
        <v>48</v>
      </c>
      <c r="C99" s="242">
        <f>'ÖNKORM.'!C94+'KÖZÖS HIVATAL'!C47+ÁMK!D46</f>
        <v>162733873</v>
      </c>
    </row>
    <row r="100" spans="1:3" ht="12" customHeight="1">
      <c r="A100" s="14" t="s">
        <v>98</v>
      </c>
      <c r="B100" s="8" t="s">
        <v>176</v>
      </c>
      <c r="C100" s="243">
        <f>'ÖNKORM.'!C95+'KÖZÖS HIVATAL'!C48+ÁMK!D47</f>
        <v>29702879</v>
      </c>
    </row>
    <row r="101" spans="1:3" ht="12" customHeight="1">
      <c r="A101" s="14" t="s">
        <v>99</v>
      </c>
      <c r="B101" s="8" t="s">
        <v>133</v>
      </c>
      <c r="C101" s="245">
        <f>'ÖNKORM.'!C96+'KÖZÖS HIVATAL'!C49+ÁMK!D48</f>
        <v>95840667</v>
      </c>
    </row>
    <row r="102" spans="1:3" ht="12" customHeight="1">
      <c r="A102" s="14" t="s">
        <v>100</v>
      </c>
      <c r="B102" s="11" t="s">
        <v>177</v>
      </c>
      <c r="C102" s="245">
        <v>1834010</v>
      </c>
    </row>
    <row r="103" spans="1:3" ht="12" customHeight="1">
      <c r="A103" s="14" t="s">
        <v>111</v>
      </c>
      <c r="B103" s="19" t="s">
        <v>178</v>
      </c>
      <c r="C103" s="245">
        <v>24210000</v>
      </c>
    </row>
    <row r="104" spans="1:3" ht="12" customHeight="1">
      <c r="A104" s="14" t="s">
        <v>101</v>
      </c>
      <c r="B104" s="8" t="s">
        <v>431</v>
      </c>
      <c r="C104" s="245">
        <v>3600000</v>
      </c>
    </row>
    <row r="105" spans="1:3" ht="12" customHeight="1">
      <c r="A105" s="14" t="s">
        <v>102</v>
      </c>
      <c r="B105" s="111" t="s">
        <v>430</v>
      </c>
      <c r="C105" s="245"/>
    </row>
    <row r="106" spans="1:3" ht="12" customHeight="1">
      <c r="A106" s="14" t="s">
        <v>112</v>
      </c>
      <c r="B106" s="111" t="s">
        <v>429</v>
      </c>
      <c r="C106" s="245"/>
    </row>
    <row r="107" spans="1:3" ht="12" customHeight="1">
      <c r="A107" s="14" t="s">
        <v>113</v>
      </c>
      <c r="B107" s="109" t="s">
        <v>341</v>
      </c>
      <c r="C107" s="245"/>
    </row>
    <row r="108" spans="1:3" ht="12" customHeight="1">
      <c r="A108" s="14" t="s">
        <v>114</v>
      </c>
      <c r="B108" s="110" t="s">
        <v>342</v>
      </c>
      <c r="C108" s="245"/>
    </row>
    <row r="109" spans="1:3" ht="12" customHeight="1">
      <c r="A109" s="14" t="s">
        <v>115</v>
      </c>
      <c r="B109" s="110" t="s">
        <v>343</v>
      </c>
      <c r="C109" s="245"/>
    </row>
    <row r="110" spans="1:3" ht="12" customHeight="1">
      <c r="A110" s="14" t="s">
        <v>117</v>
      </c>
      <c r="B110" s="109" t="s">
        <v>344</v>
      </c>
      <c r="C110" s="245">
        <v>13800000</v>
      </c>
    </row>
    <row r="111" spans="1:3" ht="12" customHeight="1">
      <c r="A111" s="14" t="s">
        <v>179</v>
      </c>
      <c r="B111" s="109" t="s">
        <v>345</v>
      </c>
      <c r="C111" s="245"/>
    </row>
    <row r="112" spans="1:3" ht="12" customHeight="1">
      <c r="A112" s="14" t="s">
        <v>339</v>
      </c>
      <c r="B112" s="110" t="s">
        <v>346</v>
      </c>
      <c r="C112" s="245"/>
    </row>
    <row r="113" spans="1:3" ht="12" customHeight="1">
      <c r="A113" s="13" t="s">
        <v>340</v>
      </c>
      <c r="B113" s="111" t="s">
        <v>347</v>
      </c>
      <c r="C113" s="245"/>
    </row>
    <row r="114" spans="1:3" ht="12" customHeight="1">
      <c r="A114" s="14" t="s">
        <v>427</v>
      </c>
      <c r="B114" s="111" t="s">
        <v>348</v>
      </c>
      <c r="C114" s="245"/>
    </row>
    <row r="115" spans="1:3" ht="12" customHeight="1">
      <c r="A115" s="16" t="s">
        <v>428</v>
      </c>
      <c r="B115" s="111" t="s">
        <v>349</v>
      </c>
      <c r="C115" s="245">
        <v>6810000</v>
      </c>
    </row>
    <row r="116" spans="1:3" ht="12" customHeight="1">
      <c r="A116" s="14" t="s">
        <v>432</v>
      </c>
      <c r="B116" s="11" t="s">
        <v>49</v>
      </c>
      <c r="C116" s="243">
        <v>3090000</v>
      </c>
    </row>
    <row r="117" spans="1:3" ht="12" customHeight="1">
      <c r="A117" s="14" t="s">
        <v>433</v>
      </c>
      <c r="B117" s="8" t="s">
        <v>435</v>
      </c>
      <c r="C117" s="243">
        <v>3090000</v>
      </c>
    </row>
    <row r="118" spans="1:3" ht="12" customHeight="1" thickBot="1">
      <c r="A118" s="18" t="s">
        <v>434</v>
      </c>
      <c r="B118" s="418" t="s">
        <v>436</v>
      </c>
      <c r="C118" s="249"/>
    </row>
    <row r="119" spans="1:3" ht="12" customHeight="1" thickBot="1">
      <c r="A119" s="415" t="s">
        <v>19</v>
      </c>
      <c r="B119" s="416" t="s">
        <v>350</v>
      </c>
      <c r="C119" s="417">
        <f>+C120+C122+C124</f>
        <v>270421155</v>
      </c>
    </row>
    <row r="120" spans="1:3" ht="12" customHeight="1">
      <c r="A120" s="15" t="s">
        <v>103</v>
      </c>
      <c r="B120" s="8" t="s">
        <v>222</v>
      </c>
      <c r="C120" s="244">
        <f>21516043+254000+1818898</f>
        <v>23588941</v>
      </c>
    </row>
    <row r="121" spans="1:3" ht="12" customHeight="1">
      <c r="A121" s="15" t="s">
        <v>104</v>
      </c>
      <c r="B121" s="12" t="s">
        <v>354</v>
      </c>
      <c r="C121" s="244"/>
    </row>
    <row r="122" spans="1:3" ht="12" customHeight="1">
      <c r="A122" s="15" t="s">
        <v>105</v>
      </c>
      <c r="B122" s="12" t="s">
        <v>180</v>
      </c>
      <c r="C122" s="243">
        <v>246832214</v>
      </c>
    </row>
    <row r="123" spans="1:3" ht="12" customHeight="1">
      <c r="A123" s="15" t="s">
        <v>106</v>
      </c>
      <c r="B123" s="12" t="s">
        <v>355</v>
      </c>
      <c r="C123" s="209"/>
    </row>
    <row r="124" spans="1:3" ht="12" customHeight="1">
      <c r="A124" s="15" t="s">
        <v>107</v>
      </c>
      <c r="B124" s="238" t="s">
        <v>561</v>
      </c>
      <c r="C124" s="209"/>
    </row>
    <row r="125" spans="1:3" ht="12" customHeight="1">
      <c r="A125" s="15" t="s">
        <v>116</v>
      </c>
      <c r="B125" s="237" t="s">
        <v>417</v>
      </c>
      <c r="C125" s="209"/>
    </row>
    <row r="126" spans="1:3" ht="12" customHeight="1">
      <c r="A126" s="15" t="s">
        <v>118</v>
      </c>
      <c r="B126" s="350" t="s">
        <v>360</v>
      </c>
      <c r="C126" s="209"/>
    </row>
    <row r="127" spans="1:3" ht="15.75">
      <c r="A127" s="15" t="s">
        <v>181</v>
      </c>
      <c r="B127" s="110" t="s">
        <v>343</v>
      </c>
      <c r="C127" s="209"/>
    </row>
    <row r="128" spans="1:3" ht="12" customHeight="1">
      <c r="A128" s="15" t="s">
        <v>182</v>
      </c>
      <c r="B128" s="110" t="s">
        <v>359</v>
      </c>
      <c r="C128" s="209"/>
    </row>
    <row r="129" spans="1:3" ht="12" customHeight="1">
      <c r="A129" s="15" t="s">
        <v>183</v>
      </c>
      <c r="B129" s="110" t="s">
        <v>358</v>
      </c>
      <c r="C129" s="209"/>
    </row>
    <row r="130" spans="1:3" ht="12" customHeight="1">
      <c r="A130" s="15" t="s">
        <v>351</v>
      </c>
      <c r="B130" s="110" t="s">
        <v>346</v>
      </c>
      <c r="C130" s="209"/>
    </row>
    <row r="131" spans="1:3" ht="12" customHeight="1">
      <c r="A131" s="15" t="s">
        <v>352</v>
      </c>
      <c r="B131" s="110" t="s">
        <v>357</v>
      </c>
      <c r="C131" s="209"/>
    </row>
    <row r="132" spans="1:3" ht="16.5" thickBot="1">
      <c r="A132" s="13" t="s">
        <v>353</v>
      </c>
      <c r="B132" s="110" t="s">
        <v>356</v>
      </c>
      <c r="C132" s="211"/>
    </row>
    <row r="133" spans="1:3" ht="12" customHeight="1" thickBot="1">
      <c r="A133" s="20" t="s">
        <v>20</v>
      </c>
      <c r="B133" s="91" t="s">
        <v>437</v>
      </c>
      <c r="C133" s="241">
        <f>+C98+C119</f>
        <v>587832584</v>
      </c>
    </row>
    <row r="134" spans="1:3" ht="12" customHeight="1" thickBot="1">
      <c r="A134" s="20" t="s">
        <v>21</v>
      </c>
      <c r="B134" s="91" t="s">
        <v>438</v>
      </c>
      <c r="C134" s="241">
        <f>+C135+C136+C137</f>
        <v>0</v>
      </c>
    </row>
    <row r="135" spans="1:3" ht="12" customHeight="1">
      <c r="A135" s="15" t="s">
        <v>260</v>
      </c>
      <c r="B135" s="12" t="s">
        <v>445</v>
      </c>
      <c r="C135" s="209"/>
    </row>
    <row r="136" spans="1:3" ht="12" customHeight="1">
      <c r="A136" s="15" t="s">
        <v>261</v>
      </c>
      <c r="B136" s="12" t="s">
        <v>446</v>
      </c>
      <c r="C136" s="209"/>
    </row>
    <row r="137" spans="1:3" ht="12" customHeight="1" thickBot="1">
      <c r="A137" s="13" t="s">
        <v>262</v>
      </c>
      <c r="B137" s="12" t="s">
        <v>447</v>
      </c>
      <c r="C137" s="209"/>
    </row>
    <row r="138" spans="1:3" ht="12" customHeight="1" thickBot="1">
      <c r="A138" s="20" t="s">
        <v>22</v>
      </c>
      <c r="B138" s="91" t="s">
        <v>439</v>
      </c>
      <c r="C138" s="241">
        <f>SUM(C139:C144)</f>
        <v>0</v>
      </c>
    </row>
    <row r="139" spans="1:3" ht="12" customHeight="1">
      <c r="A139" s="15" t="s">
        <v>90</v>
      </c>
      <c r="B139" s="9" t="s">
        <v>448</v>
      </c>
      <c r="C139" s="209"/>
    </row>
    <row r="140" spans="1:3" ht="12" customHeight="1">
      <c r="A140" s="15" t="s">
        <v>91</v>
      </c>
      <c r="B140" s="9" t="s">
        <v>440</v>
      </c>
      <c r="C140" s="209"/>
    </row>
    <row r="141" spans="1:3" ht="12" customHeight="1">
      <c r="A141" s="15" t="s">
        <v>92</v>
      </c>
      <c r="B141" s="9" t="s">
        <v>441</v>
      </c>
      <c r="C141" s="209"/>
    </row>
    <row r="142" spans="1:3" ht="12" customHeight="1">
      <c r="A142" s="15" t="s">
        <v>168</v>
      </c>
      <c r="B142" s="9" t="s">
        <v>442</v>
      </c>
      <c r="C142" s="209"/>
    </row>
    <row r="143" spans="1:3" ht="12" customHeight="1">
      <c r="A143" s="13" t="s">
        <v>169</v>
      </c>
      <c r="B143" s="7" t="s">
        <v>443</v>
      </c>
      <c r="C143" s="211"/>
    </row>
    <row r="144" spans="1:3" ht="12" customHeight="1" thickBot="1">
      <c r="A144" s="18" t="s">
        <v>170</v>
      </c>
      <c r="B144" s="637" t="s">
        <v>444</v>
      </c>
      <c r="C144" s="425"/>
    </row>
    <row r="145" spans="1:3" ht="12" customHeight="1" thickBot="1">
      <c r="A145" s="20" t="s">
        <v>23</v>
      </c>
      <c r="B145" s="91" t="s">
        <v>452</v>
      </c>
      <c r="C145" s="247">
        <f>+C146+C147+C148+C149</f>
        <v>6385218</v>
      </c>
    </row>
    <row r="146" spans="1:3" ht="12" customHeight="1">
      <c r="A146" s="15" t="s">
        <v>93</v>
      </c>
      <c r="B146" s="9" t="s">
        <v>361</v>
      </c>
      <c r="C146" s="209"/>
    </row>
    <row r="147" spans="1:3" ht="12" customHeight="1">
      <c r="A147" s="15" t="s">
        <v>94</v>
      </c>
      <c r="B147" s="9" t="s">
        <v>362</v>
      </c>
      <c r="C147" s="209">
        <v>6385218</v>
      </c>
    </row>
    <row r="148" spans="1:3" ht="12" customHeight="1" thickBot="1">
      <c r="A148" s="13" t="s">
        <v>278</v>
      </c>
      <c r="B148" s="7" t="s">
        <v>453</v>
      </c>
      <c r="C148" s="211"/>
    </row>
    <row r="149" spans="1:3" ht="12" customHeight="1" thickBot="1">
      <c r="A149" s="500" t="s">
        <v>279</v>
      </c>
      <c r="B149" s="505" t="s">
        <v>380</v>
      </c>
      <c r="C149" s="506"/>
    </row>
    <row r="150" spans="1:3" ht="12" customHeight="1" thickBot="1">
      <c r="A150" s="20" t="s">
        <v>24</v>
      </c>
      <c r="B150" s="91" t="s">
        <v>454</v>
      </c>
      <c r="C150" s="250">
        <f>SUM(C151:C155)</f>
        <v>0</v>
      </c>
    </row>
    <row r="151" spans="1:3" ht="12" customHeight="1">
      <c r="A151" s="15" t="s">
        <v>95</v>
      </c>
      <c r="B151" s="9" t="s">
        <v>449</v>
      </c>
      <c r="C151" s="209"/>
    </row>
    <row r="152" spans="1:3" ht="12" customHeight="1">
      <c r="A152" s="15" t="s">
        <v>96</v>
      </c>
      <c r="B152" s="9" t="s">
        <v>456</v>
      </c>
      <c r="C152" s="209"/>
    </row>
    <row r="153" spans="1:3" ht="12" customHeight="1">
      <c r="A153" s="15" t="s">
        <v>290</v>
      </c>
      <c r="B153" s="9" t="s">
        <v>451</v>
      </c>
      <c r="C153" s="209"/>
    </row>
    <row r="154" spans="1:3" ht="12" customHeight="1">
      <c r="A154" s="15" t="s">
        <v>291</v>
      </c>
      <c r="B154" s="9" t="s">
        <v>507</v>
      </c>
      <c r="C154" s="209"/>
    </row>
    <row r="155" spans="1:3" ht="12" customHeight="1" thickBot="1">
      <c r="A155" s="15" t="s">
        <v>455</v>
      </c>
      <c r="B155" s="9" t="s">
        <v>458</v>
      </c>
      <c r="C155" s="209"/>
    </row>
    <row r="156" spans="1:3" ht="12" customHeight="1" thickBot="1">
      <c r="A156" s="20" t="s">
        <v>25</v>
      </c>
      <c r="B156" s="91" t="s">
        <v>459</v>
      </c>
      <c r="C156" s="419"/>
    </row>
    <row r="157" spans="1:3" ht="12" customHeight="1" thickBot="1">
      <c r="A157" s="20" t="s">
        <v>26</v>
      </c>
      <c r="B157" s="91" t="s">
        <v>460</v>
      </c>
      <c r="C157" s="419"/>
    </row>
    <row r="158" spans="1:9" ht="15" customHeight="1" thickBot="1">
      <c r="A158" s="20" t="s">
        <v>27</v>
      </c>
      <c r="B158" s="91" t="s">
        <v>462</v>
      </c>
      <c r="C158" s="507">
        <f>+C134+C138+C145+C150+C156+C157</f>
        <v>6385218</v>
      </c>
      <c r="F158" s="365"/>
      <c r="G158" s="366"/>
      <c r="H158" s="366"/>
      <c r="I158" s="366"/>
    </row>
    <row r="159" spans="1:3" s="353" customFormat="1" ht="17.25" customHeight="1" thickBot="1">
      <c r="A159" s="239" t="s">
        <v>28</v>
      </c>
      <c r="B159" s="508" t="s">
        <v>461</v>
      </c>
      <c r="C159" s="507">
        <f>+C133+C158</f>
        <v>594217802</v>
      </c>
    </row>
    <row r="160" spans="1:3" ht="15.75" customHeight="1">
      <c r="A160" s="565"/>
      <c r="B160" s="565"/>
      <c r="C160" s="566">
        <f>C92-C159</f>
        <v>0</v>
      </c>
    </row>
    <row r="161" spans="1:3" ht="15.75">
      <c r="A161" s="746" t="s">
        <v>363</v>
      </c>
      <c r="B161" s="746"/>
      <c r="C161" s="746"/>
    </row>
    <row r="162" spans="1:3" ht="15" customHeight="1" thickBot="1">
      <c r="A162" s="747" t="s">
        <v>147</v>
      </c>
      <c r="B162" s="747"/>
      <c r="C162" s="512" t="str">
        <f>C95</f>
        <v>Forintban!</v>
      </c>
    </row>
    <row r="163" spans="1:4" ht="13.5" customHeight="1" thickBot="1">
      <c r="A163" s="20">
        <v>1</v>
      </c>
      <c r="B163" s="25" t="s">
        <v>463</v>
      </c>
      <c r="C163" s="241">
        <f>+C67-C133</f>
        <v>-283601720</v>
      </c>
      <c r="D163" s="367"/>
    </row>
    <row r="164" spans="1:3" ht="27.75" customHeight="1" thickBot="1">
      <c r="A164" s="20" t="s">
        <v>19</v>
      </c>
      <c r="B164" s="25" t="s">
        <v>469</v>
      </c>
      <c r="C164" s="241">
        <f>+C91-C158</f>
        <v>283601720</v>
      </c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1" fitToWidth="1" horizontalDpi="600" verticalDpi="600" orientation="portrait" paperSize="8" scale="51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164"/>
  <sheetViews>
    <sheetView zoomScale="120" zoomScaleNormal="120" zoomScaleSheetLayoutView="100" workbookViewId="0" topLeftCell="A162">
      <selection activeCell="A94" sqref="A94:C165"/>
    </sheetView>
  </sheetViews>
  <sheetFormatPr defaultColWidth="9.00390625" defaultRowHeight="12.75"/>
  <cols>
    <col min="1" max="1" width="9.50390625" style="321" customWidth="1"/>
    <col min="2" max="2" width="99.375" style="321" customWidth="1"/>
    <col min="3" max="3" width="21.625" style="322" customWidth="1"/>
    <col min="4" max="4" width="9.00390625" style="351" customWidth="1"/>
    <col min="5" max="16384" width="9.375" style="351" customWidth="1"/>
  </cols>
  <sheetData>
    <row r="1" spans="1:3" ht="18.75" customHeight="1">
      <c r="A1" s="557"/>
      <c r="B1" s="741" t="s">
        <v>763</v>
      </c>
      <c r="C1" s="742"/>
    </row>
    <row r="2" spans="1:3" ht="21.75" customHeight="1">
      <c r="A2" s="558"/>
      <c r="B2" s="559" t="str">
        <f>CONCATENATE(ALAPADATOK!A3)</f>
        <v>Karácsond Községi Önkormányzat</v>
      </c>
      <c r="C2" s="560"/>
    </row>
    <row r="3" spans="1:3" ht="21.75" customHeight="1">
      <c r="A3" s="560"/>
      <c r="B3" s="559" t="str">
        <f>'Össz.ÖNK'!B3</f>
        <v>2020. ÉVI KÖLTSÉGVETÉS</v>
      </c>
      <c r="C3" s="560"/>
    </row>
    <row r="4" spans="1:3" ht="21.75" customHeight="1">
      <c r="A4" s="560"/>
      <c r="B4" s="559" t="s">
        <v>566</v>
      </c>
      <c r="C4" s="560"/>
    </row>
    <row r="5" spans="1:3" ht="21.75" customHeight="1">
      <c r="A5" s="557"/>
      <c r="B5" s="557"/>
      <c r="C5" s="561"/>
    </row>
    <row r="6" spans="1:3" ht="15" customHeight="1">
      <c r="A6" s="743" t="s">
        <v>15</v>
      </c>
      <c r="B6" s="743"/>
      <c r="C6" s="743"/>
    </row>
    <row r="7" spans="1:3" ht="15" customHeight="1" thickBot="1">
      <c r="A7" s="744" t="s">
        <v>145</v>
      </c>
      <c r="B7" s="744"/>
      <c r="C7" s="510" t="str">
        <f>CONCATENATE('Össz.ÖNK'!C7)</f>
        <v>Forintban!</v>
      </c>
    </row>
    <row r="8" spans="1:3" ht="24" customHeight="1" thickBot="1">
      <c r="A8" s="562" t="s">
        <v>68</v>
      </c>
      <c r="B8" s="563" t="s">
        <v>17</v>
      </c>
      <c r="C8" s="564" t="str">
        <f>+CONCATENATE(LEFT(KV_ÖSSZEFÜGGÉSEK!A5,4),". évi előirányzat")</f>
        <v>2020. évi előirányzat</v>
      </c>
    </row>
    <row r="9" spans="1:3" s="352" customFormat="1" ht="12" customHeight="1" thickBot="1">
      <c r="A9" s="495"/>
      <c r="B9" s="496" t="s">
        <v>482</v>
      </c>
      <c r="C9" s="497" t="s">
        <v>483</v>
      </c>
    </row>
    <row r="10" spans="1:3" s="353" customFormat="1" ht="12" customHeight="1" thickBot="1">
      <c r="A10" s="20" t="s">
        <v>18</v>
      </c>
      <c r="B10" s="21" t="s">
        <v>244</v>
      </c>
      <c r="C10" s="241">
        <f>+C11+C12+C13+C14+C15+C16</f>
        <v>180353584</v>
      </c>
    </row>
    <row r="11" spans="1:3" s="353" customFormat="1" ht="12" customHeight="1">
      <c r="A11" s="15" t="s">
        <v>97</v>
      </c>
      <c r="B11" s="354" t="s">
        <v>245</v>
      </c>
      <c r="C11" s="244">
        <f>'ÖNK-Kötelező'!C9</f>
        <v>82994587</v>
      </c>
    </row>
    <row r="12" spans="1:3" s="353" customFormat="1" ht="12" customHeight="1">
      <c r="A12" s="14" t="s">
        <v>98</v>
      </c>
      <c r="B12" s="355" t="s">
        <v>246</v>
      </c>
      <c r="C12" s="243">
        <f>'ÖNK-Kötelező'!C10</f>
        <v>61353950</v>
      </c>
    </row>
    <row r="13" spans="1:3" s="353" customFormat="1" ht="12" customHeight="1">
      <c r="A13" s="14" t="s">
        <v>99</v>
      </c>
      <c r="B13" s="355" t="s">
        <v>538</v>
      </c>
      <c r="C13" s="243">
        <f>'ÖNK-Kötelező'!C11</f>
        <v>32277067</v>
      </c>
    </row>
    <row r="14" spans="1:3" s="353" customFormat="1" ht="12" customHeight="1">
      <c r="A14" s="14" t="s">
        <v>100</v>
      </c>
      <c r="B14" s="355" t="s">
        <v>248</v>
      </c>
      <c r="C14" s="243">
        <f>'ÖNK-Kötelező'!C12</f>
        <v>3727980</v>
      </c>
    </row>
    <row r="15" spans="1:3" s="353" customFormat="1" ht="12" customHeight="1">
      <c r="A15" s="14" t="s">
        <v>141</v>
      </c>
      <c r="B15" s="237" t="s">
        <v>421</v>
      </c>
      <c r="C15" s="243"/>
    </row>
    <row r="16" spans="1:3" s="353" customFormat="1" ht="12" customHeight="1" thickBot="1">
      <c r="A16" s="16" t="s">
        <v>101</v>
      </c>
      <c r="B16" s="238" t="s">
        <v>422</v>
      </c>
      <c r="C16" s="243"/>
    </row>
    <row r="17" spans="1:3" s="353" customFormat="1" ht="12" customHeight="1" thickBot="1">
      <c r="A17" s="20" t="s">
        <v>19</v>
      </c>
      <c r="B17" s="236" t="s">
        <v>249</v>
      </c>
      <c r="C17" s="241">
        <f>+C18+C19+C20+C21+C22</f>
        <v>22455065</v>
      </c>
    </row>
    <row r="18" spans="1:3" s="353" customFormat="1" ht="12" customHeight="1">
      <c r="A18" s="15" t="s">
        <v>103</v>
      </c>
      <c r="B18" s="354" t="s">
        <v>250</v>
      </c>
      <c r="C18" s="244"/>
    </row>
    <row r="19" spans="1:3" s="353" customFormat="1" ht="12" customHeight="1">
      <c r="A19" s="14" t="s">
        <v>104</v>
      </c>
      <c r="B19" s="355" t="s">
        <v>251</v>
      </c>
      <c r="C19" s="243"/>
    </row>
    <row r="20" spans="1:3" s="353" customFormat="1" ht="12" customHeight="1">
      <c r="A20" s="14" t="s">
        <v>105</v>
      </c>
      <c r="B20" s="355" t="s">
        <v>411</v>
      </c>
      <c r="C20" s="243"/>
    </row>
    <row r="21" spans="1:3" s="353" customFormat="1" ht="12" customHeight="1">
      <c r="A21" s="14" t="s">
        <v>106</v>
      </c>
      <c r="B21" s="355" t="s">
        <v>412</v>
      </c>
      <c r="C21" s="243"/>
    </row>
    <row r="22" spans="1:3" s="353" customFormat="1" ht="12" customHeight="1">
      <c r="A22" s="14" t="s">
        <v>107</v>
      </c>
      <c r="B22" s="355" t="s">
        <v>560</v>
      </c>
      <c r="C22" s="243">
        <f>'ÖNK-Kötelező'!C20</f>
        <v>22455065</v>
      </c>
    </row>
    <row r="23" spans="1:3" s="353" customFormat="1" ht="12" customHeight="1" thickBot="1">
      <c r="A23" s="16" t="s">
        <v>116</v>
      </c>
      <c r="B23" s="238" t="s">
        <v>253</v>
      </c>
      <c r="C23" s="245"/>
    </row>
    <row r="24" spans="1:3" s="353" customFormat="1" ht="12" customHeight="1" thickBot="1">
      <c r="A24" s="20" t="s">
        <v>20</v>
      </c>
      <c r="B24" s="21" t="s">
        <v>254</v>
      </c>
      <c r="C24" s="241">
        <f>+C25+C26+C27+C28+C29</f>
        <v>0</v>
      </c>
    </row>
    <row r="25" spans="1:3" s="353" customFormat="1" ht="12" customHeight="1">
      <c r="A25" s="15" t="s">
        <v>86</v>
      </c>
      <c r="B25" s="354" t="s">
        <v>255</v>
      </c>
      <c r="C25" s="244"/>
    </row>
    <row r="26" spans="1:3" s="353" customFormat="1" ht="12" customHeight="1">
      <c r="A26" s="14" t="s">
        <v>87</v>
      </c>
      <c r="B26" s="355" t="s">
        <v>256</v>
      </c>
      <c r="C26" s="243"/>
    </row>
    <row r="27" spans="1:3" s="353" customFormat="1" ht="12" customHeight="1">
      <c r="A27" s="14" t="s">
        <v>88</v>
      </c>
      <c r="B27" s="355" t="s">
        <v>413</v>
      </c>
      <c r="C27" s="243"/>
    </row>
    <row r="28" spans="1:3" s="353" customFormat="1" ht="12" customHeight="1">
      <c r="A28" s="14" t="s">
        <v>89</v>
      </c>
      <c r="B28" s="355" t="s">
        <v>414</v>
      </c>
      <c r="C28" s="243"/>
    </row>
    <row r="29" spans="1:3" s="353" customFormat="1" ht="12" customHeight="1">
      <c r="A29" s="14" t="s">
        <v>164</v>
      </c>
      <c r="B29" s="355" t="s">
        <v>257</v>
      </c>
      <c r="C29" s="243"/>
    </row>
    <row r="30" spans="1:3" s="488" customFormat="1" ht="12" customHeight="1" thickBot="1">
      <c r="A30" s="498" t="s">
        <v>165</v>
      </c>
      <c r="B30" s="486" t="s">
        <v>555</v>
      </c>
      <c r="C30" s="487"/>
    </row>
    <row r="31" spans="1:3" s="353" customFormat="1" ht="12" customHeight="1" thickBot="1">
      <c r="A31" s="20" t="s">
        <v>166</v>
      </c>
      <c r="B31" s="21" t="s">
        <v>539</v>
      </c>
      <c r="C31" s="247">
        <f>SUM(C32:C38)</f>
        <v>73000000</v>
      </c>
    </row>
    <row r="32" spans="1:3" s="353" customFormat="1" ht="12" customHeight="1">
      <c r="A32" s="15" t="s">
        <v>260</v>
      </c>
      <c r="B32" s="354" t="str">
        <f>'Össz.ÖNK'!B32</f>
        <v>Késedelmi pótlék</v>
      </c>
      <c r="C32" s="244">
        <f>'ÖNK-Kötelező'!C30</f>
        <v>500000</v>
      </c>
    </row>
    <row r="33" spans="1:3" s="353" customFormat="1" ht="12" customHeight="1">
      <c r="A33" s="14" t="s">
        <v>261</v>
      </c>
      <c r="B33" s="354" t="str">
        <f>'Össz.ÖNK'!B33</f>
        <v>Idegenforgalmi adó</v>
      </c>
      <c r="C33" s="243"/>
    </row>
    <row r="34" spans="1:3" s="353" customFormat="1" ht="12" customHeight="1">
      <c r="A34" s="14" t="s">
        <v>262</v>
      </c>
      <c r="B34" s="354" t="str">
        <f>'Össz.ÖNK'!B34</f>
        <v>Iparűzési adó</v>
      </c>
      <c r="C34" s="243">
        <f>'ÖNK-Kötelező'!C32</f>
        <v>62000000</v>
      </c>
    </row>
    <row r="35" spans="1:3" s="353" customFormat="1" ht="12" customHeight="1">
      <c r="A35" s="14" t="s">
        <v>263</v>
      </c>
      <c r="B35" s="354" t="str">
        <f>'Össz.ÖNK'!B35</f>
        <v>Talajterhelési díj</v>
      </c>
      <c r="C35" s="243">
        <f>'ÖNK-Kötelező'!C33</f>
        <v>2000000</v>
      </c>
    </row>
    <row r="36" spans="1:3" s="353" customFormat="1" ht="12" customHeight="1">
      <c r="A36" s="14" t="s">
        <v>540</v>
      </c>
      <c r="B36" s="354" t="str">
        <f>'Össz.ÖNK'!B36</f>
        <v>Gépjárműadó</v>
      </c>
      <c r="C36" s="243">
        <f>'ÖNK-Kötelező'!C34</f>
        <v>0</v>
      </c>
    </row>
    <row r="37" spans="1:3" s="353" customFormat="1" ht="12" customHeight="1">
      <c r="A37" s="14" t="s">
        <v>541</v>
      </c>
      <c r="B37" s="354" t="str">
        <f>'Össz.ÖNK'!B37</f>
        <v>Egyéb bírság</v>
      </c>
      <c r="C37" s="243">
        <f>'ÖNK-Kötelező'!C35</f>
        <v>1000000</v>
      </c>
    </row>
    <row r="38" spans="1:3" s="353" customFormat="1" ht="12" customHeight="1" thickBot="1">
      <c r="A38" s="16" t="s">
        <v>542</v>
      </c>
      <c r="B38" s="354" t="str">
        <f>'Össz.ÖNK'!B38</f>
        <v>Kommunális adó</v>
      </c>
      <c r="C38" s="245">
        <f>'ÖNK-Kötelező'!C36</f>
        <v>7500000</v>
      </c>
    </row>
    <row r="39" spans="1:3" s="353" customFormat="1" ht="12" customHeight="1" thickBot="1">
      <c r="A39" s="20" t="s">
        <v>22</v>
      </c>
      <c r="B39" s="21" t="s">
        <v>423</v>
      </c>
      <c r="C39" s="241">
        <f>SUM(C40:C50)</f>
        <v>3735000</v>
      </c>
    </row>
    <row r="40" spans="1:3" s="353" customFormat="1" ht="12" customHeight="1">
      <c r="A40" s="15" t="s">
        <v>90</v>
      </c>
      <c r="B40" s="354" t="s">
        <v>267</v>
      </c>
      <c r="C40" s="244"/>
    </row>
    <row r="41" spans="1:3" s="353" customFormat="1" ht="12" customHeight="1">
      <c r="A41" s="14" t="s">
        <v>91</v>
      </c>
      <c r="B41" s="355" t="s">
        <v>268</v>
      </c>
      <c r="C41" s="243"/>
    </row>
    <row r="42" spans="1:3" s="353" customFormat="1" ht="12" customHeight="1">
      <c r="A42" s="14" t="s">
        <v>92</v>
      </c>
      <c r="B42" s="355" t="s">
        <v>269</v>
      </c>
      <c r="C42" s="243"/>
    </row>
    <row r="43" spans="1:3" s="353" customFormat="1" ht="12" customHeight="1">
      <c r="A43" s="14" t="s">
        <v>168</v>
      </c>
      <c r="B43" s="355" t="s">
        <v>270</v>
      </c>
      <c r="C43" s="243">
        <f>'ÁMK KÖT'!D12+'ÖNK-Kötelező'!C41</f>
        <v>3300000</v>
      </c>
    </row>
    <row r="44" spans="1:3" s="353" customFormat="1" ht="12" customHeight="1">
      <c r="A44" s="14" t="s">
        <v>169</v>
      </c>
      <c r="B44" s="355" t="s">
        <v>271</v>
      </c>
      <c r="C44" s="243">
        <f>'ÁMK KÖT'!D13</f>
        <v>335000</v>
      </c>
    </row>
    <row r="45" spans="1:3" s="353" customFormat="1" ht="12" customHeight="1">
      <c r="A45" s="14" t="s">
        <v>170</v>
      </c>
      <c r="B45" s="355" t="s">
        <v>272</v>
      </c>
      <c r="C45" s="243">
        <f>'ÁMK KÖT'!D14</f>
        <v>100000</v>
      </c>
    </row>
    <row r="46" spans="1:3" s="353" customFormat="1" ht="12" customHeight="1">
      <c r="A46" s="14" t="s">
        <v>171</v>
      </c>
      <c r="B46" s="355" t="s">
        <v>273</v>
      </c>
      <c r="C46" s="243"/>
    </row>
    <row r="47" spans="1:3" s="353" customFormat="1" ht="12" customHeight="1">
      <c r="A47" s="14" t="s">
        <v>172</v>
      </c>
      <c r="B47" s="355" t="s">
        <v>546</v>
      </c>
      <c r="C47" s="243"/>
    </row>
    <row r="48" spans="1:3" s="353" customFormat="1" ht="12" customHeight="1">
      <c r="A48" s="14" t="s">
        <v>265</v>
      </c>
      <c r="B48" s="355" t="s">
        <v>275</v>
      </c>
      <c r="C48" s="246"/>
    </row>
    <row r="49" spans="1:3" s="353" customFormat="1" ht="12" customHeight="1">
      <c r="A49" s="16" t="s">
        <v>266</v>
      </c>
      <c r="B49" s="356" t="s">
        <v>425</v>
      </c>
      <c r="C49" s="343"/>
    </row>
    <row r="50" spans="1:3" s="353" customFormat="1" ht="12" customHeight="1" thickBot="1">
      <c r="A50" s="16" t="s">
        <v>424</v>
      </c>
      <c r="B50" s="238" t="s">
        <v>276</v>
      </c>
      <c r="C50" s="343"/>
    </row>
    <row r="51" spans="1:3" s="353" customFormat="1" ht="12" customHeight="1" thickBot="1">
      <c r="A51" s="20" t="s">
        <v>23</v>
      </c>
      <c r="B51" s="21" t="s">
        <v>277</v>
      </c>
      <c r="C51" s="241">
        <f>SUM(C52:C56)</f>
        <v>0</v>
      </c>
    </row>
    <row r="52" spans="1:3" s="353" customFormat="1" ht="12" customHeight="1">
      <c r="A52" s="15" t="s">
        <v>93</v>
      </c>
      <c r="B52" s="354" t="s">
        <v>281</v>
      </c>
      <c r="C52" s="398"/>
    </row>
    <row r="53" spans="1:3" s="353" customFormat="1" ht="12" customHeight="1">
      <c r="A53" s="14" t="s">
        <v>94</v>
      </c>
      <c r="B53" s="355" t="s">
        <v>282</v>
      </c>
      <c r="C53" s="246"/>
    </row>
    <row r="54" spans="1:3" s="353" customFormat="1" ht="12" customHeight="1">
      <c r="A54" s="14" t="s">
        <v>278</v>
      </c>
      <c r="B54" s="355" t="s">
        <v>283</v>
      </c>
      <c r="C54" s="246"/>
    </row>
    <row r="55" spans="1:3" s="353" customFormat="1" ht="12" customHeight="1">
      <c r="A55" s="14" t="s">
        <v>279</v>
      </c>
      <c r="B55" s="355" t="s">
        <v>284</v>
      </c>
      <c r="C55" s="246"/>
    </row>
    <row r="56" spans="1:3" s="353" customFormat="1" ht="12" customHeight="1" thickBot="1">
      <c r="A56" s="16" t="s">
        <v>280</v>
      </c>
      <c r="B56" s="238" t="s">
        <v>285</v>
      </c>
      <c r="C56" s="343"/>
    </row>
    <row r="57" spans="1:3" s="353" customFormat="1" ht="12" customHeight="1" thickBot="1">
      <c r="A57" s="20" t="s">
        <v>173</v>
      </c>
      <c r="B57" s="21" t="s">
        <v>286</v>
      </c>
      <c r="C57" s="241">
        <f>SUM(C58:C60)</f>
        <v>16428828</v>
      </c>
    </row>
    <row r="58" spans="1:3" s="353" customFormat="1" ht="12" customHeight="1">
      <c r="A58" s="15" t="s">
        <v>95</v>
      </c>
      <c r="B58" s="354" t="s">
        <v>287</v>
      </c>
      <c r="C58" s="244"/>
    </row>
    <row r="59" spans="1:3" s="353" customFormat="1" ht="12" customHeight="1">
      <c r="A59" s="14" t="s">
        <v>96</v>
      </c>
      <c r="B59" s="355" t="s">
        <v>415</v>
      </c>
      <c r="C59" s="243"/>
    </row>
    <row r="60" spans="1:3" s="353" customFormat="1" ht="12" customHeight="1">
      <c r="A60" s="14" t="s">
        <v>290</v>
      </c>
      <c r="B60" s="355" t="s">
        <v>288</v>
      </c>
      <c r="C60" s="243">
        <v>16428828</v>
      </c>
    </row>
    <row r="61" spans="1:3" s="353" customFormat="1" ht="12" customHeight="1" thickBot="1">
      <c r="A61" s="16" t="s">
        <v>291</v>
      </c>
      <c r="B61" s="238" t="s">
        <v>289</v>
      </c>
      <c r="C61" s="245"/>
    </row>
    <row r="62" spans="1:3" s="353" customFormat="1" ht="12" customHeight="1" thickBot="1">
      <c r="A62" s="20" t="s">
        <v>25</v>
      </c>
      <c r="B62" s="236" t="s">
        <v>292</v>
      </c>
      <c r="C62" s="241">
        <f>SUM(C63:C65)</f>
        <v>0</v>
      </c>
    </row>
    <row r="63" spans="1:3" s="353" customFormat="1" ht="12" customHeight="1">
      <c r="A63" s="15" t="s">
        <v>174</v>
      </c>
      <c r="B63" s="354" t="s">
        <v>294</v>
      </c>
      <c r="C63" s="246"/>
    </row>
    <row r="64" spans="1:3" s="353" customFormat="1" ht="12" customHeight="1">
      <c r="A64" s="14" t="s">
        <v>175</v>
      </c>
      <c r="B64" s="355" t="s">
        <v>416</v>
      </c>
      <c r="C64" s="246"/>
    </row>
    <row r="65" spans="1:3" s="353" customFormat="1" ht="12" customHeight="1">
      <c r="A65" s="14" t="s">
        <v>223</v>
      </c>
      <c r="B65" s="355" t="s">
        <v>295</v>
      </c>
      <c r="C65" s="246"/>
    </row>
    <row r="66" spans="1:3" s="353" customFormat="1" ht="12" customHeight="1" thickBot="1">
      <c r="A66" s="16" t="s">
        <v>293</v>
      </c>
      <c r="B66" s="238" t="s">
        <v>296</v>
      </c>
      <c r="C66" s="246"/>
    </row>
    <row r="67" spans="1:3" s="353" customFormat="1" ht="12" customHeight="1" thickBot="1">
      <c r="A67" s="420" t="s">
        <v>465</v>
      </c>
      <c r="B67" s="21" t="s">
        <v>297</v>
      </c>
      <c r="C67" s="247">
        <f>+C10+C17+C24+C31+C39+C51+C57+C62</f>
        <v>295972477</v>
      </c>
    </row>
    <row r="68" spans="1:3" s="353" customFormat="1" ht="12" customHeight="1" thickBot="1">
      <c r="A68" s="401" t="s">
        <v>298</v>
      </c>
      <c r="B68" s="236" t="s">
        <v>299</v>
      </c>
      <c r="C68" s="241">
        <f>SUM(C69:C71)</f>
        <v>0</v>
      </c>
    </row>
    <row r="69" spans="1:3" s="353" customFormat="1" ht="12" customHeight="1">
      <c r="A69" s="15" t="s">
        <v>327</v>
      </c>
      <c r="B69" s="354" t="s">
        <v>300</v>
      </c>
      <c r="C69" s="246"/>
    </row>
    <row r="70" spans="1:3" s="353" customFormat="1" ht="12" customHeight="1">
      <c r="A70" s="14" t="s">
        <v>336</v>
      </c>
      <c r="B70" s="355" t="s">
        <v>301</v>
      </c>
      <c r="C70" s="246"/>
    </row>
    <row r="71" spans="1:3" s="353" customFormat="1" ht="12" customHeight="1" thickBot="1">
      <c r="A71" s="16" t="s">
        <v>337</v>
      </c>
      <c r="B71" s="414" t="s">
        <v>556</v>
      </c>
      <c r="C71" s="246"/>
    </row>
    <row r="72" spans="1:3" s="353" customFormat="1" ht="12" customHeight="1" thickBot="1">
      <c r="A72" s="401" t="s">
        <v>303</v>
      </c>
      <c r="B72" s="236" t="s">
        <v>304</v>
      </c>
      <c r="C72" s="241">
        <f>SUM(C73:C76)</f>
        <v>0</v>
      </c>
    </row>
    <row r="73" spans="1:3" s="353" customFormat="1" ht="12" customHeight="1">
      <c r="A73" s="15" t="s">
        <v>142</v>
      </c>
      <c r="B73" s="354" t="s">
        <v>305</v>
      </c>
      <c r="C73" s="246"/>
    </row>
    <row r="74" spans="1:3" s="353" customFormat="1" ht="12" customHeight="1">
      <c r="A74" s="14" t="s">
        <v>143</v>
      </c>
      <c r="B74" s="355" t="s">
        <v>557</v>
      </c>
      <c r="C74" s="246"/>
    </row>
    <row r="75" spans="1:3" s="353" customFormat="1" ht="12" customHeight="1" thickBot="1">
      <c r="A75" s="16" t="s">
        <v>328</v>
      </c>
      <c r="B75" s="356" t="s">
        <v>306</v>
      </c>
      <c r="C75" s="343"/>
    </row>
    <row r="76" spans="1:3" s="353" customFormat="1" ht="12" customHeight="1" thickBot="1">
      <c r="A76" s="500" t="s">
        <v>329</v>
      </c>
      <c r="B76" s="501" t="s">
        <v>558</v>
      </c>
      <c r="C76" s="502"/>
    </row>
    <row r="77" spans="1:3" s="353" customFormat="1" ht="12" customHeight="1" thickBot="1">
      <c r="A77" s="401" t="s">
        <v>307</v>
      </c>
      <c r="B77" s="236" t="s">
        <v>308</v>
      </c>
      <c r="C77" s="241">
        <f>SUM(C78:C79)</f>
        <v>289986938</v>
      </c>
    </row>
    <row r="78" spans="1:3" s="353" customFormat="1" ht="12" customHeight="1" thickBot="1">
      <c r="A78" s="13" t="s">
        <v>330</v>
      </c>
      <c r="B78" s="499" t="s">
        <v>309</v>
      </c>
      <c r="C78" s="343">
        <f>'ÖNK-Kötelező'!C76+'ÁMK KÖT'!D38</f>
        <v>289986938</v>
      </c>
    </row>
    <row r="79" spans="1:3" s="353" customFormat="1" ht="12" customHeight="1" thickBot="1">
      <c r="A79" s="500" t="s">
        <v>331</v>
      </c>
      <c r="B79" s="501" t="s">
        <v>310</v>
      </c>
      <c r="C79" s="502"/>
    </row>
    <row r="80" spans="1:3" s="353" customFormat="1" ht="12" customHeight="1" thickBot="1">
      <c r="A80" s="401" t="s">
        <v>311</v>
      </c>
      <c r="B80" s="236" t="s">
        <v>312</v>
      </c>
      <c r="C80" s="241">
        <f>SUM(C81:C83)</f>
        <v>0</v>
      </c>
    </row>
    <row r="81" spans="1:3" s="353" customFormat="1" ht="12" customHeight="1">
      <c r="A81" s="15" t="s">
        <v>332</v>
      </c>
      <c r="B81" s="354" t="s">
        <v>313</v>
      </c>
      <c r="C81" s="246"/>
    </row>
    <row r="82" spans="1:3" s="353" customFormat="1" ht="12" customHeight="1">
      <c r="A82" s="14" t="s">
        <v>333</v>
      </c>
      <c r="B82" s="355" t="s">
        <v>314</v>
      </c>
      <c r="C82" s="246"/>
    </row>
    <row r="83" spans="1:3" s="353" customFormat="1" ht="12" customHeight="1" thickBot="1">
      <c r="A83" s="18" t="s">
        <v>334</v>
      </c>
      <c r="B83" s="503" t="s">
        <v>559</v>
      </c>
      <c r="C83" s="504"/>
    </row>
    <row r="84" spans="1:3" s="353" customFormat="1" ht="12" customHeight="1" thickBot="1">
      <c r="A84" s="401" t="s">
        <v>315</v>
      </c>
      <c r="B84" s="236" t="s">
        <v>335</v>
      </c>
      <c r="C84" s="241">
        <f>SUM(C85:C88)</f>
        <v>0</v>
      </c>
    </row>
    <row r="85" spans="1:3" s="353" customFormat="1" ht="12" customHeight="1">
      <c r="A85" s="358" t="s">
        <v>316</v>
      </c>
      <c r="B85" s="354" t="s">
        <v>317</v>
      </c>
      <c r="C85" s="246"/>
    </row>
    <row r="86" spans="1:3" s="353" customFormat="1" ht="12" customHeight="1">
      <c r="A86" s="359" t="s">
        <v>318</v>
      </c>
      <c r="B86" s="355" t="s">
        <v>319</v>
      </c>
      <c r="C86" s="246"/>
    </row>
    <row r="87" spans="1:3" s="353" customFormat="1" ht="12" customHeight="1">
      <c r="A87" s="359" t="s">
        <v>320</v>
      </c>
      <c r="B87" s="355" t="s">
        <v>321</v>
      </c>
      <c r="C87" s="246"/>
    </row>
    <row r="88" spans="1:3" s="353" customFormat="1" ht="12" customHeight="1" thickBot="1">
      <c r="A88" s="360" t="s">
        <v>322</v>
      </c>
      <c r="B88" s="238" t="s">
        <v>323</v>
      </c>
      <c r="C88" s="246"/>
    </row>
    <row r="89" spans="1:3" s="353" customFormat="1" ht="12" customHeight="1" thickBot="1">
      <c r="A89" s="401" t="s">
        <v>324</v>
      </c>
      <c r="B89" s="236" t="s">
        <v>464</v>
      </c>
      <c r="C89" s="399"/>
    </row>
    <row r="90" spans="1:3" s="353" customFormat="1" ht="13.5" customHeight="1" thickBot="1">
      <c r="A90" s="401" t="s">
        <v>326</v>
      </c>
      <c r="B90" s="236" t="s">
        <v>325</v>
      </c>
      <c r="C90" s="399"/>
    </row>
    <row r="91" spans="1:3" s="353" customFormat="1" ht="15.75" customHeight="1" thickBot="1">
      <c r="A91" s="401" t="s">
        <v>338</v>
      </c>
      <c r="B91" s="361" t="s">
        <v>467</v>
      </c>
      <c r="C91" s="247">
        <f>+C68+C72+C77+C80+C84+C90+C89</f>
        <v>289986938</v>
      </c>
    </row>
    <row r="92" spans="1:3" s="353" customFormat="1" ht="16.5" customHeight="1" thickBot="1">
      <c r="A92" s="402" t="s">
        <v>466</v>
      </c>
      <c r="B92" s="362" t="s">
        <v>468</v>
      </c>
      <c r="C92" s="247">
        <f>+C67+C91</f>
        <v>585959415</v>
      </c>
    </row>
    <row r="93" spans="1:3" s="353" customFormat="1" ht="10.5" customHeight="1">
      <c r="A93" s="5"/>
      <c r="B93" s="6"/>
      <c r="C93" s="248"/>
    </row>
    <row r="94" spans="1:3" ht="16.5" customHeight="1">
      <c r="A94" s="748" t="s">
        <v>46</v>
      </c>
      <c r="B94" s="748"/>
      <c r="C94" s="748"/>
    </row>
    <row r="95" spans="1:3" s="363" customFormat="1" ht="16.5" customHeight="1" thickBot="1">
      <c r="A95" s="745" t="s">
        <v>146</v>
      </c>
      <c r="B95" s="745"/>
      <c r="C95" s="511" t="str">
        <f>C7</f>
        <v>Forintban!</v>
      </c>
    </row>
    <row r="96" spans="1:3" ht="30" customHeight="1" thickBot="1">
      <c r="A96" s="492" t="s">
        <v>68</v>
      </c>
      <c r="B96" s="493" t="s">
        <v>47</v>
      </c>
      <c r="C96" s="494" t="str">
        <f>+C8</f>
        <v>2020. évi előirányzat</v>
      </c>
    </row>
    <row r="97" spans="1:3" s="352" customFormat="1" ht="12" customHeight="1" thickBot="1">
      <c r="A97" s="492"/>
      <c r="B97" s="493" t="s">
        <v>482</v>
      </c>
      <c r="C97" s="494" t="s">
        <v>483</v>
      </c>
    </row>
    <row r="98" spans="1:3" ht="12" customHeight="1" thickBot="1">
      <c r="A98" s="22" t="s">
        <v>18</v>
      </c>
      <c r="B98" s="26" t="s">
        <v>426</v>
      </c>
      <c r="C98" s="240">
        <f>C99+C100+C101+C102+C103+C116</f>
        <v>234423199</v>
      </c>
    </row>
    <row r="99" spans="1:3" ht="12" customHeight="1">
      <c r="A99" s="17" t="s">
        <v>97</v>
      </c>
      <c r="B99" s="10" t="s">
        <v>48</v>
      </c>
      <c r="C99" s="242">
        <f>'KÖH KÖT'!C47+'ÁMK KÖT'!D46+'ÖNK-Kötelező'!C94</f>
        <v>137640365</v>
      </c>
    </row>
    <row r="100" spans="1:3" ht="12" customHeight="1">
      <c r="A100" s="14" t="s">
        <v>98</v>
      </c>
      <c r="B100" s="8" t="s">
        <v>176</v>
      </c>
      <c r="C100" s="243">
        <f>'ÖNK-Kötelező'!C95+'KÖH KÖT'!C48+'ÁMK KÖT'!D47</f>
        <v>24993885</v>
      </c>
    </row>
    <row r="101" spans="1:3" ht="12" customHeight="1">
      <c r="A101" s="14" t="s">
        <v>99</v>
      </c>
      <c r="B101" s="8" t="s">
        <v>133</v>
      </c>
      <c r="C101" s="245">
        <f>'ÖNK-Kötelező'!C96+'KÖH KÖT'!C49+'ÁMK KÖT'!D48</f>
        <v>65098949</v>
      </c>
    </row>
    <row r="102" spans="1:3" ht="12" customHeight="1">
      <c r="A102" s="14" t="s">
        <v>100</v>
      </c>
      <c r="B102" s="11" t="s">
        <v>177</v>
      </c>
      <c r="C102" s="245"/>
    </row>
    <row r="103" spans="1:3" ht="12" customHeight="1">
      <c r="A103" s="14" t="s">
        <v>111</v>
      </c>
      <c r="B103" s="19" t="s">
        <v>178</v>
      </c>
      <c r="C103" s="245">
        <v>3600000</v>
      </c>
    </row>
    <row r="104" spans="1:3" ht="12" customHeight="1">
      <c r="A104" s="14" t="s">
        <v>101</v>
      </c>
      <c r="B104" s="8" t="s">
        <v>431</v>
      </c>
      <c r="C104" s="245">
        <f>'ÖNK-Kötelező'!C99</f>
        <v>3600000</v>
      </c>
    </row>
    <row r="105" spans="1:3" ht="12" customHeight="1">
      <c r="A105" s="14" t="s">
        <v>102</v>
      </c>
      <c r="B105" s="111" t="s">
        <v>430</v>
      </c>
      <c r="C105" s="245"/>
    </row>
    <row r="106" spans="1:3" ht="12" customHeight="1">
      <c r="A106" s="14" t="s">
        <v>112</v>
      </c>
      <c r="B106" s="111" t="s">
        <v>429</v>
      </c>
      <c r="C106" s="245"/>
    </row>
    <row r="107" spans="1:3" ht="12" customHeight="1">
      <c r="A107" s="14" t="s">
        <v>113</v>
      </c>
      <c r="B107" s="109" t="s">
        <v>341</v>
      </c>
      <c r="C107" s="245"/>
    </row>
    <row r="108" spans="1:3" ht="12" customHeight="1">
      <c r="A108" s="14" t="s">
        <v>114</v>
      </c>
      <c r="B108" s="110" t="s">
        <v>342</v>
      </c>
      <c r="C108" s="245"/>
    </row>
    <row r="109" spans="1:3" ht="12" customHeight="1">
      <c r="A109" s="14" t="s">
        <v>115</v>
      </c>
      <c r="B109" s="110" t="s">
        <v>343</v>
      </c>
      <c r="C109" s="245"/>
    </row>
    <row r="110" spans="1:3" ht="12" customHeight="1">
      <c r="A110" s="14" t="s">
        <v>117</v>
      </c>
      <c r="B110" s="109" t="s">
        <v>344</v>
      </c>
      <c r="C110" s="245"/>
    </row>
    <row r="111" spans="1:3" ht="12" customHeight="1">
      <c r="A111" s="14" t="s">
        <v>179</v>
      </c>
      <c r="B111" s="109" t="s">
        <v>345</v>
      </c>
      <c r="C111" s="245"/>
    </row>
    <row r="112" spans="1:3" ht="12" customHeight="1">
      <c r="A112" s="14" t="s">
        <v>339</v>
      </c>
      <c r="B112" s="110" t="s">
        <v>346</v>
      </c>
      <c r="C112" s="245"/>
    </row>
    <row r="113" spans="1:3" ht="12" customHeight="1">
      <c r="A113" s="13" t="s">
        <v>340</v>
      </c>
      <c r="B113" s="111" t="s">
        <v>347</v>
      </c>
      <c r="C113" s="245"/>
    </row>
    <row r="114" spans="1:3" ht="12" customHeight="1">
      <c r="A114" s="14" t="s">
        <v>427</v>
      </c>
      <c r="B114" s="111" t="s">
        <v>348</v>
      </c>
      <c r="C114" s="245"/>
    </row>
    <row r="115" spans="1:3" ht="12" customHeight="1">
      <c r="A115" s="16" t="s">
        <v>428</v>
      </c>
      <c r="B115" s="111" t="s">
        <v>349</v>
      </c>
      <c r="C115" s="245"/>
    </row>
    <row r="116" spans="1:3" ht="12" customHeight="1">
      <c r="A116" s="14" t="s">
        <v>432</v>
      </c>
      <c r="B116" s="11" t="s">
        <v>49</v>
      </c>
      <c r="C116" s="243">
        <f>'ÖNK-Kötelező'!C111</f>
        <v>3090000</v>
      </c>
    </row>
    <row r="117" spans="1:3" ht="12" customHeight="1">
      <c r="A117" s="14" t="s">
        <v>433</v>
      </c>
      <c r="B117" s="8" t="s">
        <v>435</v>
      </c>
      <c r="C117" s="243">
        <v>3090000</v>
      </c>
    </row>
    <row r="118" spans="1:3" ht="12" customHeight="1" thickBot="1">
      <c r="A118" s="18" t="s">
        <v>434</v>
      </c>
      <c r="B118" s="418" t="s">
        <v>436</v>
      </c>
      <c r="C118" s="249"/>
    </row>
    <row r="119" spans="1:3" ht="12" customHeight="1" thickBot="1">
      <c r="A119" s="415" t="s">
        <v>19</v>
      </c>
      <c r="B119" s="416" t="s">
        <v>350</v>
      </c>
      <c r="C119" s="417">
        <f>+C120+C122+C124</f>
        <v>2072898</v>
      </c>
    </row>
    <row r="120" spans="1:3" ht="12" customHeight="1">
      <c r="A120" s="15" t="s">
        <v>103</v>
      </c>
      <c r="B120" s="8" t="s">
        <v>222</v>
      </c>
      <c r="C120" s="244">
        <f>'KÖH KÖT'!C53+'ÁMK KÖT'!D52</f>
        <v>2072898</v>
      </c>
    </row>
    <row r="121" spans="1:3" ht="12" customHeight="1">
      <c r="A121" s="15" t="s">
        <v>104</v>
      </c>
      <c r="B121" s="12" t="s">
        <v>354</v>
      </c>
      <c r="C121" s="244"/>
    </row>
    <row r="122" spans="1:3" ht="12" customHeight="1">
      <c r="A122" s="15" t="s">
        <v>105</v>
      </c>
      <c r="B122" s="12" t="s">
        <v>180</v>
      </c>
      <c r="C122" s="243"/>
    </row>
    <row r="123" spans="1:3" ht="12" customHeight="1">
      <c r="A123" s="15" t="s">
        <v>106</v>
      </c>
      <c r="B123" s="12" t="s">
        <v>355</v>
      </c>
      <c r="C123" s="209"/>
    </row>
    <row r="124" spans="1:3" ht="12" customHeight="1">
      <c r="A124" s="15" t="s">
        <v>107</v>
      </c>
      <c r="B124" s="238" t="s">
        <v>561</v>
      </c>
      <c r="C124" s="209"/>
    </row>
    <row r="125" spans="1:3" ht="12" customHeight="1">
      <c r="A125" s="15" t="s">
        <v>116</v>
      </c>
      <c r="B125" s="237" t="s">
        <v>417</v>
      </c>
      <c r="C125" s="209"/>
    </row>
    <row r="126" spans="1:3" ht="12" customHeight="1">
      <c r="A126" s="15" t="s">
        <v>118</v>
      </c>
      <c r="B126" s="350" t="s">
        <v>360</v>
      </c>
      <c r="C126" s="209"/>
    </row>
    <row r="127" spans="1:3" ht="15.75">
      <c r="A127" s="15" t="s">
        <v>181</v>
      </c>
      <c r="B127" s="110" t="s">
        <v>343</v>
      </c>
      <c r="C127" s="209"/>
    </row>
    <row r="128" spans="1:3" ht="12" customHeight="1">
      <c r="A128" s="15" t="s">
        <v>182</v>
      </c>
      <c r="B128" s="110" t="s">
        <v>359</v>
      </c>
      <c r="C128" s="209"/>
    </row>
    <row r="129" spans="1:3" ht="12" customHeight="1">
      <c r="A129" s="15" t="s">
        <v>183</v>
      </c>
      <c r="B129" s="110" t="s">
        <v>358</v>
      </c>
      <c r="C129" s="209"/>
    </row>
    <row r="130" spans="1:3" ht="12" customHeight="1">
      <c r="A130" s="15" t="s">
        <v>351</v>
      </c>
      <c r="B130" s="110" t="s">
        <v>346</v>
      </c>
      <c r="C130" s="209"/>
    </row>
    <row r="131" spans="1:3" ht="12" customHeight="1">
      <c r="A131" s="15" t="s">
        <v>352</v>
      </c>
      <c r="B131" s="110" t="s">
        <v>357</v>
      </c>
      <c r="C131" s="209"/>
    </row>
    <row r="132" spans="1:3" ht="16.5" thickBot="1">
      <c r="A132" s="13" t="s">
        <v>353</v>
      </c>
      <c r="B132" s="110" t="s">
        <v>356</v>
      </c>
      <c r="C132" s="211"/>
    </row>
    <row r="133" spans="1:3" ht="12" customHeight="1" thickBot="1">
      <c r="A133" s="20" t="s">
        <v>20</v>
      </c>
      <c r="B133" s="91" t="s">
        <v>437</v>
      </c>
      <c r="C133" s="241">
        <f>+C98+C119</f>
        <v>236496097</v>
      </c>
    </row>
    <row r="134" spans="1:3" ht="12" customHeight="1" thickBot="1">
      <c r="A134" s="20" t="s">
        <v>21</v>
      </c>
      <c r="B134" s="91" t="s">
        <v>438</v>
      </c>
      <c r="C134" s="241">
        <f>+C135+C136+C137</f>
        <v>0</v>
      </c>
    </row>
    <row r="135" spans="1:3" ht="12" customHeight="1">
      <c r="A135" s="15" t="s">
        <v>260</v>
      </c>
      <c r="B135" s="12" t="s">
        <v>445</v>
      </c>
      <c r="C135" s="209"/>
    </row>
    <row r="136" spans="1:3" ht="12" customHeight="1">
      <c r="A136" s="15" t="s">
        <v>261</v>
      </c>
      <c r="B136" s="12" t="s">
        <v>446</v>
      </c>
      <c r="C136" s="209"/>
    </row>
    <row r="137" spans="1:3" ht="12" customHeight="1" thickBot="1">
      <c r="A137" s="13" t="s">
        <v>262</v>
      </c>
      <c r="B137" s="12" t="s">
        <v>447</v>
      </c>
      <c r="C137" s="209"/>
    </row>
    <row r="138" spans="1:3" ht="12" customHeight="1" thickBot="1">
      <c r="A138" s="20" t="s">
        <v>22</v>
      </c>
      <c r="B138" s="91" t="s">
        <v>439</v>
      </c>
      <c r="C138" s="241">
        <f>SUM(C139:C144)</f>
        <v>0</v>
      </c>
    </row>
    <row r="139" spans="1:3" ht="12" customHeight="1">
      <c r="A139" s="15" t="s">
        <v>90</v>
      </c>
      <c r="B139" s="9" t="s">
        <v>448</v>
      </c>
      <c r="C139" s="209"/>
    </row>
    <row r="140" spans="1:3" ht="12" customHeight="1">
      <c r="A140" s="15" t="s">
        <v>91</v>
      </c>
      <c r="B140" s="9" t="s">
        <v>440</v>
      </c>
      <c r="C140" s="209"/>
    </row>
    <row r="141" spans="1:3" ht="12" customHeight="1">
      <c r="A141" s="15" t="s">
        <v>92</v>
      </c>
      <c r="B141" s="9" t="s">
        <v>441</v>
      </c>
      <c r="C141" s="209"/>
    </row>
    <row r="142" spans="1:3" ht="12" customHeight="1">
      <c r="A142" s="15" t="s">
        <v>168</v>
      </c>
      <c r="B142" s="9" t="s">
        <v>442</v>
      </c>
      <c r="C142" s="209"/>
    </row>
    <row r="143" spans="1:3" ht="12" customHeight="1">
      <c r="A143" s="13" t="s">
        <v>169</v>
      </c>
      <c r="B143" s="7" t="s">
        <v>443</v>
      </c>
      <c r="C143" s="211"/>
    </row>
    <row r="144" spans="1:3" ht="12" customHeight="1" thickBot="1">
      <c r="A144" s="18" t="s">
        <v>170</v>
      </c>
      <c r="B144" s="637" t="s">
        <v>444</v>
      </c>
      <c r="C144" s="425"/>
    </row>
    <row r="145" spans="1:3" ht="12" customHeight="1" thickBot="1">
      <c r="A145" s="20" t="s">
        <v>23</v>
      </c>
      <c r="B145" s="91" t="s">
        <v>452</v>
      </c>
      <c r="C145" s="247">
        <f>+C146+C147+C148+C149</f>
        <v>6385218</v>
      </c>
    </row>
    <row r="146" spans="1:3" ht="12" customHeight="1">
      <c r="A146" s="15" t="s">
        <v>93</v>
      </c>
      <c r="B146" s="9" t="s">
        <v>361</v>
      </c>
      <c r="C146" s="209"/>
    </row>
    <row r="147" spans="1:3" ht="12" customHeight="1">
      <c r="A147" s="15" t="s">
        <v>94</v>
      </c>
      <c r="B147" s="9" t="s">
        <v>362</v>
      </c>
      <c r="C147" s="209">
        <f>'ÖNK-Kötelező'!C142</f>
        <v>6385218</v>
      </c>
    </row>
    <row r="148" spans="1:3" ht="12" customHeight="1" thickBot="1">
      <c r="A148" s="13" t="s">
        <v>278</v>
      </c>
      <c r="B148" s="7" t="s">
        <v>453</v>
      </c>
      <c r="C148" s="211"/>
    </row>
    <row r="149" spans="1:3" ht="12" customHeight="1" thickBot="1">
      <c r="A149" s="500" t="s">
        <v>279</v>
      </c>
      <c r="B149" s="505" t="s">
        <v>380</v>
      </c>
      <c r="C149" s="506"/>
    </row>
    <row r="150" spans="1:3" ht="12" customHeight="1" thickBot="1">
      <c r="A150" s="20" t="s">
        <v>24</v>
      </c>
      <c r="B150" s="91" t="s">
        <v>454</v>
      </c>
      <c r="C150" s="250">
        <f>SUM(C151:C155)</f>
        <v>0</v>
      </c>
    </row>
    <row r="151" spans="1:3" ht="12" customHeight="1">
      <c r="A151" s="15" t="s">
        <v>95</v>
      </c>
      <c r="B151" s="9" t="s">
        <v>449</v>
      </c>
      <c r="C151" s="209"/>
    </row>
    <row r="152" spans="1:3" ht="12" customHeight="1">
      <c r="A152" s="15" t="s">
        <v>96</v>
      </c>
      <c r="B152" s="9" t="s">
        <v>456</v>
      </c>
      <c r="C152" s="209"/>
    </row>
    <row r="153" spans="1:3" ht="12" customHeight="1">
      <c r="A153" s="15" t="s">
        <v>290</v>
      </c>
      <c r="B153" s="9" t="s">
        <v>451</v>
      </c>
      <c r="C153" s="209"/>
    </row>
    <row r="154" spans="1:3" ht="12" customHeight="1">
      <c r="A154" s="15" t="s">
        <v>291</v>
      </c>
      <c r="B154" s="9" t="s">
        <v>507</v>
      </c>
      <c r="C154" s="209"/>
    </row>
    <row r="155" spans="1:3" ht="12" customHeight="1" thickBot="1">
      <c r="A155" s="15" t="s">
        <v>455</v>
      </c>
      <c r="B155" s="9" t="s">
        <v>458</v>
      </c>
      <c r="C155" s="209"/>
    </row>
    <row r="156" spans="1:3" ht="12" customHeight="1" thickBot="1">
      <c r="A156" s="20" t="s">
        <v>25</v>
      </c>
      <c r="B156" s="91" t="s">
        <v>459</v>
      </c>
      <c r="C156" s="419"/>
    </row>
    <row r="157" spans="1:3" ht="12" customHeight="1" thickBot="1">
      <c r="A157" s="20" t="s">
        <v>26</v>
      </c>
      <c r="B157" s="91" t="s">
        <v>460</v>
      </c>
      <c r="C157" s="419"/>
    </row>
    <row r="158" spans="1:9" ht="15" customHeight="1" thickBot="1">
      <c r="A158" s="20" t="s">
        <v>27</v>
      </c>
      <c r="B158" s="91" t="s">
        <v>462</v>
      </c>
      <c r="C158" s="507">
        <f>+C134+C138+C145+C150+C156+C157</f>
        <v>6385218</v>
      </c>
      <c r="F158" s="365"/>
      <c r="G158" s="366"/>
      <c r="H158" s="366"/>
      <c r="I158" s="366"/>
    </row>
    <row r="159" spans="1:3" s="353" customFormat="1" ht="17.25" customHeight="1" thickBot="1">
      <c r="A159" s="239" t="s">
        <v>28</v>
      </c>
      <c r="B159" s="508" t="s">
        <v>461</v>
      </c>
      <c r="C159" s="507">
        <f>+C133+C158</f>
        <v>242881315</v>
      </c>
    </row>
    <row r="160" spans="1:3" ht="15.75" customHeight="1">
      <c r="A160" s="509"/>
      <c r="B160" s="509"/>
      <c r="C160" s="566">
        <f>C92-C159</f>
        <v>343078100</v>
      </c>
    </row>
    <row r="161" spans="1:3" ht="15.75">
      <c r="A161" s="746" t="s">
        <v>363</v>
      </c>
      <c r="B161" s="746"/>
      <c r="C161" s="746"/>
    </row>
    <row r="162" spans="1:3" ht="15" customHeight="1" thickBot="1">
      <c r="A162" s="747" t="s">
        <v>147</v>
      </c>
      <c r="B162" s="747"/>
      <c r="C162" s="512" t="str">
        <f>C95</f>
        <v>Forintban!</v>
      </c>
    </row>
    <row r="163" spans="1:4" ht="13.5" customHeight="1" thickBot="1">
      <c r="A163" s="20">
        <v>1</v>
      </c>
      <c r="B163" s="25" t="s">
        <v>463</v>
      </c>
      <c r="C163" s="241">
        <f>+C67-C133</f>
        <v>59476380</v>
      </c>
      <c r="D163" s="367"/>
    </row>
    <row r="164" spans="1:3" ht="27.75" customHeight="1" thickBot="1">
      <c r="A164" s="20" t="s">
        <v>19</v>
      </c>
      <c r="B164" s="25" t="s">
        <v>469</v>
      </c>
      <c r="C164" s="241">
        <f>+C91-C158</f>
        <v>283601720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1" fitToWidth="1" horizontalDpi="600" verticalDpi="600" orientation="portrait" paperSize="8" scale="51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164"/>
  <sheetViews>
    <sheetView zoomScale="120" zoomScaleNormal="120" zoomScaleSheetLayoutView="100" workbookViewId="0" topLeftCell="A135">
      <selection activeCell="A94" sqref="A94:C165"/>
    </sheetView>
  </sheetViews>
  <sheetFormatPr defaultColWidth="9.00390625" defaultRowHeight="12.75"/>
  <cols>
    <col min="1" max="1" width="9.50390625" style="321" customWidth="1"/>
    <col min="2" max="2" width="99.375" style="321" customWidth="1"/>
    <col min="3" max="3" width="21.625" style="322" customWidth="1"/>
    <col min="4" max="4" width="9.00390625" style="351" customWidth="1"/>
    <col min="5" max="16384" width="9.375" style="351" customWidth="1"/>
  </cols>
  <sheetData>
    <row r="1" spans="1:3" ht="18.75" customHeight="1">
      <c r="A1" s="557"/>
      <c r="B1" s="741" t="s">
        <v>764</v>
      </c>
      <c r="C1" s="742"/>
    </row>
    <row r="2" spans="1:3" ht="21.75" customHeight="1">
      <c r="A2" s="558"/>
      <c r="B2" s="559" t="str">
        <f>CONCATENATE(ALAPADATOK!A3)</f>
        <v>Karácsond Községi Önkormányzat</v>
      </c>
      <c r="C2" s="560"/>
    </row>
    <row r="3" spans="1:3" ht="21.75" customHeight="1">
      <c r="A3" s="560"/>
      <c r="B3" s="559" t="str">
        <f>'Össz.Önk. KÖT.'!B3</f>
        <v>2020. ÉVI KÖLTSÉGVETÉS</v>
      </c>
      <c r="C3" s="560"/>
    </row>
    <row r="4" spans="1:3" ht="21.75" customHeight="1">
      <c r="A4" s="560"/>
      <c r="B4" s="559" t="s">
        <v>567</v>
      </c>
      <c r="C4" s="560"/>
    </row>
    <row r="5" spans="1:3" ht="21.75" customHeight="1">
      <c r="A5" s="557"/>
      <c r="B5" s="557"/>
      <c r="C5" s="561"/>
    </row>
    <row r="6" spans="1:3" ht="15" customHeight="1">
      <c r="A6" s="743" t="s">
        <v>15</v>
      </c>
      <c r="B6" s="743"/>
      <c r="C6" s="743"/>
    </row>
    <row r="7" spans="1:3" ht="15" customHeight="1" thickBot="1">
      <c r="A7" s="744" t="s">
        <v>145</v>
      </c>
      <c r="B7" s="744"/>
      <c r="C7" s="510" t="str">
        <f>CONCATENATE('Össz.ÖNK'!C7)</f>
        <v>Forintban!</v>
      </c>
    </row>
    <row r="8" spans="1:3" ht="24" customHeight="1" thickBot="1">
      <c r="A8" s="562" t="s">
        <v>68</v>
      </c>
      <c r="B8" s="563" t="s">
        <v>17</v>
      </c>
      <c r="C8" s="564" t="str">
        <f>+CONCATENATE(LEFT(KV_ÖSSZEFÜGGÉSEK!A5,4),". évi előirányzat")</f>
        <v>2020. évi előirányzat</v>
      </c>
    </row>
    <row r="9" spans="1:3" s="352" customFormat="1" ht="12" customHeight="1" thickBot="1">
      <c r="A9" s="495"/>
      <c r="B9" s="496" t="s">
        <v>482</v>
      </c>
      <c r="C9" s="497" t="s">
        <v>483</v>
      </c>
    </row>
    <row r="10" spans="1:3" s="353" customFormat="1" ht="12" customHeight="1" thickBot="1">
      <c r="A10" s="20" t="s">
        <v>18</v>
      </c>
      <c r="B10" s="21" t="s">
        <v>244</v>
      </c>
      <c r="C10" s="241">
        <f>+C11+C12+C13+C14+C15+C16</f>
        <v>0</v>
      </c>
    </row>
    <row r="11" spans="1:3" s="353" customFormat="1" ht="12" customHeight="1">
      <c r="A11" s="15" t="s">
        <v>97</v>
      </c>
      <c r="B11" s="354" t="s">
        <v>245</v>
      </c>
      <c r="C11" s="244"/>
    </row>
    <row r="12" spans="1:3" s="353" customFormat="1" ht="12" customHeight="1">
      <c r="A12" s="14" t="s">
        <v>98</v>
      </c>
      <c r="B12" s="355" t="s">
        <v>246</v>
      </c>
      <c r="C12" s="243"/>
    </row>
    <row r="13" spans="1:3" s="353" customFormat="1" ht="12" customHeight="1">
      <c r="A13" s="14" t="s">
        <v>99</v>
      </c>
      <c r="B13" s="355" t="s">
        <v>538</v>
      </c>
      <c r="C13" s="243"/>
    </row>
    <row r="14" spans="1:3" s="353" customFormat="1" ht="12" customHeight="1">
      <c r="A14" s="14" t="s">
        <v>100</v>
      </c>
      <c r="B14" s="355" t="s">
        <v>248</v>
      </c>
      <c r="C14" s="243"/>
    </row>
    <row r="15" spans="1:3" s="353" customFormat="1" ht="12" customHeight="1">
      <c r="A15" s="14" t="s">
        <v>141</v>
      </c>
      <c r="B15" s="237" t="s">
        <v>421</v>
      </c>
      <c r="C15" s="243"/>
    </row>
    <row r="16" spans="1:3" s="353" customFormat="1" ht="12" customHeight="1" thickBot="1">
      <c r="A16" s="16" t="s">
        <v>101</v>
      </c>
      <c r="B16" s="238" t="s">
        <v>422</v>
      </c>
      <c r="C16" s="243"/>
    </row>
    <row r="17" spans="1:3" s="353" customFormat="1" ht="12" customHeight="1" thickBot="1">
      <c r="A17" s="20" t="s">
        <v>19</v>
      </c>
      <c r="B17" s="236" t="s">
        <v>249</v>
      </c>
      <c r="C17" s="241">
        <f>+C18+C19+C20+C21+C22</f>
        <v>0</v>
      </c>
    </row>
    <row r="18" spans="1:3" s="353" customFormat="1" ht="12" customHeight="1">
      <c r="A18" s="15" t="s">
        <v>103</v>
      </c>
      <c r="B18" s="354" t="s">
        <v>250</v>
      </c>
      <c r="C18" s="244"/>
    </row>
    <row r="19" spans="1:3" s="353" customFormat="1" ht="12" customHeight="1">
      <c r="A19" s="14" t="s">
        <v>104</v>
      </c>
      <c r="B19" s="355" t="s">
        <v>251</v>
      </c>
      <c r="C19" s="243"/>
    </row>
    <row r="20" spans="1:3" s="353" customFormat="1" ht="12" customHeight="1">
      <c r="A20" s="14" t="s">
        <v>105</v>
      </c>
      <c r="B20" s="355" t="s">
        <v>411</v>
      </c>
      <c r="C20" s="243"/>
    </row>
    <row r="21" spans="1:3" s="353" customFormat="1" ht="12" customHeight="1">
      <c r="A21" s="14" t="s">
        <v>106</v>
      </c>
      <c r="B21" s="355" t="s">
        <v>412</v>
      </c>
      <c r="C21" s="243"/>
    </row>
    <row r="22" spans="1:3" s="353" customFormat="1" ht="12" customHeight="1">
      <c r="A22" s="14" t="s">
        <v>107</v>
      </c>
      <c r="B22" s="355" t="s">
        <v>560</v>
      </c>
      <c r="C22" s="243"/>
    </row>
    <row r="23" spans="1:3" s="353" customFormat="1" ht="12" customHeight="1" thickBot="1">
      <c r="A23" s="16" t="s">
        <v>116</v>
      </c>
      <c r="B23" s="238" t="s">
        <v>253</v>
      </c>
      <c r="C23" s="245"/>
    </row>
    <row r="24" spans="1:3" s="353" customFormat="1" ht="12" customHeight="1" thickBot="1">
      <c r="A24" s="20" t="s">
        <v>20</v>
      </c>
      <c r="B24" s="21" t="s">
        <v>254</v>
      </c>
      <c r="C24" s="241">
        <f>+C25+C26+C27+C28+C29</f>
        <v>4999992</v>
      </c>
    </row>
    <row r="25" spans="1:3" s="353" customFormat="1" ht="12" customHeight="1">
      <c r="A25" s="15" t="s">
        <v>86</v>
      </c>
      <c r="B25" s="354" t="s">
        <v>255</v>
      </c>
      <c r="C25" s="244"/>
    </row>
    <row r="26" spans="1:3" s="353" customFormat="1" ht="12" customHeight="1">
      <c r="A26" s="14" t="s">
        <v>87</v>
      </c>
      <c r="B26" s="355" t="s">
        <v>256</v>
      </c>
      <c r="C26" s="243"/>
    </row>
    <row r="27" spans="1:3" s="353" customFormat="1" ht="12" customHeight="1">
      <c r="A27" s="14" t="s">
        <v>88</v>
      </c>
      <c r="B27" s="355" t="s">
        <v>413</v>
      </c>
      <c r="C27" s="243"/>
    </row>
    <row r="28" spans="1:3" s="353" customFormat="1" ht="12" customHeight="1">
      <c r="A28" s="14" t="s">
        <v>89</v>
      </c>
      <c r="B28" s="355" t="s">
        <v>414</v>
      </c>
      <c r="C28" s="243"/>
    </row>
    <row r="29" spans="1:3" s="353" customFormat="1" ht="12" customHeight="1">
      <c r="A29" s="14" t="s">
        <v>164</v>
      </c>
      <c r="B29" s="355" t="s">
        <v>257</v>
      </c>
      <c r="C29" s="243">
        <f>'ÖNK-Önként v.'!C27</f>
        <v>4999992</v>
      </c>
    </row>
    <row r="30" spans="1:3" s="488" customFormat="1" ht="12" customHeight="1" thickBot="1">
      <c r="A30" s="498" t="s">
        <v>165</v>
      </c>
      <c r="B30" s="486" t="s">
        <v>555</v>
      </c>
      <c r="C30" s="487"/>
    </row>
    <row r="31" spans="1:3" s="353" customFormat="1" ht="12" customHeight="1" thickBot="1">
      <c r="A31" s="20" t="s">
        <v>166</v>
      </c>
      <c r="B31" s="21" t="s">
        <v>539</v>
      </c>
      <c r="C31" s="247">
        <f>SUM(C32:C38)</f>
        <v>0</v>
      </c>
    </row>
    <row r="32" spans="1:3" s="353" customFormat="1" ht="12" customHeight="1">
      <c r="A32" s="15" t="s">
        <v>260</v>
      </c>
      <c r="B32" s="354" t="str">
        <f>'Össz.ÖNK'!B32</f>
        <v>Késedelmi pótlék</v>
      </c>
      <c r="C32" s="244"/>
    </row>
    <row r="33" spans="1:3" s="353" customFormat="1" ht="12" customHeight="1">
      <c r="A33" s="14" t="s">
        <v>261</v>
      </c>
      <c r="B33" s="354" t="str">
        <f>'Össz.ÖNK'!B33</f>
        <v>Idegenforgalmi adó</v>
      </c>
      <c r="C33" s="243"/>
    </row>
    <row r="34" spans="1:3" s="353" customFormat="1" ht="12" customHeight="1">
      <c r="A34" s="14" t="s">
        <v>262</v>
      </c>
      <c r="B34" s="354" t="str">
        <f>'Össz.ÖNK'!B34</f>
        <v>Iparűzési adó</v>
      </c>
      <c r="C34" s="243"/>
    </row>
    <row r="35" spans="1:3" s="353" customFormat="1" ht="12" customHeight="1">
      <c r="A35" s="14" t="s">
        <v>263</v>
      </c>
      <c r="B35" s="354" t="str">
        <f>'Össz.ÖNK'!B35</f>
        <v>Talajterhelési díj</v>
      </c>
      <c r="C35" s="243"/>
    </row>
    <row r="36" spans="1:3" s="353" customFormat="1" ht="12" customHeight="1">
      <c r="A36" s="14" t="s">
        <v>540</v>
      </c>
      <c r="B36" s="354" t="str">
        <f>'Össz.ÖNK'!B36</f>
        <v>Gépjárműadó</v>
      </c>
      <c r="C36" s="243"/>
    </row>
    <row r="37" spans="1:3" s="353" customFormat="1" ht="12" customHeight="1">
      <c r="A37" s="14" t="s">
        <v>541</v>
      </c>
      <c r="B37" s="354" t="str">
        <f>'Össz.ÖNK'!B37</f>
        <v>Egyéb bírság</v>
      </c>
      <c r="C37" s="243"/>
    </row>
    <row r="38" spans="1:3" s="353" customFormat="1" ht="12" customHeight="1" thickBot="1">
      <c r="A38" s="16" t="s">
        <v>542</v>
      </c>
      <c r="B38" s="354" t="str">
        <f>'Össz.ÖNK'!B38</f>
        <v>Kommunális adó</v>
      </c>
      <c r="C38" s="245"/>
    </row>
    <row r="39" spans="1:3" s="353" customFormat="1" ht="12" customHeight="1" thickBot="1">
      <c r="A39" s="20" t="s">
        <v>22</v>
      </c>
      <c r="B39" s="21" t="s">
        <v>423</v>
      </c>
      <c r="C39" s="241">
        <f>SUM(C40:C50)</f>
        <v>1500000</v>
      </c>
    </row>
    <row r="40" spans="1:3" s="353" customFormat="1" ht="12" customHeight="1">
      <c r="A40" s="15" t="s">
        <v>90</v>
      </c>
      <c r="B40" s="354" t="s">
        <v>267</v>
      </c>
      <c r="C40" s="244"/>
    </row>
    <row r="41" spans="1:3" s="353" customFormat="1" ht="12" customHeight="1">
      <c r="A41" s="14" t="s">
        <v>91</v>
      </c>
      <c r="B41" s="355" t="s">
        <v>268</v>
      </c>
      <c r="C41" s="243"/>
    </row>
    <row r="42" spans="1:3" s="353" customFormat="1" ht="12" customHeight="1">
      <c r="A42" s="14" t="s">
        <v>92</v>
      </c>
      <c r="B42" s="355" t="s">
        <v>269</v>
      </c>
      <c r="C42" s="243"/>
    </row>
    <row r="43" spans="1:3" s="353" customFormat="1" ht="12" customHeight="1">
      <c r="A43" s="14" t="s">
        <v>168</v>
      </c>
      <c r="B43" s="355" t="s">
        <v>270</v>
      </c>
      <c r="C43" s="243"/>
    </row>
    <row r="44" spans="1:3" s="353" customFormat="1" ht="12" customHeight="1">
      <c r="A44" s="14" t="s">
        <v>169</v>
      </c>
      <c r="B44" s="355" t="s">
        <v>271</v>
      </c>
      <c r="C44" s="243"/>
    </row>
    <row r="45" spans="1:3" s="353" customFormat="1" ht="12" customHeight="1">
      <c r="A45" s="14" t="s">
        <v>170</v>
      </c>
      <c r="B45" s="355" t="s">
        <v>272</v>
      </c>
      <c r="C45" s="243"/>
    </row>
    <row r="46" spans="1:3" s="353" customFormat="1" ht="12" customHeight="1">
      <c r="A46" s="14" t="s">
        <v>171</v>
      </c>
      <c r="B46" s="355" t="s">
        <v>273</v>
      </c>
      <c r="C46" s="243"/>
    </row>
    <row r="47" spans="1:3" s="353" customFormat="1" ht="12" customHeight="1">
      <c r="A47" s="14" t="s">
        <v>172</v>
      </c>
      <c r="B47" s="355" t="s">
        <v>546</v>
      </c>
      <c r="C47" s="243"/>
    </row>
    <row r="48" spans="1:3" s="353" customFormat="1" ht="12" customHeight="1">
      <c r="A48" s="14" t="s">
        <v>265</v>
      </c>
      <c r="B48" s="355" t="s">
        <v>275</v>
      </c>
      <c r="C48" s="246"/>
    </row>
    <row r="49" spans="1:3" s="353" customFormat="1" ht="12" customHeight="1">
      <c r="A49" s="16" t="s">
        <v>266</v>
      </c>
      <c r="B49" s="356" t="s">
        <v>425</v>
      </c>
      <c r="C49" s="343"/>
    </row>
    <row r="50" spans="1:3" s="353" customFormat="1" ht="12" customHeight="1" thickBot="1">
      <c r="A50" s="16" t="s">
        <v>424</v>
      </c>
      <c r="B50" s="238" t="s">
        <v>276</v>
      </c>
      <c r="C50" s="343">
        <f>'ÖNK-Önként v.'!C48</f>
        <v>1500000</v>
      </c>
    </row>
    <row r="51" spans="1:3" s="353" customFormat="1" ht="12" customHeight="1" thickBot="1">
      <c r="A51" s="20" t="s">
        <v>23</v>
      </c>
      <c r="B51" s="21" t="s">
        <v>277</v>
      </c>
      <c r="C51" s="241">
        <f>SUM(C52:C56)</f>
        <v>0</v>
      </c>
    </row>
    <row r="52" spans="1:3" s="353" customFormat="1" ht="12" customHeight="1">
      <c r="A52" s="15" t="s">
        <v>93</v>
      </c>
      <c r="B52" s="354" t="s">
        <v>281</v>
      </c>
      <c r="C52" s="398"/>
    </row>
    <row r="53" spans="1:3" s="353" customFormat="1" ht="12" customHeight="1">
      <c r="A53" s="14" t="s">
        <v>94</v>
      </c>
      <c r="B53" s="355" t="s">
        <v>282</v>
      </c>
      <c r="C53" s="246"/>
    </row>
    <row r="54" spans="1:3" s="353" customFormat="1" ht="12" customHeight="1">
      <c r="A54" s="14" t="s">
        <v>278</v>
      </c>
      <c r="B54" s="355" t="s">
        <v>283</v>
      </c>
      <c r="C54" s="246"/>
    </row>
    <row r="55" spans="1:3" s="353" customFormat="1" ht="12" customHeight="1">
      <c r="A55" s="14" t="s">
        <v>279</v>
      </c>
      <c r="B55" s="355" t="s">
        <v>284</v>
      </c>
      <c r="C55" s="246"/>
    </row>
    <row r="56" spans="1:3" s="353" customFormat="1" ht="12" customHeight="1" thickBot="1">
      <c r="A56" s="16" t="s">
        <v>280</v>
      </c>
      <c r="B56" s="238" t="s">
        <v>285</v>
      </c>
      <c r="C56" s="343"/>
    </row>
    <row r="57" spans="1:3" s="353" customFormat="1" ht="12" customHeight="1" thickBot="1">
      <c r="A57" s="20" t="s">
        <v>173</v>
      </c>
      <c r="B57" s="21" t="s">
        <v>286</v>
      </c>
      <c r="C57" s="241">
        <f>SUM(C58:C60)</f>
        <v>0</v>
      </c>
    </row>
    <row r="58" spans="1:3" s="353" customFormat="1" ht="12" customHeight="1">
      <c r="A58" s="15" t="s">
        <v>95</v>
      </c>
      <c r="B58" s="354" t="s">
        <v>287</v>
      </c>
      <c r="C58" s="244"/>
    </row>
    <row r="59" spans="1:3" s="353" customFormat="1" ht="12" customHeight="1">
      <c r="A59" s="14" t="s">
        <v>96</v>
      </c>
      <c r="B59" s="355" t="s">
        <v>415</v>
      </c>
      <c r="C59" s="243"/>
    </row>
    <row r="60" spans="1:3" s="353" customFormat="1" ht="12" customHeight="1">
      <c r="A60" s="14" t="s">
        <v>290</v>
      </c>
      <c r="B60" s="355" t="s">
        <v>288</v>
      </c>
      <c r="C60" s="243"/>
    </row>
    <row r="61" spans="1:3" s="353" customFormat="1" ht="12" customHeight="1" thickBot="1">
      <c r="A61" s="16" t="s">
        <v>291</v>
      </c>
      <c r="B61" s="238" t="s">
        <v>289</v>
      </c>
      <c r="C61" s="245"/>
    </row>
    <row r="62" spans="1:3" s="353" customFormat="1" ht="12" customHeight="1" thickBot="1">
      <c r="A62" s="20" t="s">
        <v>25</v>
      </c>
      <c r="B62" s="236" t="s">
        <v>292</v>
      </c>
      <c r="C62" s="241">
        <f>SUM(C63:C65)</f>
        <v>1758395</v>
      </c>
    </row>
    <row r="63" spans="1:3" s="353" customFormat="1" ht="12" customHeight="1">
      <c r="A63" s="15" t="s">
        <v>174</v>
      </c>
      <c r="B63" s="354" t="s">
        <v>294</v>
      </c>
      <c r="C63" s="246"/>
    </row>
    <row r="64" spans="1:3" s="353" customFormat="1" ht="12" customHeight="1">
      <c r="A64" s="14" t="s">
        <v>175</v>
      </c>
      <c r="B64" s="355" t="s">
        <v>416</v>
      </c>
      <c r="C64" s="246">
        <f>'ÖNK-Önként v.'!C62</f>
        <v>1758395</v>
      </c>
    </row>
    <row r="65" spans="1:3" s="353" customFormat="1" ht="12" customHeight="1">
      <c r="A65" s="14" t="s">
        <v>223</v>
      </c>
      <c r="B65" s="355" t="s">
        <v>295</v>
      </c>
      <c r="C65" s="246"/>
    </row>
    <row r="66" spans="1:3" s="353" customFormat="1" ht="12" customHeight="1" thickBot="1">
      <c r="A66" s="16" t="s">
        <v>293</v>
      </c>
      <c r="B66" s="238" t="s">
        <v>296</v>
      </c>
      <c r="C66" s="246"/>
    </row>
    <row r="67" spans="1:3" s="353" customFormat="1" ht="12" customHeight="1" thickBot="1">
      <c r="A67" s="420" t="s">
        <v>465</v>
      </c>
      <c r="B67" s="21" t="s">
        <v>297</v>
      </c>
      <c r="C67" s="247">
        <f>+C10+C17+C24+C31+C39+C51+C57+C62</f>
        <v>8258387</v>
      </c>
    </row>
    <row r="68" spans="1:3" s="353" customFormat="1" ht="12" customHeight="1" thickBot="1">
      <c r="A68" s="401" t="s">
        <v>298</v>
      </c>
      <c r="B68" s="236" t="s">
        <v>299</v>
      </c>
      <c r="C68" s="241">
        <f>SUM(C69:C71)</f>
        <v>0</v>
      </c>
    </row>
    <row r="69" spans="1:3" s="353" customFormat="1" ht="12" customHeight="1">
      <c r="A69" s="15" t="s">
        <v>327</v>
      </c>
      <c r="B69" s="354" t="s">
        <v>300</v>
      </c>
      <c r="C69" s="246"/>
    </row>
    <row r="70" spans="1:3" s="353" customFormat="1" ht="12" customHeight="1">
      <c r="A70" s="14" t="s">
        <v>336</v>
      </c>
      <c r="B70" s="355" t="s">
        <v>301</v>
      </c>
      <c r="C70" s="246"/>
    </row>
    <row r="71" spans="1:3" s="353" customFormat="1" ht="12" customHeight="1" thickBot="1">
      <c r="A71" s="16" t="s">
        <v>337</v>
      </c>
      <c r="B71" s="414" t="s">
        <v>556</v>
      </c>
      <c r="C71" s="246"/>
    </row>
    <row r="72" spans="1:3" s="353" customFormat="1" ht="12" customHeight="1" thickBot="1">
      <c r="A72" s="401" t="s">
        <v>303</v>
      </c>
      <c r="B72" s="236" t="s">
        <v>304</v>
      </c>
      <c r="C72" s="241">
        <f>SUM(C73:C76)</f>
        <v>0</v>
      </c>
    </row>
    <row r="73" spans="1:3" s="353" customFormat="1" ht="12" customHeight="1">
      <c r="A73" s="15" t="s">
        <v>142</v>
      </c>
      <c r="B73" s="354" t="s">
        <v>305</v>
      </c>
      <c r="C73" s="246"/>
    </row>
    <row r="74" spans="1:3" s="353" customFormat="1" ht="12" customHeight="1">
      <c r="A74" s="14" t="s">
        <v>143</v>
      </c>
      <c r="B74" s="355" t="s">
        <v>557</v>
      </c>
      <c r="C74" s="246"/>
    </row>
    <row r="75" spans="1:3" s="353" customFormat="1" ht="12" customHeight="1" thickBot="1">
      <c r="A75" s="16" t="s">
        <v>328</v>
      </c>
      <c r="B75" s="356" t="s">
        <v>306</v>
      </c>
      <c r="C75" s="343"/>
    </row>
    <row r="76" spans="1:3" s="353" customFormat="1" ht="12" customHeight="1" thickBot="1">
      <c r="A76" s="500" t="s">
        <v>329</v>
      </c>
      <c r="B76" s="501" t="s">
        <v>558</v>
      </c>
      <c r="C76" s="502"/>
    </row>
    <row r="77" spans="1:3" s="353" customFormat="1" ht="12" customHeight="1" thickBot="1">
      <c r="A77" s="401" t="s">
        <v>307</v>
      </c>
      <c r="B77" s="236" t="s">
        <v>308</v>
      </c>
      <c r="C77" s="241">
        <f>SUM(C78:C79)</f>
        <v>0</v>
      </c>
    </row>
    <row r="78" spans="1:3" s="353" customFormat="1" ht="12" customHeight="1" thickBot="1">
      <c r="A78" s="13" t="s">
        <v>330</v>
      </c>
      <c r="B78" s="499" t="s">
        <v>309</v>
      </c>
      <c r="C78" s="343"/>
    </row>
    <row r="79" spans="1:3" s="353" customFormat="1" ht="12" customHeight="1" thickBot="1">
      <c r="A79" s="500" t="s">
        <v>331</v>
      </c>
      <c r="B79" s="501" t="s">
        <v>310</v>
      </c>
      <c r="C79" s="502"/>
    </row>
    <row r="80" spans="1:3" s="353" customFormat="1" ht="12" customHeight="1" thickBot="1">
      <c r="A80" s="401" t="s">
        <v>311</v>
      </c>
      <c r="B80" s="236" t="s">
        <v>312</v>
      </c>
      <c r="C80" s="241">
        <f>SUM(C81:C83)</f>
        <v>0</v>
      </c>
    </row>
    <row r="81" spans="1:3" s="353" customFormat="1" ht="12" customHeight="1">
      <c r="A81" s="15" t="s">
        <v>332</v>
      </c>
      <c r="B81" s="354" t="s">
        <v>313</v>
      </c>
      <c r="C81" s="246"/>
    </row>
    <row r="82" spans="1:3" s="353" customFormat="1" ht="12" customHeight="1">
      <c r="A82" s="14" t="s">
        <v>333</v>
      </c>
      <c r="B82" s="355" t="s">
        <v>314</v>
      </c>
      <c r="C82" s="246"/>
    </row>
    <row r="83" spans="1:3" s="353" customFormat="1" ht="12" customHeight="1" thickBot="1">
      <c r="A83" s="18" t="s">
        <v>334</v>
      </c>
      <c r="B83" s="503" t="s">
        <v>559</v>
      </c>
      <c r="C83" s="504"/>
    </row>
    <row r="84" spans="1:3" s="353" customFormat="1" ht="12" customHeight="1" thickBot="1">
      <c r="A84" s="401" t="s">
        <v>315</v>
      </c>
      <c r="B84" s="236" t="s">
        <v>335</v>
      </c>
      <c r="C84" s="241">
        <f>SUM(C85:C88)</f>
        <v>0</v>
      </c>
    </row>
    <row r="85" spans="1:3" s="353" customFormat="1" ht="12" customHeight="1">
      <c r="A85" s="358" t="s">
        <v>316</v>
      </c>
      <c r="B85" s="354" t="s">
        <v>317</v>
      </c>
      <c r="C85" s="246"/>
    </row>
    <row r="86" spans="1:3" s="353" customFormat="1" ht="12" customHeight="1">
      <c r="A86" s="359" t="s">
        <v>318</v>
      </c>
      <c r="B86" s="355" t="s">
        <v>319</v>
      </c>
      <c r="C86" s="246"/>
    </row>
    <row r="87" spans="1:3" s="353" customFormat="1" ht="12" customHeight="1">
      <c r="A87" s="359" t="s">
        <v>320</v>
      </c>
      <c r="B87" s="355" t="s">
        <v>321</v>
      </c>
      <c r="C87" s="246"/>
    </row>
    <row r="88" spans="1:3" s="353" customFormat="1" ht="12" customHeight="1" thickBot="1">
      <c r="A88" s="360" t="s">
        <v>322</v>
      </c>
      <c r="B88" s="238" t="s">
        <v>323</v>
      </c>
      <c r="C88" s="246"/>
    </row>
    <row r="89" spans="1:3" s="353" customFormat="1" ht="12" customHeight="1" thickBot="1">
      <c r="A89" s="401" t="s">
        <v>324</v>
      </c>
      <c r="B89" s="236" t="s">
        <v>464</v>
      </c>
      <c r="C89" s="399"/>
    </row>
    <row r="90" spans="1:3" s="353" customFormat="1" ht="13.5" customHeight="1" thickBot="1">
      <c r="A90" s="401" t="s">
        <v>326</v>
      </c>
      <c r="B90" s="236" t="s">
        <v>325</v>
      </c>
      <c r="C90" s="399"/>
    </row>
    <row r="91" spans="1:3" s="353" customFormat="1" ht="15.75" customHeight="1" thickBot="1">
      <c r="A91" s="401" t="s">
        <v>338</v>
      </c>
      <c r="B91" s="361" t="s">
        <v>467</v>
      </c>
      <c r="C91" s="247">
        <f>+C68+C72+C77+C80+C84+C90+C89</f>
        <v>0</v>
      </c>
    </row>
    <row r="92" spans="1:3" s="353" customFormat="1" ht="16.5" customHeight="1" thickBot="1">
      <c r="A92" s="402" t="s">
        <v>466</v>
      </c>
      <c r="B92" s="362" t="s">
        <v>468</v>
      </c>
      <c r="C92" s="247">
        <f>+C67+C91</f>
        <v>8258387</v>
      </c>
    </row>
    <row r="93" spans="1:3" s="353" customFormat="1" ht="10.5" customHeight="1">
      <c r="A93" s="5"/>
      <c r="B93" s="6"/>
      <c r="C93" s="248"/>
    </row>
    <row r="94" spans="1:3" ht="16.5" customHeight="1">
      <c r="A94" s="748" t="s">
        <v>46</v>
      </c>
      <c r="B94" s="748"/>
      <c r="C94" s="748"/>
    </row>
    <row r="95" spans="1:3" s="363" customFormat="1" ht="16.5" customHeight="1" thickBot="1">
      <c r="A95" s="745" t="s">
        <v>146</v>
      </c>
      <c r="B95" s="745"/>
      <c r="C95" s="511" t="str">
        <f>C7</f>
        <v>Forintban!</v>
      </c>
    </row>
    <row r="96" spans="1:3" ht="30" customHeight="1" thickBot="1">
      <c r="A96" s="492" t="s">
        <v>68</v>
      </c>
      <c r="B96" s="493" t="s">
        <v>47</v>
      </c>
      <c r="C96" s="494" t="str">
        <f>+C8</f>
        <v>2020. évi előirányzat</v>
      </c>
    </row>
    <row r="97" spans="1:3" s="352" customFormat="1" ht="12" customHeight="1" thickBot="1">
      <c r="A97" s="492"/>
      <c r="B97" s="493" t="s">
        <v>482</v>
      </c>
      <c r="C97" s="494" t="s">
        <v>483</v>
      </c>
    </row>
    <row r="98" spans="1:3" ht="12" customHeight="1" thickBot="1">
      <c r="A98" s="22" t="s">
        <v>18</v>
      </c>
      <c r="B98" s="26" t="s">
        <v>426</v>
      </c>
      <c r="C98" s="240">
        <f>C99+C100+C101+C102+C103+C116</f>
        <v>69978459</v>
      </c>
    </row>
    <row r="99" spans="1:3" ht="12" customHeight="1">
      <c r="A99" s="17" t="s">
        <v>97</v>
      </c>
      <c r="B99" s="10" t="s">
        <v>48</v>
      </c>
      <c r="C99" s="242">
        <f>'ÖNK-Önként v.'!C94</f>
        <v>14335484</v>
      </c>
    </row>
    <row r="100" spans="1:3" ht="12" customHeight="1">
      <c r="A100" s="14" t="s">
        <v>98</v>
      </c>
      <c r="B100" s="8" t="s">
        <v>176</v>
      </c>
      <c r="C100" s="243">
        <f>'ÖNK-Önként v.'!C95</f>
        <v>2457247</v>
      </c>
    </row>
    <row r="101" spans="1:3" ht="12" customHeight="1">
      <c r="A101" s="14" t="s">
        <v>99</v>
      </c>
      <c r="B101" s="8" t="s">
        <v>133</v>
      </c>
      <c r="C101" s="245">
        <f>'ÖNK-Önként v.'!C96</f>
        <v>30741718</v>
      </c>
    </row>
    <row r="102" spans="1:3" ht="12" customHeight="1">
      <c r="A102" s="14" t="s">
        <v>100</v>
      </c>
      <c r="B102" s="11" t="s">
        <v>177</v>
      </c>
      <c r="C102" s="245">
        <f>'ÖNK-Önként v.'!C97</f>
        <v>1834010</v>
      </c>
    </row>
    <row r="103" spans="1:3" ht="12" customHeight="1">
      <c r="A103" s="14" t="s">
        <v>111</v>
      </c>
      <c r="B103" s="19" t="s">
        <v>178</v>
      </c>
      <c r="C103" s="245">
        <f>'ÖNK-Önként v.'!C98</f>
        <v>20610000</v>
      </c>
    </row>
    <row r="104" spans="1:3" ht="12" customHeight="1">
      <c r="A104" s="14" t="s">
        <v>101</v>
      </c>
      <c r="B104" s="8" t="s">
        <v>431</v>
      </c>
      <c r="C104" s="245"/>
    </row>
    <row r="105" spans="1:3" ht="12" customHeight="1">
      <c r="A105" s="14" t="s">
        <v>102</v>
      </c>
      <c r="B105" s="111" t="s">
        <v>430</v>
      </c>
      <c r="C105" s="245"/>
    </row>
    <row r="106" spans="1:3" ht="12" customHeight="1">
      <c r="A106" s="14" t="s">
        <v>112</v>
      </c>
      <c r="B106" s="111" t="s">
        <v>429</v>
      </c>
      <c r="C106" s="245"/>
    </row>
    <row r="107" spans="1:3" ht="12" customHeight="1">
      <c r="A107" s="14" t="s">
        <v>113</v>
      </c>
      <c r="B107" s="109" t="s">
        <v>341</v>
      </c>
      <c r="C107" s="245"/>
    </row>
    <row r="108" spans="1:3" ht="12" customHeight="1">
      <c r="A108" s="14" t="s">
        <v>114</v>
      </c>
      <c r="B108" s="110" t="s">
        <v>342</v>
      </c>
      <c r="C108" s="245"/>
    </row>
    <row r="109" spans="1:3" ht="12" customHeight="1">
      <c r="A109" s="14" t="s">
        <v>115</v>
      </c>
      <c r="B109" s="110" t="s">
        <v>343</v>
      </c>
      <c r="C109" s="245"/>
    </row>
    <row r="110" spans="1:3" ht="12" customHeight="1">
      <c r="A110" s="14" t="s">
        <v>117</v>
      </c>
      <c r="B110" s="109" t="s">
        <v>344</v>
      </c>
      <c r="C110" s="245">
        <f>'ÖNK-Önként v.'!C105</f>
        <v>13800000</v>
      </c>
    </row>
    <row r="111" spans="1:3" ht="12" customHeight="1">
      <c r="A111" s="14" t="s">
        <v>179</v>
      </c>
      <c r="B111" s="109" t="s">
        <v>345</v>
      </c>
      <c r="C111" s="245"/>
    </row>
    <row r="112" spans="1:3" ht="12" customHeight="1">
      <c r="A112" s="14" t="s">
        <v>339</v>
      </c>
      <c r="B112" s="110" t="s">
        <v>346</v>
      </c>
      <c r="C112" s="245"/>
    </row>
    <row r="113" spans="1:3" ht="12" customHeight="1">
      <c r="A113" s="13" t="s">
        <v>340</v>
      </c>
      <c r="B113" s="111" t="s">
        <v>347</v>
      </c>
      <c r="C113" s="245"/>
    </row>
    <row r="114" spans="1:3" ht="12" customHeight="1">
      <c r="A114" s="14" t="s">
        <v>427</v>
      </c>
      <c r="B114" s="111" t="s">
        <v>348</v>
      </c>
      <c r="C114" s="245"/>
    </row>
    <row r="115" spans="1:3" ht="12" customHeight="1">
      <c r="A115" s="16" t="s">
        <v>428</v>
      </c>
      <c r="B115" s="111" t="s">
        <v>349</v>
      </c>
      <c r="C115" s="245">
        <f>'ÖNK-Önként v.'!C110</f>
        <v>6810000</v>
      </c>
    </row>
    <row r="116" spans="1:3" ht="12" customHeight="1">
      <c r="A116" s="14" t="s">
        <v>432</v>
      </c>
      <c r="B116" s="11" t="s">
        <v>49</v>
      </c>
      <c r="C116" s="243"/>
    </row>
    <row r="117" spans="1:3" ht="12" customHeight="1">
      <c r="A117" s="14" t="s">
        <v>433</v>
      </c>
      <c r="B117" s="8" t="s">
        <v>435</v>
      </c>
      <c r="C117" s="243"/>
    </row>
    <row r="118" spans="1:3" ht="12" customHeight="1" thickBot="1">
      <c r="A118" s="18" t="s">
        <v>434</v>
      </c>
      <c r="B118" s="418" t="s">
        <v>436</v>
      </c>
      <c r="C118" s="249"/>
    </row>
    <row r="119" spans="1:3" ht="12" customHeight="1" thickBot="1">
      <c r="A119" s="415" t="s">
        <v>19</v>
      </c>
      <c r="B119" s="416" t="s">
        <v>350</v>
      </c>
      <c r="C119" s="417">
        <f>+C120+C122+C124</f>
        <v>268348257</v>
      </c>
    </row>
    <row r="120" spans="1:3" ht="12" customHeight="1">
      <c r="A120" s="15" t="s">
        <v>103</v>
      </c>
      <c r="B120" s="8" t="s">
        <v>222</v>
      </c>
      <c r="C120" s="244">
        <f>'ÖNK-Önként v.'!C115</f>
        <v>21516043</v>
      </c>
    </row>
    <row r="121" spans="1:3" ht="12" customHeight="1">
      <c r="A121" s="15" t="s">
        <v>104</v>
      </c>
      <c r="B121" s="12" t="s">
        <v>354</v>
      </c>
      <c r="C121" s="244"/>
    </row>
    <row r="122" spans="1:3" ht="12" customHeight="1">
      <c r="A122" s="15" t="s">
        <v>105</v>
      </c>
      <c r="B122" s="12" t="s">
        <v>180</v>
      </c>
      <c r="C122" s="243">
        <f>'ÖNK-Önként v.'!C117</f>
        <v>246832214</v>
      </c>
    </row>
    <row r="123" spans="1:3" ht="12" customHeight="1">
      <c r="A123" s="15" t="s">
        <v>106</v>
      </c>
      <c r="B123" s="12" t="s">
        <v>355</v>
      </c>
      <c r="C123" s="209"/>
    </row>
    <row r="124" spans="1:3" ht="12" customHeight="1">
      <c r="A124" s="15" t="s">
        <v>107</v>
      </c>
      <c r="B124" s="238" t="s">
        <v>561</v>
      </c>
      <c r="C124" s="209"/>
    </row>
    <row r="125" spans="1:3" ht="12" customHeight="1">
      <c r="A125" s="15" t="s">
        <v>116</v>
      </c>
      <c r="B125" s="237" t="s">
        <v>417</v>
      </c>
      <c r="C125" s="209"/>
    </row>
    <row r="126" spans="1:3" ht="12" customHeight="1">
      <c r="A126" s="15" t="s">
        <v>118</v>
      </c>
      <c r="B126" s="350" t="s">
        <v>360</v>
      </c>
      <c r="C126" s="209"/>
    </row>
    <row r="127" spans="1:3" ht="15.75">
      <c r="A127" s="15" t="s">
        <v>181</v>
      </c>
      <c r="B127" s="110" t="s">
        <v>343</v>
      </c>
      <c r="C127" s="209"/>
    </row>
    <row r="128" spans="1:3" ht="12" customHeight="1">
      <c r="A128" s="15" t="s">
        <v>182</v>
      </c>
      <c r="B128" s="110" t="s">
        <v>359</v>
      </c>
      <c r="C128" s="209"/>
    </row>
    <row r="129" spans="1:3" ht="12" customHeight="1">
      <c r="A129" s="15" t="s">
        <v>183</v>
      </c>
      <c r="B129" s="110" t="s">
        <v>358</v>
      </c>
      <c r="C129" s="209"/>
    </row>
    <row r="130" spans="1:3" ht="12" customHeight="1">
      <c r="A130" s="15" t="s">
        <v>351</v>
      </c>
      <c r="B130" s="110" t="s">
        <v>346</v>
      </c>
      <c r="C130" s="209"/>
    </row>
    <row r="131" spans="1:3" ht="12" customHeight="1">
      <c r="A131" s="15" t="s">
        <v>352</v>
      </c>
      <c r="B131" s="110" t="s">
        <v>357</v>
      </c>
      <c r="C131" s="209"/>
    </row>
    <row r="132" spans="1:3" ht="16.5" thickBot="1">
      <c r="A132" s="13" t="s">
        <v>353</v>
      </c>
      <c r="B132" s="110" t="s">
        <v>356</v>
      </c>
      <c r="C132" s="211"/>
    </row>
    <row r="133" spans="1:3" ht="12" customHeight="1" thickBot="1">
      <c r="A133" s="20" t="s">
        <v>20</v>
      </c>
      <c r="B133" s="91" t="s">
        <v>437</v>
      </c>
      <c r="C133" s="241">
        <f>+C98+C119</f>
        <v>338326716</v>
      </c>
    </row>
    <row r="134" spans="1:3" ht="12" customHeight="1" thickBot="1">
      <c r="A134" s="20" t="s">
        <v>21</v>
      </c>
      <c r="B134" s="91" t="s">
        <v>438</v>
      </c>
      <c r="C134" s="241">
        <f>+C135+C136+C137</f>
        <v>0</v>
      </c>
    </row>
    <row r="135" spans="1:3" ht="12" customHeight="1">
      <c r="A135" s="15" t="s">
        <v>260</v>
      </c>
      <c r="B135" s="12" t="s">
        <v>445</v>
      </c>
      <c r="C135" s="209"/>
    </row>
    <row r="136" spans="1:3" ht="12" customHeight="1">
      <c r="A136" s="15" t="s">
        <v>261</v>
      </c>
      <c r="B136" s="12" t="s">
        <v>446</v>
      </c>
      <c r="C136" s="209"/>
    </row>
    <row r="137" spans="1:3" ht="12" customHeight="1" thickBot="1">
      <c r="A137" s="13" t="s">
        <v>262</v>
      </c>
      <c r="B137" s="12" t="s">
        <v>447</v>
      </c>
      <c r="C137" s="209"/>
    </row>
    <row r="138" spans="1:3" ht="12" customHeight="1" thickBot="1">
      <c r="A138" s="20" t="s">
        <v>22</v>
      </c>
      <c r="B138" s="91" t="s">
        <v>439</v>
      </c>
      <c r="C138" s="241">
        <f>SUM(C139:C144)</f>
        <v>0</v>
      </c>
    </row>
    <row r="139" spans="1:3" ht="12" customHeight="1">
      <c r="A139" s="15" t="s">
        <v>90</v>
      </c>
      <c r="B139" s="9" t="s">
        <v>448</v>
      </c>
      <c r="C139" s="209"/>
    </row>
    <row r="140" spans="1:3" ht="12" customHeight="1">
      <c r="A140" s="15" t="s">
        <v>91</v>
      </c>
      <c r="B140" s="9" t="s">
        <v>440</v>
      </c>
      <c r="C140" s="209"/>
    </row>
    <row r="141" spans="1:3" ht="12" customHeight="1">
      <c r="A141" s="15" t="s">
        <v>92</v>
      </c>
      <c r="B141" s="9" t="s">
        <v>441</v>
      </c>
      <c r="C141" s="209"/>
    </row>
    <row r="142" spans="1:3" ht="12" customHeight="1">
      <c r="A142" s="15" t="s">
        <v>168</v>
      </c>
      <c r="B142" s="9" t="s">
        <v>442</v>
      </c>
      <c r="C142" s="209"/>
    </row>
    <row r="143" spans="1:3" ht="12" customHeight="1">
      <c r="A143" s="13" t="s">
        <v>169</v>
      </c>
      <c r="B143" s="7" t="s">
        <v>443</v>
      </c>
      <c r="C143" s="211"/>
    </row>
    <row r="144" spans="1:3" ht="12" customHeight="1" thickBot="1">
      <c r="A144" s="18" t="s">
        <v>170</v>
      </c>
      <c r="B144" s="637" t="s">
        <v>444</v>
      </c>
      <c r="C144" s="425"/>
    </row>
    <row r="145" spans="1:3" ht="12" customHeight="1" thickBot="1">
      <c r="A145" s="20" t="s">
        <v>23</v>
      </c>
      <c r="B145" s="91" t="s">
        <v>452</v>
      </c>
      <c r="C145" s="247">
        <f>+C146+C147+C148+C149</f>
        <v>0</v>
      </c>
    </row>
    <row r="146" spans="1:3" ht="12" customHeight="1">
      <c r="A146" s="15" t="s">
        <v>93</v>
      </c>
      <c r="B146" s="9" t="s">
        <v>361</v>
      </c>
      <c r="C146" s="209"/>
    </row>
    <row r="147" spans="1:3" ht="12" customHeight="1">
      <c r="A147" s="15" t="s">
        <v>94</v>
      </c>
      <c r="B147" s="9" t="s">
        <v>362</v>
      </c>
      <c r="C147" s="209"/>
    </row>
    <row r="148" spans="1:3" ht="12" customHeight="1" thickBot="1">
      <c r="A148" s="13" t="s">
        <v>278</v>
      </c>
      <c r="B148" s="7" t="s">
        <v>453</v>
      </c>
      <c r="C148" s="211"/>
    </row>
    <row r="149" spans="1:3" ht="12" customHeight="1" thickBot="1">
      <c r="A149" s="500" t="s">
        <v>279</v>
      </c>
      <c r="B149" s="505" t="s">
        <v>380</v>
      </c>
      <c r="C149" s="506"/>
    </row>
    <row r="150" spans="1:3" ht="12" customHeight="1" thickBot="1">
      <c r="A150" s="20" t="s">
        <v>24</v>
      </c>
      <c r="B150" s="91" t="s">
        <v>454</v>
      </c>
      <c r="C150" s="250">
        <f>SUM(C151:C155)</f>
        <v>0</v>
      </c>
    </row>
    <row r="151" spans="1:3" ht="12" customHeight="1">
      <c r="A151" s="15" t="s">
        <v>95</v>
      </c>
      <c r="B151" s="9" t="s">
        <v>449</v>
      </c>
      <c r="C151" s="209"/>
    </row>
    <row r="152" spans="1:3" ht="12" customHeight="1">
      <c r="A152" s="15" t="s">
        <v>96</v>
      </c>
      <c r="B152" s="9" t="s">
        <v>456</v>
      </c>
      <c r="C152" s="209"/>
    </row>
    <row r="153" spans="1:3" ht="12" customHeight="1">
      <c r="A153" s="15" t="s">
        <v>290</v>
      </c>
      <c r="B153" s="9" t="s">
        <v>451</v>
      </c>
      <c r="C153" s="209"/>
    </row>
    <row r="154" spans="1:3" ht="12" customHeight="1">
      <c r="A154" s="15" t="s">
        <v>291</v>
      </c>
      <c r="B154" s="9" t="s">
        <v>507</v>
      </c>
      <c r="C154" s="209"/>
    </row>
    <row r="155" spans="1:3" ht="12" customHeight="1" thickBot="1">
      <c r="A155" s="15" t="s">
        <v>455</v>
      </c>
      <c r="B155" s="9" t="s">
        <v>458</v>
      </c>
      <c r="C155" s="209"/>
    </row>
    <row r="156" spans="1:3" ht="12" customHeight="1" thickBot="1">
      <c r="A156" s="20" t="s">
        <v>25</v>
      </c>
      <c r="B156" s="91" t="s">
        <v>459</v>
      </c>
      <c r="C156" s="419"/>
    </row>
    <row r="157" spans="1:3" ht="12" customHeight="1" thickBot="1">
      <c r="A157" s="20" t="s">
        <v>26</v>
      </c>
      <c r="B157" s="91" t="s">
        <v>460</v>
      </c>
      <c r="C157" s="419"/>
    </row>
    <row r="158" spans="1:9" ht="15" customHeight="1" thickBot="1">
      <c r="A158" s="20" t="s">
        <v>27</v>
      </c>
      <c r="B158" s="91" t="s">
        <v>462</v>
      </c>
      <c r="C158" s="507">
        <f>+C134+C138+C145+C150+C156+C157</f>
        <v>0</v>
      </c>
      <c r="F158" s="365"/>
      <c r="G158" s="366"/>
      <c r="H158" s="366"/>
      <c r="I158" s="366"/>
    </row>
    <row r="159" spans="1:3" s="353" customFormat="1" ht="17.25" customHeight="1" thickBot="1">
      <c r="A159" s="239" t="s">
        <v>28</v>
      </c>
      <c r="B159" s="508" t="s">
        <v>461</v>
      </c>
      <c r="C159" s="507">
        <f>+C133+C158</f>
        <v>338326716</v>
      </c>
    </row>
    <row r="160" spans="1:3" ht="15.75" customHeight="1">
      <c r="A160" s="509"/>
      <c r="B160" s="509"/>
      <c r="C160" s="566">
        <f>C92-C159</f>
        <v>-330068329</v>
      </c>
    </row>
    <row r="161" spans="1:3" ht="15.75">
      <c r="A161" s="746" t="s">
        <v>363</v>
      </c>
      <c r="B161" s="746"/>
      <c r="C161" s="746"/>
    </row>
    <row r="162" spans="1:3" ht="15" customHeight="1" thickBot="1">
      <c r="A162" s="747" t="s">
        <v>147</v>
      </c>
      <c r="B162" s="747"/>
      <c r="C162" s="512" t="str">
        <f>C95</f>
        <v>Forintban!</v>
      </c>
    </row>
    <row r="163" spans="1:4" ht="13.5" customHeight="1" thickBot="1">
      <c r="A163" s="20">
        <v>1</v>
      </c>
      <c r="B163" s="25" t="s">
        <v>463</v>
      </c>
      <c r="C163" s="241">
        <f>+C67-C133</f>
        <v>-330068329</v>
      </c>
      <c r="D163" s="367"/>
    </row>
    <row r="164" spans="1:3" ht="27.75" customHeight="1" thickBot="1">
      <c r="A164" s="20" t="s">
        <v>19</v>
      </c>
      <c r="B164" s="25" t="s">
        <v>469</v>
      </c>
      <c r="C164" s="241">
        <f>+C91-C158</f>
        <v>0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1" fitToWidth="1" horizontalDpi="600" verticalDpi="600" orientation="portrait" paperSize="8" scale="51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164"/>
  <sheetViews>
    <sheetView zoomScale="120" zoomScaleNormal="120" zoomScaleSheetLayoutView="100" workbookViewId="0" topLeftCell="A156">
      <selection activeCell="A94" sqref="A94:C166"/>
    </sheetView>
  </sheetViews>
  <sheetFormatPr defaultColWidth="9.00390625" defaultRowHeight="12.75"/>
  <cols>
    <col min="1" max="1" width="9.50390625" style="321" customWidth="1"/>
    <col min="2" max="2" width="99.375" style="321" customWidth="1"/>
    <col min="3" max="3" width="21.625" style="322" customWidth="1"/>
    <col min="4" max="4" width="9.00390625" style="351" customWidth="1"/>
    <col min="5" max="16384" width="9.375" style="351" customWidth="1"/>
  </cols>
  <sheetData>
    <row r="1" spans="1:3" ht="18.75" customHeight="1">
      <c r="A1" s="557"/>
      <c r="B1" s="741" t="s">
        <v>765</v>
      </c>
      <c r="C1" s="742"/>
    </row>
    <row r="2" spans="1:3" ht="21.75" customHeight="1">
      <c r="A2" s="558"/>
      <c r="B2" s="559" t="str">
        <f>CONCATENATE(ALAPADATOK!A3)</f>
        <v>Karácsond Községi Önkormányzat</v>
      </c>
      <c r="C2" s="560"/>
    </row>
    <row r="3" spans="1:3" ht="21.75" customHeight="1">
      <c r="A3" s="560"/>
      <c r="B3" s="559" t="str">
        <f>'Össz. Önk. ÖNV.'!B3</f>
        <v>2020. ÉVI KÖLTSÉGVETÉS</v>
      </c>
      <c r="C3" s="560"/>
    </row>
    <row r="4" spans="1:3" ht="21.75" customHeight="1">
      <c r="A4" s="560"/>
      <c r="B4" s="559" t="s">
        <v>568</v>
      </c>
      <c r="C4" s="560"/>
    </row>
    <row r="5" spans="1:3" ht="21.75" customHeight="1">
      <c r="A5" s="557"/>
      <c r="B5" s="557"/>
      <c r="C5" s="561"/>
    </row>
    <row r="6" spans="1:3" ht="15" customHeight="1">
      <c r="A6" s="743" t="s">
        <v>15</v>
      </c>
      <c r="B6" s="743"/>
      <c r="C6" s="743"/>
    </row>
    <row r="7" spans="1:3" ht="15" customHeight="1" thickBot="1">
      <c r="A7" s="744" t="s">
        <v>145</v>
      </c>
      <c r="B7" s="744"/>
      <c r="C7" s="510" t="str">
        <f>CONCATENATE('Össz.ÖNK'!C7)</f>
        <v>Forintban!</v>
      </c>
    </row>
    <row r="8" spans="1:3" ht="24" customHeight="1" thickBot="1">
      <c r="A8" s="562" t="s">
        <v>68</v>
      </c>
      <c r="B8" s="563" t="s">
        <v>17</v>
      </c>
      <c r="C8" s="564" t="str">
        <f>+CONCATENATE(LEFT(KV_ÖSSZEFÜGGÉSEK!A5,4),". évi előirányzat")</f>
        <v>2020. évi előirányzat</v>
      </c>
    </row>
    <row r="9" spans="1:3" s="352" customFormat="1" ht="12" customHeight="1" thickBot="1">
      <c r="A9" s="495"/>
      <c r="B9" s="496" t="s">
        <v>482</v>
      </c>
      <c r="C9" s="497" t="s">
        <v>483</v>
      </c>
    </row>
    <row r="10" spans="1:3" s="353" customFormat="1" ht="12" customHeight="1" thickBot="1">
      <c r="A10" s="20" t="s">
        <v>18</v>
      </c>
      <c r="B10" s="21" t="s">
        <v>244</v>
      </c>
      <c r="C10" s="241">
        <f>+C11+C12+C13+C14+C15+C16</f>
        <v>0</v>
      </c>
    </row>
    <row r="11" spans="1:3" s="353" customFormat="1" ht="12" customHeight="1">
      <c r="A11" s="15" t="s">
        <v>97</v>
      </c>
      <c r="B11" s="354" t="s">
        <v>245</v>
      </c>
      <c r="C11" s="244"/>
    </row>
    <row r="12" spans="1:3" s="353" customFormat="1" ht="12" customHeight="1">
      <c r="A12" s="14" t="s">
        <v>98</v>
      </c>
      <c r="B12" s="355" t="s">
        <v>246</v>
      </c>
      <c r="C12" s="243"/>
    </row>
    <row r="13" spans="1:3" s="353" customFormat="1" ht="12" customHeight="1">
      <c r="A13" s="14" t="s">
        <v>99</v>
      </c>
      <c r="B13" s="355" t="s">
        <v>538</v>
      </c>
      <c r="C13" s="243"/>
    </row>
    <row r="14" spans="1:3" s="353" customFormat="1" ht="12" customHeight="1">
      <c r="A14" s="14" t="s">
        <v>100</v>
      </c>
      <c r="B14" s="355" t="s">
        <v>248</v>
      </c>
      <c r="C14" s="243"/>
    </row>
    <row r="15" spans="1:3" s="353" customFormat="1" ht="12" customHeight="1">
      <c r="A15" s="14" t="s">
        <v>141</v>
      </c>
      <c r="B15" s="237" t="s">
        <v>421</v>
      </c>
      <c r="C15" s="243"/>
    </row>
    <row r="16" spans="1:3" s="353" customFormat="1" ht="12" customHeight="1" thickBot="1">
      <c r="A16" s="16" t="s">
        <v>101</v>
      </c>
      <c r="B16" s="238" t="s">
        <v>422</v>
      </c>
      <c r="C16" s="243"/>
    </row>
    <row r="17" spans="1:3" s="353" customFormat="1" ht="12" customHeight="1" thickBot="1">
      <c r="A17" s="20" t="s">
        <v>19</v>
      </c>
      <c r="B17" s="236" t="s">
        <v>249</v>
      </c>
      <c r="C17" s="241">
        <f>+C18+C19+C20+C21+C22</f>
        <v>0</v>
      </c>
    </row>
    <row r="18" spans="1:3" s="353" customFormat="1" ht="12" customHeight="1">
      <c r="A18" s="15" t="s">
        <v>103</v>
      </c>
      <c r="B18" s="354" t="s">
        <v>250</v>
      </c>
      <c r="C18" s="244"/>
    </row>
    <row r="19" spans="1:3" s="353" customFormat="1" ht="12" customHeight="1">
      <c r="A19" s="14" t="s">
        <v>104</v>
      </c>
      <c r="B19" s="355" t="s">
        <v>251</v>
      </c>
      <c r="C19" s="243"/>
    </row>
    <row r="20" spans="1:3" s="353" customFormat="1" ht="12" customHeight="1">
      <c r="A20" s="14" t="s">
        <v>105</v>
      </c>
      <c r="B20" s="355" t="s">
        <v>411</v>
      </c>
      <c r="C20" s="243"/>
    </row>
    <row r="21" spans="1:3" s="353" customFormat="1" ht="12" customHeight="1">
      <c r="A21" s="14" t="s">
        <v>106</v>
      </c>
      <c r="B21" s="355" t="s">
        <v>412</v>
      </c>
      <c r="C21" s="243"/>
    </row>
    <row r="22" spans="1:3" s="353" customFormat="1" ht="12" customHeight="1">
      <c r="A22" s="14" t="s">
        <v>107</v>
      </c>
      <c r="B22" s="355" t="s">
        <v>560</v>
      </c>
      <c r="C22" s="243"/>
    </row>
    <row r="23" spans="1:3" s="353" customFormat="1" ht="12" customHeight="1" thickBot="1">
      <c r="A23" s="16" t="s">
        <v>116</v>
      </c>
      <c r="B23" s="238" t="s">
        <v>253</v>
      </c>
      <c r="C23" s="245"/>
    </row>
    <row r="24" spans="1:3" s="353" customFormat="1" ht="12" customHeight="1" thickBot="1">
      <c r="A24" s="20" t="s">
        <v>20</v>
      </c>
      <c r="B24" s="21" t="s">
        <v>254</v>
      </c>
      <c r="C24" s="241">
        <f>+C25+C26+C27+C28+C29</f>
        <v>0</v>
      </c>
    </row>
    <row r="25" spans="1:3" s="353" customFormat="1" ht="12" customHeight="1">
      <c r="A25" s="15" t="s">
        <v>86</v>
      </c>
      <c r="B25" s="354" t="s">
        <v>255</v>
      </c>
      <c r="C25" s="244"/>
    </row>
    <row r="26" spans="1:3" s="353" customFormat="1" ht="12" customHeight="1">
      <c r="A26" s="14" t="s">
        <v>87</v>
      </c>
      <c r="B26" s="355" t="s">
        <v>256</v>
      </c>
      <c r="C26" s="243"/>
    </row>
    <row r="27" spans="1:3" s="353" customFormat="1" ht="12" customHeight="1">
      <c r="A27" s="14" t="s">
        <v>88</v>
      </c>
      <c r="B27" s="355" t="s">
        <v>413</v>
      </c>
      <c r="C27" s="243"/>
    </row>
    <row r="28" spans="1:3" s="353" customFormat="1" ht="12" customHeight="1">
      <c r="A28" s="14" t="s">
        <v>89</v>
      </c>
      <c r="B28" s="355" t="s">
        <v>414</v>
      </c>
      <c r="C28" s="243"/>
    </row>
    <row r="29" spans="1:3" s="353" customFormat="1" ht="12" customHeight="1">
      <c r="A29" s="14" t="s">
        <v>164</v>
      </c>
      <c r="B29" s="355" t="s">
        <v>257</v>
      </c>
      <c r="C29" s="243"/>
    </row>
    <row r="30" spans="1:3" s="488" customFormat="1" ht="12" customHeight="1" thickBot="1">
      <c r="A30" s="498" t="s">
        <v>165</v>
      </c>
      <c r="B30" s="486" t="s">
        <v>555</v>
      </c>
      <c r="C30" s="487"/>
    </row>
    <row r="31" spans="1:3" s="353" customFormat="1" ht="12" customHeight="1" thickBot="1">
      <c r="A31" s="20" t="s">
        <v>166</v>
      </c>
      <c r="B31" s="21" t="s">
        <v>539</v>
      </c>
      <c r="C31" s="247">
        <f>SUM(C32:C38)</f>
        <v>0</v>
      </c>
    </row>
    <row r="32" spans="1:3" s="353" customFormat="1" ht="12" customHeight="1">
      <c r="A32" s="15" t="s">
        <v>260</v>
      </c>
      <c r="B32" s="354" t="str">
        <f>'Össz.ÖNK'!B32</f>
        <v>Késedelmi pótlék</v>
      </c>
      <c r="C32" s="244"/>
    </row>
    <row r="33" spans="1:3" s="353" customFormat="1" ht="12" customHeight="1">
      <c r="A33" s="14" t="s">
        <v>261</v>
      </c>
      <c r="B33" s="354" t="str">
        <f>'Össz.ÖNK'!B33</f>
        <v>Idegenforgalmi adó</v>
      </c>
      <c r="C33" s="243"/>
    </row>
    <row r="34" spans="1:3" s="353" customFormat="1" ht="12" customHeight="1">
      <c r="A34" s="14" t="s">
        <v>262</v>
      </c>
      <c r="B34" s="354" t="str">
        <f>'Össz.ÖNK'!B34</f>
        <v>Iparűzési adó</v>
      </c>
      <c r="C34" s="243"/>
    </row>
    <row r="35" spans="1:3" s="353" customFormat="1" ht="12" customHeight="1">
      <c r="A35" s="14" t="s">
        <v>263</v>
      </c>
      <c r="B35" s="354" t="str">
        <f>'Össz.ÖNK'!B35</f>
        <v>Talajterhelési díj</v>
      </c>
      <c r="C35" s="243"/>
    </row>
    <row r="36" spans="1:3" s="353" customFormat="1" ht="12" customHeight="1">
      <c r="A36" s="14" t="s">
        <v>540</v>
      </c>
      <c r="B36" s="354" t="str">
        <f>'Össz.ÖNK'!B36</f>
        <v>Gépjárműadó</v>
      </c>
      <c r="C36" s="243"/>
    </row>
    <row r="37" spans="1:3" s="353" customFormat="1" ht="12" customHeight="1">
      <c r="A37" s="14" t="s">
        <v>541</v>
      </c>
      <c r="B37" s="354" t="str">
        <f>'Össz.ÖNK'!B37</f>
        <v>Egyéb bírság</v>
      </c>
      <c r="C37" s="243"/>
    </row>
    <row r="38" spans="1:3" s="353" customFormat="1" ht="12" customHeight="1" thickBot="1">
      <c r="A38" s="16" t="s">
        <v>542</v>
      </c>
      <c r="B38" s="354" t="str">
        <f>'Össz.ÖNK'!B38</f>
        <v>Kommunális adó</v>
      </c>
      <c r="C38" s="245"/>
    </row>
    <row r="39" spans="1:3" s="353" customFormat="1" ht="12" customHeight="1" thickBot="1">
      <c r="A39" s="20" t="s">
        <v>22</v>
      </c>
      <c r="B39" s="21" t="s">
        <v>423</v>
      </c>
      <c r="C39" s="241">
        <f>SUM(C40:C50)</f>
        <v>0</v>
      </c>
    </row>
    <row r="40" spans="1:3" s="353" customFormat="1" ht="12" customHeight="1">
      <c r="A40" s="15" t="s">
        <v>90</v>
      </c>
      <c r="B40" s="354" t="s">
        <v>267</v>
      </c>
      <c r="C40" s="244"/>
    </row>
    <row r="41" spans="1:3" s="353" customFormat="1" ht="12" customHeight="1">
      <c r="A41" s="14" t="s">
        <v>91</v>
      </c>
      <c r="B41" s="355" t="s">
        <v>268</v>
      </c>
      <c r="C41" s="243"/>
    </row>
    <row r="42" spans="1:3" s="353" customFormat="1" ht="12" customHeight="1">
      <c r="A42" s="14" t="s">
        <v>92</v>
      </c>
      <c r="B42" s="355" t="s">
        <v>269</v>
      </c>
      <c r="C42" s="243"/>
    </row>
    <row r="43" spans="1:3" s="353" customFormat="1" ht="12" customHeight="1">
      <c r="A43" s="14" t="s">
        <v>168</v>
      </c>
      <c r="B43" s="355" t="s">
        <v>270</v>
      </c>
      <c r="C43" s="243"/>
    </row>
    <row r="44" spans="1:3" s="353" customFormat="1" ht="12" customHeight="1">
      <c r="A44" s="14" t="s">
        <v>169</v>
      </c>
      <c r="B44" s="355" t="s">
        <v>271</v>
      </c>
      <c r="C44" s="243"/>
    </row>
    <row r="45" spans="1:3" s="353" customFormat="1" ht="12" customHeight="1">
      <c r="A45" s="14" t="s">
        <v>170</v>
      </c>
      <c r="B45" s="355" t="s">
        <v>272</v>
      </c>
      <c r="C45" s="243"/>
    </row>
    <row r="46" spans="1:3" s="353" customFormat="1" ht="12" customHeight="1">
      <c r="A46" s="14" t="s">
        <v>171</v>
      </c>
      <c r="B46" s="355" t="s">
        <v>273</v>
      </c>
      <c r="C46" s="243"/>
    </row>
    <row r="47" spans="1:3" s="353" customFormat="1" ht="12" customHeight="1">
      <c r="A47" s="14" t="s">
        <v>172</v>
      </c>
      <c r="B47" s="355" t="s">
        <v>546</v>
      </c>
      <c r="C47" s="243"/>
    </row>
    <row r="48" spans="1:3" s="353" customFormat="1" ht="12" customHeight="1">
      <c r="A48" s="14" t="s">
        <v>265</v>
      </c>
      <c r="B48" s="355" t="s">
        <v>275</v>
      </c>
      <c r="C48" s="246"/>
    </row>
    <row r="49" spans="1:3" s="353" customFormat="1" ht="12" customHeight="1">
      <c r="A49" s="16" t="s">
        <v>266</v>
      </c>
      <c r="B49" s="356" t="s">
        <v>425</v>
      </c>
      <c r="C49" s="343"/>
    </row>
    <row r="50" spans="1:3" s="353" customFormat="1" ht="12" customHeight="1" thickBot="1">
      <c r="A50" s="16" t="s">
        <v>424</v>
      </c>
      <c r="B50" s="238" t="s">
        <v>276</v>
      </c>
      <c r="C50" s="343"/>
    </row>
    <row r="51" spans="1:3" s="353" customFormat="1" ht="12" customHeight="1" thickBot="1">
      <c r="A51" s="20" t="s">
        <v>23</v>
      </c>
      <c r="B51" s="21" t="s">
        <v>277</v>
      </c>
      <c r="C51" s="241">
        <f>SUM(C52:C56)</f>
        <v>0</v>
      </c>
    </row>
    <row r="52" spans="1:3" s="353" customFormat="1" ht="12" customHeight="1">
      <c r="A52" s="15" t="s">
        <v>93</v>
      </c>
      <c r="B52" s="354" t="s">
        <v>281</v>
      </c>
      <c r="C52" s="398"/>
    </row>
    <row r="53" spans="1:3" s="353" customFormat="1" ht="12" customHeight="1">
      <c r="A53" s="14" t="s">
        <v>94</v>
      </c>
      <c r="B53" s="355" t="s">
        <v>282</v>
      </c>
      <c r="C53" s="246"/>
    </row>
    <row r="54" spans="1:3" s="353" customFormat="1" ht="12" customHeight="1">
      <c r="A54" s="14" t="s">
        <v>278</v>
      </c>
      <c r="B54" s="355" t="s">
        <v>283</v>
      </c>
      <c r="C54" s="246"/>
    </row>
    <row r="55" spans="1:3" s="353" customFormat="1" ht="12" customHeight="1">
      <c r="A55" s="14" t="s">
        <v>279</v>
      </c>
      <c r="B55" s="355" t="s">
        <v>284</v>
      </c>
      <c r="C55" s="246"/>
    </row>
    <row r="56" spans="1:3" s="353" customFormat="1" ht="12" customHeight="1" thickBot="1">
      <c r="A56" s="16" t="s">
        <v>280</v>
      </c>
      <c r="B56" s="238" t="s">
        <v>285</v>
      </c>
      <c r="C56" s="343"/>
    </row>
    <row r="57" spans="1:3" s="353" customFormat="1" ht="12" customHeight="1" thickBot="1">
      <c r="A57" s="20" t="s">
        <v>173</v>
      </c>
      <c r="B57" s="21" t="s">
        <v>286</v>
      </c>
      <c r="C57" s="241">
        <f>SUM(C58:C60)</f>
        <v>0</v>
      </c>
    </row>
    <row r="58" spans="1:3" s="353" customFormat="1" ht="12" customHeight="1">
      <c r="A58" s="15" t="s">
        <v>95</v>
      </c>
      <c r="B58" s="354" t="s">
        <v>287</v>
      </c>
      <c r="C58" s="244"/>
    </row>
    <row r="59" spans="1:3" s="353" customFormat="1" ht="12" customHeight="1">
      <c r="A59" s="14" t="s">
        <v>96</v>
      </c>
      <c r="B59" s="355" t="s">
        <v>415</v>
      </c>
      <c r="C59" s="243"/>
    </row>
    <row r="60" spans="1:3" s="353" customFormat="1" ht="12" customHeight="1">
      <c r="A60" s="14" t="s">
        <v>290</v>
      </c>
      <c r="B60" s="355" t="s">
        <v>288</v>
      </c>
      <c r="C60" s="243"/>
    </row>
    <row r="61" spans="1:3" s="353" customFormat="1" ht="12" customHeight="1" thickBot="1">
      <c r="A61" s="16" t="s">
        <v>291</v>
      </c>
      <c r="B61" s="238" t="s">
        <v>289</v>
      </c>
      <c r="C61" s="245"/>
    </row>
    <row r="62" spans="1:3" s="353" customFormat="1" ht="12" customHeight="1" thickBot="1">
      <c r="A62" s="20" t="s">
        <v>25</v>
      </c>
      <c r="B62" s="236" t="s">
        <v>292</v>
      </c>
      <c r="C62" s="241">
        <f>SUM(C63:C65)</f>
        <v>0</v>
      </c>
    </row>
    <row r="63" spans="1:3" s="353" customFormat="1" ht="12" customHeight="1">
      <c r="A63" s="15" t="s">
        <v>174</v>
      </c>
      <c r="B63" s="354" t="s">
        <v>294</v>
      </c>
      <c r="C63" s="246"/>
    </row>
    <row r="64" spans="1:3" s="353" customFormat="1" ht="12" customHeight="1">
      <c r="A64" s="14" t="s">
        <v>175</v>
      </c>
      <c r="B64" s="355" t="s">
        <v>416</v>
      </c>
      <c r="C64" s="246"/>
    </row>
    <row r="65" spans="1:3" s="353" customFormat="1" ht="12" customHeight="1">
      <c r="A65" s="14" t="s">
        <v>223</v>
      </c>
      <c r="B65" s="355" t="s">
        <v>295</v>
      </c>
      <c r="C65" s="246"/>
    </row>
    <row r="66" spans="1:3" s="353" customFormat="1" ht="12" customHeight="1" thickBot="1">
      <c r="A66" s="16" t="s">
        <v>293</v>
      </c>
      <c r="B66" s="238" t="s">
        <v>296</v>
      </c>
      <c r="C66" s="246"/>
    </row>
    <row r="67" spans="1:3" s="353" customFormat="1" ht="12" customHeight="1" thickBot="1">
      <c r="A67" s="420" t="s">
        <v>465</v>
      </c>
      <c r="B67" s="21" t="s">
        <v>297</v>
      </c>
      <c r="C67" s="247">
        <f>+C10+C17+C24+C31+C39+C51+C57+C62</f>
        <v>0</v>
      </c>
    </row>
    <row r="68" spans="1:3" s="353" customFormat="1" ht="12" customHeight="1" thickBot="1">
      <c r="A68" s="401" t="s">
        <v>298</v>
      </c>
      <c r="B68" s="236" t="s">
        <v>299</v>
      </c>
      <c r="C68" s="241">
        <f>SUM(C69:C71)</f>
        <v>0</v>
      </c>
    </row>
    <row r="69" spans="1:3" s="353" customFormat="1" ht="12" customHeight="1">
      <c r="A69" s="15" t="s">
        <v>327</v>
      </c>
      <c r="B69" s="354" t="s">
        <v>300</v>
      </c>
      <c r="C69" s="246"/>
    </row>
    <row r="70" spans="1:3" s="353" customFormat="1" ht="12" customHeight="1">
      <c r="A70" s="14" t="s">
        <v>336</v>
      </c>
      <c r="B70" s="355" t="s">
        <v>301</v>
      </c>
      <c r="C70" s="246"/>
    </row>
    <row r="71" spans="1:3" s="353" customFormat="1" ht="12" customHeight="1" thickBot="1">
      <c r="A71" s="16" t="s">
        <v>337</v>
      </c>
      <c r="B71" s="414" t="s">
        <v>556</v>
      </c>
      <c r="C71" s="246"/>
    </row>
    <row r="72" spans="1:3" s="353" customFormat="1" ht="12" customHeight="1" thickBot="1">
      <c r="A72" s="401" t="s">
        <v>303</v>
      </c>
      <c r="B72" s="236" t="s">
        <v>304</v>
      </c>
      <c r="C72" s="241">
        <f>SUM(C73:C76)</f>
        <v>0</v>
      </c>
    </row>
    <row r="73" spans="1:3" s="353" customFormat="1" ht="12" customHeight="1">
      <c r="A73" s="15" t="s">
        <v>142</v>
      </c>
      <c r="B73" s="354" t="s">
        <v>305</v>
      </c>
      <c r="C73" s="246"/>
    </row>
    <row r="74" spans="1:3" s="353" customFormat="1" ht="12" customHeight="1">
      <c r="A74" s="14" t="s">
        <v>143</v>
      </c>
      <c r="B74" s="355" t="s">
        <v>557</v>
      </c>
      <c r="C74" s="246"/>
    </row>
    <row r="75" spans="1:3" s="353" customFormat="1" ht="12" customHeight="1" thickBot="1">
      <c r="A75" s="16" t="s">
        <v>328</v>
      </c>
      <c r="B75" s="356" t="s">
        <v>306</v>
      </c>
      <c r="C75" s="343"/>
    </row>
    <row r="76" spans="1:3" s="353" customFormat="1" ht="12" customHeight="1" thickBot="1">
      <c r="A76" s="500" t="s">
        <v>329</v>
      </c>
      <c r="B76" s="501" t="s">
        <v>558</v>
      </c>
      <c r="C76" s="502"/>
    </row>
    <row r="77" spans="1:3" s="353" customFormat="1" ht="12" customHeight="1" thickBot="1">
      <c r="A77" s="401" t="s">
        <v>307</v>
      </c>
      <c r="B77" s="236" t="s">
        <v>308</v>
      </c>
      <c r="C77" s="241">
        <f>SUM(C78:C79)</f>
        <v>0</v>
      </c>
    </row>
    <row r="78" spans="1:3" s="353" customFormat="1" ht="12" customHeight="1" thickBot="1">
      <c r="A78" s="13" t="s">
        <v>330</v>
      </c>
      <c r="B78" s="499" t="s">
        <v>309</v>
      </c>
      <c r="C78" s="343"/>
    </row>
    <row r="79" spans="1:3" s="353" customFormat="1" ht="12" customHeight="1" thickBot="1">
      <c r="A79" s="500" t="s">
        <v>331</v>
      </c>
      <c r="B79" s="501" t="s">
        <v>310</v>
      </c>
      <c r="C79" s="502"/>
    </row>
    <row r="80" spans="1:3" s="353" customFormat="1" ht="12" customHeight="1" thickBot="1">
      <c r="A80" s="401" t="s">
        <v>311</v>
      </c>
      <c r="B80" s="236" t="s">
        <v>312</v>
      </c>
      <c r="C80" s="241">
        <f>SUM(C81:C83)</f>
        <v>0</v>
      </c>
    </row>
    <row r="81" spans="1:3" s="353" customFormat="1" ht="12" customHeight="1">
      <c r="A81" s="15" t="s">
        <v>332</v>
      </c>
      <c r="B81" s="354" t="s">
        <v>313</v>
      </c>
      <c r="C81" s="246"/>
    </row>
    <row r="82" spans="1:3" s="353" customFormat="1" ht="12" customHeight="1">
      <c r="A82" s="14" t="s">
        <v>333</v>
      </c>
      <c r="B82" s="355" t="s">
        <v>314</v>
      </c>
      <c r="C82" s="246"/>
    </row>
    <row r="83" spans="1:3" s="353" customFormat="1" ht="12" customHeight="1" thickBot="1">
      <c r="A83" s="18" t="s">
        <v>334</v>
      </c>
      <c r="B83" s="503" t="s">
        <v>559</v>
      </c>
      <c r="C83" s="504"/>
    </row>
    <row r="84" spans="1:3" s="353" customFormat="1" ht="12" customHeight="1" thickBot="1">
      <c r="A84" s="401" t="s">
        <v>315</v>
      </c>
      <c r="B84" s="236" t="s">
        <v>335</v>
      </c>
      <c r="C84" s="241">
        <f>SUM(C85:C88)</f>
        <v>0</v>
      </c>
    </row>
    <row r="85" spans="1:3" s="353" customFormat="1" ht="12" customHeight="1">
      <c r="A85" s="358" t="s">
        <v>316</v>
      </c>
      <c r="B85" s="354" t="s">
        <v>317</v>
      </c>
      <c r="C85" s="246"/>
    </row>
    <row r="86" spans="1:3" s="353" customFormat="1" ht="12" customHeight="1">
      <c r="A86" s="359" t="s">
        <v>318</v>
      </c>
      <c r="B86" s="355" t="s">
        <v>319</v>
      </c>
      <c r="C86" s="246"/>
    </row>
    <row r="87" spans="1:3" s="353" customFormat="1" ht="12" customHeight="1">
      <c r="A87" s="359" t="s">
        <v>320</v>
      </c>
      <c r="B87" s="355" t="s">
        <v>321</v>
      </c>
      <c r="C87" s="246"/>
    </row>
    <row r="88" spans="1:3" s="353" customFormat="1" ht="12" customHeight="1" thickBot="1">
      <c r="A88" s="360" t="s">
        <v>322</v>
      </c>
      <c r="B88" s="238" t="s">
        <v>323</v>
      </c>
      <c r="C88" s="246"/>
    </row>
    <row r="89" spans="1:3" s="353" customFormat="1" ht="12" customHeight="1" thickBot="1">
      <c r="A89" s="401" t="s">
        <v>324</v>
      </c>
      <c r="B89" s="236" t="s">
        <v>464</v>
      </c>
      <c r="C89" s="399"/>
    </row>
    <row r="90" spans="1:3" s="353" customFormat="1" ht="13.5" customHeight="1" thickBot="1">
      <c r="A90" s="401" t="s">
        <v>326</v>
      </c>
      <c r="B90" s="236" t="s">
        <v>325</v>
      </c>
      <c r="C90" s="399"/>
    </row>
    <row r="91" spans="1:3" s="353" customFormat="1" ht="15.75" customHeight="1" thickBot="1">
      <c r="A91" s="401" t="s">
        <v>338</v>
      </c>
      <c r="B91" s="361" t="s">
        <v>467</v>
      </c>
      <c r="C91" s="247">
        <f>+C68+C72+C77+C80+C84+C90+C89</f>
        <v>0</v>
      </c>
    </row>
    <row r="92" spans="1:3" s="353" customFormat="1" ht="16.5" customHeight="1" thickBot="1">
      <c r="A92" s="402" t="s">
        <v>466</v>
      </c>
      <c r="B92" s="362" t="s">
        <v>468</v>
      </c>
      <c r="C92" s="247">
        <f>+C67+C91</f>
        <v>0</v>
      </c>
    </row>
    <row r="93" spans="1:3" s="353" customFormat="1" ht="10.5" customHeight="1">
      <c r="A93" s="5"/>
      <c r="B93" s="6"/>
      <c r="C93" s="248"/>
    </row>
    <row r="94" spans="1:3" ht="16.5" customHeight="1">
      <c r="A94" s="748" t="s">
        <v>46</v>
      </c>
      <c r="B94" s="748"/>
      <c r="C94" s="748"/>
    </row>
    <row r="95" spans="1:3" s="363" customFormat="1" ht="16.5" customHeight="1" thickBot="1">
      <c r="A95" s="745" t="s">
        <v>146</v>
      </c>
      <c r="B95" s="745"/>
      <c r="C95" s="511" t="str">
        <f>C7</f>
        <v>Forintban!</v>
      </c>
    </row>
    <row r="96" spans="1:3" ht="30" customHeight="1" thickBot="1">
      <c r="A96" s="492" t="s">
        <v>68</v>
      </c>
      <c r="B96" s="493" t="s">
        <v>47</v>
      </c>
      <c r="C96" s="494" t="str">
        <f>+C8</f>
        <v>2020. évi előirányzat</v>
      </c>
    </row>
    <row r="97" spans="1:3" s="352" customFormat="1" ht="12" customHeight="1" thickBot="1">
      <c r="A97" s="492"/>
      <c r="B97" s="493" t="s">
        <v>482</v>
      </c>
      <c r="C97" s="494" t="s">
        <v>483</v>
      </c>
    </row>
    <row r="98" spans="1:3" ht="12" customHeight="1" thickBot="1">
      <c r="A98" s="22" t="s">
        <v>18</v>
      </c>
      <c r="B98" s="26" t="s">
        <v>426</v>
      </c>
      <c r="C98" s="240">
        <f>C99+C100+C101+C102+C103+C116</f>
        <v>13009771</v>
      </c>
    </row>
    <row r="99" spans="1:3" ht="12" customHeight="1">
      <c r="A99" s="17" t="s">
        <v>97</v>
      </c>
      <c r="B99" s="10" t="s">
        <v>48</v>
      </c>
      <c r="C99" s="242">
        <f>'ÖNK-ÁIG'!C94</f>
        <v>10758024</v>
      </c>
    </row>
    <row r="100" spans="1:3" ht="12" customHeight="1">
      <c r="A100" s="14" t="s">
        <v>98</v>
      </c>
      <c r="B100" s="8" t="s">
        <v>176</v>
      </c>
      <c r="C100" s="243">
        <f>'ÖNK-ÁIG'!C95</f>
        <v>2251747</v>
      </c>
    </row>
    <row r="101" spans="1:3" ht="12" customHeight="1">
      <c r="A101" s="14" t="s">
        <v>99</v>
      </c>
      <c r="B101" s="8" t="s">
        <v>133</v>
      </c>
      <c r="C101" s="245"/>
    </row>
    <row r="102" spans="1:3" ht="12" customHeight="1">
      <c r="A102" s="14" t="s">
        <v>100</v>
      </c>
      <c r="B102" s="11" t="s">
        <v>177</v>
      </c>
      <c r="C102" s="245"/>
    </row>
    <row r="103" spans="1:3" ht="12" customHeight="1">
      <c r="A103" s="14" t="s">
        <v>111</v>
      </c>
      <c r="B103" s="19" t="s">
        <v>178</v>
      </c>
      <c r="C103" s="245"/>
    </row>
    <row r="104" spans="1:3" ht="12" customHeight="1">
      <c r="A104" s="14" t="s">
        <v>101</v>
      </c>
      <c r="B104" s="8" t="s">
        <v>431</v>
      </c>
      <c r="C104" s="245"/>
    </row>
    <row r="105" spans="1:3" ht="12" customHeight="1">
      <c r="A105" s="14" t="s">
        <v>102</v>
      </c>
      <c r="B105" s="111" t="s">
        <v>430</v>
      </c>
      <c r="C105" s="245"/>
    </row>
    <row r="106" spans="1:3" ht="12" customHeight="1">
      <c r="A106" s="14" t="s">
        <v>112</v>
      </c>
      <c r="B106" s="111" t="s">
        <v>429</v>
      </c>
      <c r="C106" s="245"/>
    </row>
    <row r="107" spans="1:3" ht="12" customHeight="1">
      <c r="A107" s="14" t="s">
        <v>113</v>
      </c>
      <c r="B107" s="109" t="s">
        <v>341</v>
      </c>
      <c r="C107" s="245"/>
    </row>
    <row r="108" spans="1:3" ht="12" customHeight="1">
      <c r="A108" s="14" t="s">
        <v>114</v>
      </c>
      <c r="B108" s="110" t="s">
        <v>342</v>
      </c>
      <c r="C108" s="245"/>
    </row>
    <row r="109" spans="1:3" ht="12" customHeight="1">
      <c r="A109" s="14" t="s">
        <v>115</v>
      </c>
      <c r="B109" s="110" t="s">
        <v>343</v>
      </c>
      <c r="C109" s="245"/>
    </row>
    <row r="110" spans="1:3" ht="12" customHeight="1">
      <c r="A110" s="14" t="s">
        <v>117</v>
      </c>
      <c r="B110" s="109" t="s">
        <v>344</v>
      </c>
      <c r="C110" s="245"/>
    </row>
    <row r="111" spans="1:3" ht="12" customHeight="1">
      <c r="A111" s="14" t="s">
        <v>179</v>
      </c>
      <c r="B111" s="109" t="s">
        <v>345</v>
      </c>
      <c r="C111" s="245"/>
    </row>
    <row r="112" spans="1:3" ht="12" customHeight="1">
      <c r="A112" s="14" t="s">
        <v>339</v>
      </c>
      <c r="B112" s="110" t="s">
        <v>346</v>
      </c>
      <c r="C112" s="245"/>
    </row>
    <row r="113" spans="1:3" ht="12" customHeight="1">
      <c r="A113" s="13" t="s">
        <v>340</v>
      </c>
      <c r="B113" s="111" t="s">
        <v>347</v>
      </c>
      <c r="C113" s="245"/>
    </row>
    <row r="114" spans="1:3" ht="12" customHeight="1">
      <c r="A114" s="14" t="s">
        <v>427</v>
      </c>
      <c r="B114" s="111" t="s">
        <v>348</v>
      </c>
      <c r="C114" s="245"/>
    </row>
    <row r="115" spans="1:3" ht="12" customHeight="1">
      <c r="A115" s="16" t="s">
        <v>428</v>
      </c>
      <c r="B115" s="111" t="s">
        <v>349</v>
      </c>
      <c r="C115" s="245"/>
    </row>
    <row r="116" spans="1:3" ht="12" customHeight="1">
      <c r="A116" s="14" t="s">
        <v>432</v>
      </c>
      <c r="B116" s="11" t="s">
        <v>49</v>
      </c>
      <c r="C116" s="243"/>
    </row>
    <row r="117" spans="1:3" ht="12" customHeight="1">
      <c r="A117" s="14" t="s">
        <v>433</v>
      </c>
      <c r="B117" s="8" t="s">
        <v>435</v>
      </c>
      <c r="C117" s="243"/>
    </row>
    <row r="118" spans="1:3" ht="12" customHeight="1" thickBot="1">
      <c r="A118" s="18" t="s">
        <v>434</v>
      </c>
      <c r="B118" s="418" t="s">
        <v>436</v>
      </c>
      <c r="C118" s="249"/>
    </row>
    <row r="119" spans="1:3" ht="12" customHeight="1" thickBot="1">
      <c r="A119" s="415" t="s">
        <v>19</v>
      </c>
      <c r="B119" s="416" t="s">
        <v>350</v>
      </c>
      <c r="C119" s="417">
        <f>+C120+C122+C124</f>
        <v>0</v>
      </c>
    </row>
    <row r="120" spans="1:3" ht="12" customHeight="1">
      <c r="A120" s="15" t="s">
        <v>103</v>
      </c>
      <c r="B120" s="8" t="s">
        <v>222</v>
      </c>
      <c r="C120" s="244"/>
    </row>
    <row r="121" spans="1:3" ht="12" customHeight="1">
      <c r="A121" s="15" t="s">
        <v>104</v>
      </c>
      <c r="B121" s="12" t="s">
        <v>354</v>
      </c>
      <c r="C121" s="244"/>
    </row>
    <row r="122" spans="1:3" ht="12" customHeight="1">
      <c r="A122" s="15" t="s">
        <v>105</v>
      </c>
      <c r="B122" s="12" t="s">
        <v>180</v>
      </c>
      <c r="C122" s="243"/>
    </row>
    <row r="123" spans="1:3" ht="12" customHeight="1">
      <c r="A123" s="15" t="s">
        <v>106</v>
      </c>
      <c r="B123" s="12" t="s">
        <v>355</v>
      </c>
      <c r="C123" s="209"/>
    </row>
    <row r="124" spans="1:3" ht="12" customHeight="1">
      <c r="A124" s="15" t="s">
        <v>107</v>
      </c>
      <c r="B124" s="238" t="s">
        <v>561</v>
      </c>
      <c r="C124" s="209"/>
    </row>
    <row r="125" spans="1:3" ht="12" customHeight="1">
      <c r="A125" s="15" t="s">
        <v>116</v>
      </c>
      <c r="B125" s="237" t="s">
        <v>417</v>
      </c>
      <c r="C125" s="209"/>
    </row>
    <row r="126" spans="1:3" ht="12" customHeight="1">
      <c r="A126" s="15" t="s">
        <v>118</v>
      </c>
      <c r="B126" s="350" t="s">
        <v>360</v>
      </c>
      <c r="C126" s="209"/>
    </row>
    <row r="127" spans="1:3" ht="15.75">
      <c r="A127" s="15" t="s">
        <v>181</v>
      </c>
      <c r="B127" s="110" t="s">
        <v>343</v>
      </c>
      <c r="C127" s="209"/>
    </row>
    <row r="128" spans="1:3" ht="12" customHeight="1">
      <c r="A128" s="15" t="s">
        <v>182</v>
      </c>
      <c r="B128" s="110" t="s">
        <v>359</v>
      </c>
      <c r="C128" s="209"/>
    </row>
    <row r="129" spans="1:3" ht="12" customHeight="1">
      <c r="A129" s="15" t="s">
        <v>183</v>
      </c>
      <c r="B129" s="110" t="s">
        <v>358</v>
      </c>
      <c r="C129" s="209"/>
    </row>
    <row r="130" spans="1:3" ht="12" customHeight="1">
      <c r="A130" s="15" t="s">
        <v>351</v>
      </c>
      <c r="B130" s="110" t="s">
        <v>346</v>
      </c>
      <c r="C130" s="209"/>
    </row>
    <row r="131" spans="1:3" ht="12" customHeight="1">
      <c r="A131" s="15" t="s">
        <v>352</v>
      </c>
      <c r="B131" s="110" t="s">
        <v>357</v>
      </c>
      <c r="C131" s="209"/>
    </row>
    <row r="132" spans="1:3" ht="16.5" thickBot="1">
      <c r="A132" s="13" t="s">
        <v>353</v>
      </c>
      <c r="B132" s="110" t="s">
        <v>356</v>
      </c>
      <c r="C132" s="211"/>
    </row>
    <row r="133" spans="1:3" ht="12" customHeight="1" thickBot="1">
      <c r="A133" s="20" t="s">
        <v>20</v>
      </c>
      <c r="B133" s="91" t="s">
        <v>437</v>
      </c>
      <c r="C133" s="241">
        <f>+C98+C119</f>
        <v>13009771</v>
      </c>
    </row>
    <row r="134" spans="1:3" ht="12" customHeight="1" thickBot="1">
      <c r="A134" s="20" t="s">
        <v>21</v>
      </c>
      <c r="B134" s="91" t="s">
        <v>438</v>
      </c>
      <c r="C134" s="241">
        <f>+C135+C136+C137</f>
        <v>0</v>
      </c>
    </row>
    <row r="135" spans="1:3" ht="12" customHeight="1">
      <c r="A135" s="15" t="s">
        <v>260</v>
      </c>
      <c r="B135" s="12" t="s">
        <v>445</v>
      </c>
      <c r="C135" s="209"/>
    </row>
    <row r="136" spans="1:3" ht="12" customHeight="1">
      <c r="A136" s="15" t="s">
        <v>261</v>
      </c>
      <c r="B136" s="12" t="s">
        <v>446</v>
      </c>
      <c r="C136" s="209"/>
    </row>
    <row r="137" spans="1:3" ht="12" customHeight="1" thickBot="1">
      <c r="A137" s="13" t="s">
        <v>262</v>
      </c>
      <c r="B137" s="12" t="s">
        <v>447</v>
      </c>
      <c r="C137" s="209"/>
    </row>
    <row r="138" spans="1:3" ht="12" customHeight="1" thickBot="1">
      <c r="A138" s="20" t="s">
        <v>22</v>
      </c>
      <c r="B138" s="91" t="s">
        <v>439</v>
      </c>
      <c r="C138" s="241">
        <f>SUM(C139:C144)</f>
        <v>0</v>
      </c>
    </row>
    <row r="139" spans="1:3" ht="12" customHeight="1">
      <c r="A139" s="15" t="s">
        <v>90</v>
      </c>
      <c r="B139" s="9" t="s">
        <v>448</v>
      </c>
      <c r="C139" s="209"/>
    </row>
    <row r="140" spans="1:3" ht="12" customHeight="1">
      <c r="A140" s="15" t="s">
        <v>91</v>
      </c>
      <c r="B140" s="9" t="s">
        <v>440</v>
      </c>
      <c r="C140" s="209"/>
    </row>
    <row r="141" spans="1:3" ht="12" customHeight="1">
      <c r="A141" s="15" t="s">
        <v>92</v>
      </c>
      <c r="B141" s="9" t="s">
        <v>441</v>
      </c>
      <c r="C141" s="209"/>
    </row>
    <row r="142" spans="1:3" ht="12" customHeight="1">
      <c r="A142" s="15" t="s">
        <v>168</v>
      </c>
      <c r="B142" s="9" t="s">
        <v>442</v>
      </c>
      <c r="C142" s="209"/>
    </row>
    <row r="143" spans="1:3" ht="12" customHeight="1">
      <c r="A143" s="13" t="s">
        <v>169</v>
      </c>
      <c r="B143" s="7" t="s">
        <v>443</v>
      </c>
      <c r="C143" s="211"/>
    </row>
    <row r="144" spans="1:3" ht="12" customHeight="1" thickBot="1">
      <c r="A144" s="18" t="s">
        <v>170</v>
      </c>
      <c r="B144" s="637" t="s">
        <v>444</v>
      </c>
      <c r="C144" s="425"/>
    </row>
    <row r="145" spans="1:3" ht="12" customHeight="1" thickBot="1">
      <c r="A145" s="20" t="s">
        <v>23</v>
      </c>
      <c r="B145" s="91" t="s">
        <v>452</v>
      </c>
      <c r="C145" s="247">
        <f>+C146+C147+C148+C149</f>
        <v>0</v>
      </c>
    </row>
    <row r="146" spans="1:3" ht="12" customHeight="1">
      <c r="A146" s="15" t="s">
        <v>93</v>
      </c>
      <c r="B146" s="9" t="s">
        <v>361</v>
      </c>
      <c r="C146" s="209"/>
    </row>
    <row r="147" spans="1:3" ht="12" customHeight="1">
      <c r="A147" s="15" t="s">
        <v>94</v>
      </c>
      <c r="B147" s="9" t="s">
        <v>362</v>
      </c>
      <c r="C147" s="209"/>
    </row>
    <row r="148" spans="1:3" ht="12" customHeight="1" thickBot="1">
      <c r="A148" s="13" t="s">
        <v>278</v>
      </c>
      <c r="B148" s="7" t="s">
        <v>453</v>
      </c>
      <c r="C148" s="211"/>
    </row>
    <row r="149" spans="1:3" ht="12" customHeight="1" thickBot="1">
      <c r="A149" s="500" t="s">
        <v>279</v>
      </c>
      <c r="B149" s="505" t="s">
        <v>380</v>
      </c>
      <c r="C149" s="506"/>
    </row>
    <row r="150" spans="1:3" ht="12" customHeight="1" thickBot="1">
      <c r="A150" s="20" t="s">
        <v>24</v>
      </c>
      <c r="B150" s="91" t="s">
        <v>454</v>
      </c>
      <c r="C150" s="250">
        <f>SUM(C151:C155)</f>
        <v>0</v>
      </c>
    </row>
    <row r="151" spans="1:3" ht="12" customHeight="1">
      <c r="A151" s="15" t="s">
        <v>95</v>
      </c>
      <c r="B151" s="9" t="s">
        <v>449</v>
      </c>
      <c r="C151" s="209"/>
    </row>
    <row r="152" spans="1:3" ht="12" customHeight="1">
      <c r="A152" s="15" t="s">
        <v>96</v>
      </c>
      <c r="B152" s="9" t="s">
        <v>456</v>
      </c>
      <c r="C152" s="209"/>
    </row>
    <row r="153" spans="1:3" ht="12" customHeight="1">
      <c r="A153" s="15" t="s">
        <v>290</v>
      </c>
      <c r="B153" s="9" t="s">
        <v>451</v>
      </c>
      <c r="C153" s="209"/>
    </row>
    <row r="154" spans="1:3" ht="12" customHeight="1">
      <c r="A154" s="15" t="s">
        <v>291</v>
      </c>
      <c r="B154" s="9" t="s">
        <v>507</v>
      </c>
      <c r="C154" s="209"/>
    </row>
    <row r="155" spans="1:3" ht="12" customHeight="1" thickBot="1">
      <c r="A155" s="15" t="s">
        <v>455</v>
      </c>
      <c r="B155" s="9" t="s">
        <v>458</v>
      </c>
      <c r="C155" s="209"/>
    </row>
    <row r="156" spans="1:3" ht="12" customHeight="1" thickBot="1">
      <c r="A156" s="20" t="s">
        <v>25</v>
      </c>
      <c r="B156" s="91" t="s">
        <v>459</v>
      </c>
      <c r="C156" s="419"/>
    </row>
    <row r="157" spans="1:3" ht="12" customHeight="1" thickBot="1">
      <c r="A157" s="20" t="s">
        <v>26</v>
      </c>
      <c r="B157" s="91" t="s">
        <v>460</v>
      </c>
      <c r="C157" s="419"/>
    </row>
    <row r="158" spans="1:9" ht="15" customHeight="1" thickBot="1">
      <c r="A158" s="20" t="s">
        <v>27</v>
      </c>
      <c r="B158" s="91" t="s">
        <v>462</v>
      </c>
      <c r="C158" s="507">
        <f>+C134+C138+C145+C150+C156+C157</f>
        <v>0</v>
      </c>
      <c r="F158" s="365"/>
      <c r="G158" s="366"/>
      <c r="H158" s="366"/>
      <c r="I158" s="366"/>
    </row>
    <row r="159" spans="1:3" s="353" customFormat="1" ht="17.25" customHeight="1" thickBot="1">
      <c r="A159" s="239" t="s">
        <v>28</v>
      </c>
      <c r="B159" s="508" t="s">
        <v>461</v>
      </c>
      <c r="C159" s="507">
        <f>+C133+C158</f>
        <v>13009771</v>
      </c>
    </row>
    <row r="160" spans="1:3" ht="15.75" customHeight="1">
      <c r="A160" s="509"/>
      <c r="B160" s="509"/>
      <c r="C160" s="566">
        <f>C92-C159</f>
        <v>-13009771</v>
      </c>
    </row>
    <row r="161" spans="1:3" ht="15.75">
      <c r="A161" s="746" t="s">
        <v>363</v>
      </c>
      <c r="B161" s="746"/>
      <c r="C161" s="746"/>
    </row>
    <row r="162" spans="1:3" ht="15" customHeight="1" thickBot="1">
      <c r="A162" s="747" t="s">
        <v>147</v>
      </c>
      <c r="B162" s="747"/>
      <c r="C162" s="512" t="str">
        <f>C95</f>
        <v>Forintban!</v>
      </c>
    </row>
    <row r="163" spans="1:4" ht="13.5" customHeight="1" thickBot="1">
      <c r="A163" s="20">
        <v>1</v>
      </c>
      <c r="B163" s="25" t="s">
        <v>463</v>
      </c>
      <c r="C163" s="241">
        <f>+C67-C133</f>
        <v>-13009771</v>
      </c>
      <c r="D163" s="367"/>
    </row>
    <row r="164" spans="1:3" ht="27.75" customHeight="1" thickBot="1">
      <c r="A164" s="20" t="s">
        <v>19</v>
      </c>
      <c r="B164" s="25" t="s">
        <v>469</v>
      </c>
      <c r="C164" s="241">
        <f>+C91-C158</f>
        <v>0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1" fitToWidth="1" horizontalDpi="600" verticalDpi="600" orientation="portrait" paperSize="8" scale="51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">
      <selection activeCell="I33" sqref="I33"/>
    </sheetView>
  </sheetViews>
  <sheetFormatPr defaultColWidth="9.00390625" defaultRowHeight="12.75"/>
  <cols>
    <col min="1" max="1" width="6.875" style="41" customWidth="1"/>
    <col min="2" max="2" width="55.125" style="149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263" t="s">
        <v>151</v>
      </c>
      <c r="C1" s="264"/>
      <c r="D1" s="264"/>
      <c r="E1" s="264"/>
      <c r="F1" s="751" t="str">
        <f>CONCATENATE("2.1. melléklet ",ALAPADATOK!A7," ",ALAPADATOK!B7," ",ALAPADATOK!C7," ",ALAPADATOK!D7," ",ALAPADATOK!E7," ",ALAPADATOK!F7," ",ALAPADATOK!G7," ",ALAPADATOK!H7)</f>
        <v>2.1. melléklet a  / 2020 (  ) önkormányzati rendelethez</v>
      </c>
    </row>
    <row r="2" spans="5:6" ht="13.5" thickBot="1">
      <c r="E2" s="514" t="str">
        <f>CONCATENATE('Össz.ÖNK'!C7)</f>
        <v>Forintban!</v>
      </c>
      <c r="F2" s="751"/>
    </row>
    <row r="3" spans="1:6" ht="18" customHeight="1" thickBot="1">
      <c r="A3" s="749" t="s">
        <v>68</v>
      </c>
      <c r="B3" s="265" t="s">
        <v>55</v>
      </c>
      <c r="C3" s="266"/>
      <c r="D3" s="265" t="s">
        <v>56</v>
      </c>
      <c r="E3" s="267"/>
      <c r="F3" s="751"/>
    </row>
    <row r="4" spans="1:6" s="268" customFormat="1" ht="35.25" customHeight="1" thickBot="1">
      <c r="A4" s="750"/>
      <c r="B4" s="150" t="s">
        <v>60</v>
      </c>
      <c r="C4" s="151" t="str">
        <f>+'Össz.ÖNK'!C8</f>
        <v>2020. évi előirányzat</v>
      </c>
      <c r="D4" s="150" t="s">
        <v>60</v>
      </c>
      <c r="E4" s="40" t="str">
        <f>+C4</f>
        <v>2020. évi előirányzat</v>
      </c>
      <c r="F4" s="751"/>
    </row>
    <row r="5" spans="1:6" s="273" customFormat="1" ht="12" customHeight="1" thickBot="1">
      <c r="A5" s="269"/>
      <c r="B5" s="270" t="s">
        <v>482</v>
      </c>
      <c r="C5" s="271" t="s">
        <v>483</v>
      </c>
      <c r="D5" s="270" t="s">
        <v>484</v>
      </c>
      <c r="E5" s="272" t="s">
        <v>486</v>
      </c>
      <c r="F5" s="751"/>
    </row>
    <row r="6" spans="1:6" ht="12.75" customHeight="1">
      <c r="A6" s="274" t="s">
        <v>18</v>
      </c>
      <c r="B6" s="275" t="s">
        <v>364</v>
      </c>
      <c r="C6" s="252"/>
      <c r="D6" s="275" t="s">
        <v>61</v>
      </c>
      <c r="E6" s="258"/>
      <c r="F6" s="751"/>
    </row>
    <row r="7" spans="1:6" ht="12.75" customHeight="1">
      <c r="A7" s="276" t="s">
        <v>19</v>
      </c>
      <c r="B7" s="277" t="s">
        <v>365</v>
      </c>
      <c r="C7" s="253"/>
      <c r="D7" s="277" t="s">
        <v>176</v>
      </c>
      <c r="E7" s="259"/>
      <c r="F7" s="751"/>
    </row>
    <row r="8" spans="1:6" ht="12.75" customHeight="1">
      <c r="A8" s="276" t="s">
        <v>20</v>
      </c>
      <c r="B8" s="277" t="s">
        <v>385</v>
      </c>
      <c r="C8" s="253"/>
      <c r="D8" s="277" t="s">
        <v>226</v>
      </c>
      <c r="E8" s="259"/>
      <c r="F8" s="751"/>
    </row>
    <row r="9" spans="1:6" ht="12.75" customHeight="1">
      <c r="A9" s="276" t="s">
        <v>21</v>
      </c>
      <c r="B9" s="277" t="s">
        <v>167</v>
      </c>
      <c r="C9" s="253"/>
      <c r="D9" s="277" t="s">
        <v>177</v>
      </c>
      <c r="E9" s="259"/>
      <c r="F9" s="751"/>
    </row>
    <row r="10" spans="1:6" ht="12.75" customHeight="1">
      <c r="A10" s="276" t="s">
        <v>22</v>
      </c>
      <c r="B10" s="278" t="s">
        <v>410</v>
      </c>
      <c r="C10" s="253"/>
      <c r="D10" s="277" t="s">
        <v>178</v>
      </c>
      <c r="E10" s="259"/>
      <c r="F10" s="751"/>
    </row>
    <row r="11" spans="1:6" ht="12.75" customHeight="1">
      <c r="A11" s="276" t="s">
        <v>23</v>
      </c>
      <c r="B11" s="277" t="s">
        <v>366</v>
      </c>
      <c r="C11" s="254"/>
      <c r="D11" s="277" t="s">
        <v>49</v>
      </c>
      <c r="E11" s="259"/>
      <c r="F11" s="751"/>
    </row>
    <row r="12" spans="1:6" ht="12.75" customHeight="1">
      <c r="A12" s="276" t="s">
        <v>24</v>
      </c>
      <c r="B12" s="277" t="s">
        <v>470</v>
      </c>
      <c r="C12" s="253"/>
      <c r="D12" s="38"/>
      <c r="E12" s="259"/>
      <c r="F12" s="751"/>
    </row>
    <row r="13" spans="1:6" ht="12.75" customHeight="1">
      <c r="A13" s="276" t="s">
        <v>25</v>
      </c>
      <c r="B13" s="38"/>
      <c r="C13" s="253"/>
      <c r="D13" s="38"/>
      <c r="E13" s="259"/>
      <c r="F13" s="751"/>
    </row>
    <row r="14" spans="1:6" ht="12.75" customHeight="1">
      <c r="A14" s="276" t="s">
        <v>26</v>
      </c>
      <c r="B14" s="368"/>
      <c r="C14" s="254"/>
      <c r="D14" s="38"/>
      <c r="E14" s="259"/>
      <c r="F14" s="751"/>
    </row>
    <row r="15" spans="1:6" ht="12.75" customHeight="1">
      <c r="A15" s="276" t="s">
        <v>27</v>
      </c>
      <c r="B15" s="38"/>
      <c r="C15" s="253"/>
      <c r="D15" s="38"/>
      <c r="E15" s="259"/>
      <c r="F15" s="751"/>
    </row>
    <row r="16" spans="1:6" ht="12.75" customHeight="1">
      <c r="A16" s="276" t="s">
        <v>28</v>
      </c>
      <c r="B16" s="38"/>
      <c r="C16" s="253"/>
      <c r="D16" s="38"/>
      <c r="E16" s="259"/>
      <c r="F16" s="751"/>
    </row>
    <row r="17" spans="1:6" ht="12.75" customHeight="1" thickBot="1">
      <c r="A17" s="276" t="s">
        <v>29</v>
      </c>
      <c r="B17" s="42"/>
      <c r="C17" s="255"/>
      <c r="D17" s="38"/>
      <c r="E17" s="260"/>
      <c r="F17" s="751"/>
    </row>
    <row r="18" spans="1:6" ht="15.75" customHeight="1" thickBot="1">
      <c r="A18" s="279" t="s">
        <v>30</v>
      </c>
      <c r="B18" s="93" t="s">
        <v>471</v>
      </c>
      <c r="C18" s="256">
        <f>C6+C7+C9+C10+C11+C13+C14+C15+C16+C17</f>
        <v>0</v>
      </c>
      <c r="D18" s="93" t="s">
        <v>371</v>
      </c>
      <c r="E18" s="261">
        <f>SUM(E6:E17)</f>
        <v>0</v>
      </c>
      <c r="F18" s="751"/>
    </row>
    <row r="19" spans="1:6" ht="12.75" customHeight="1">
      <c r="A19" s="280" t="s">
        <v>31</v>
      </c>
      <c r="B19" s="281" t="s">
        <v>368</v>
      </c>
      <c r="C19" s="421">
        <f>+C20+C21+C22+C23</f>
        <v>0</v>
      </c>
      <c r="D19" s="282" t="s">
        <v>184</v>
      </c>
      <c r="E19" s="262"/>
      <c r="F19" s="751"/>
    </row>
    <row r="20" spans="1:6" ht="12.75" customHeight="1">
      <c r="A20" s="283" t="s">
        <v>32</v>
      </c>
      <c r="B20" s="282" t="s">
        <v>220</v>
      </c>
      <c r="C20" s="54"/>
      <c r="D20" s="282" t="s">
        <v>370</v>
      </c>
      <c r="E20" s="55"/>
      <c r="F20" s="751"/>
    </row>
    <row r="21" spans="1:6" ht="12.75" customHeight="1">
      <c r="A21" s="283" t="s">
        <v>33</v>
      </c>
      <c r="B21" s="282" t="s">
        <v>221</v>
      </c>
      <c r="C21" s="54"/>
      <c r="D21" s="282" t="s">
        <v>149</v>
      </c>
      <c r="E21" s="55"/>
      <c r="F21" s="751"/>
    </row>
    <row r="22" spans="1:6" ht="12.75" customHeight="1">
      <c r="A22" s="283" t="s">
        <v>34</v>
      </c>
      <c r="B22" s="282" t="s">
        <v>225</v>
      </c>
      <c r="C22" s="54"/>
      <c r="D22" s="282" t="s">
        <v>150</v>
      </c>
      <c r="E22" s="55"/>
      <c r="F22" s="751"/>
    </row>
    <row r="23" spans="1:6" ht="12.75" customHeight="1">
      <c r="A23" s="283" t="s">
        <v>35</v>
      </c>
      <c r="B23" s="290" t="s">
        <v>231</v>
      </c>
      <c r="C23" s="54"/>
      <c r="D23" s="281" t="s">
        <v>227</v>
      </c>
      <c r="E23" s="55"/>
      <c r="F23" s="751"/>
    </row>
    <row r="24" spans="1:6" ht="12.75" customHeight="1">
      <c r="A24" s="283" t="s">
        <v>36</v>
      </c>
      <c r="B24" s="282" t="s">
        <v>369</v>
      </c>
      <c r="C24" s="284">
        <f>+C25+C26</f>
        <v>0</v>
      </c>
      <c r="D24" s="282" t="s">
        <v>185</v>
      </c>
      <c r="E24" s="55"/>
      <c r="F24" s="751"/>
    </row>
    <row r="25" spans="1:6" ht="12.75" customHeight="1">
      <c r="A25" s="280" t="s">
        <v>37</v>
      </c>
      <c r="B25" s="281" t="s">
        <v>367</v>
      </c>
      <c r="C25" s="257"/>
      <c r="D25" s="275" t="s">
        <v>453</v>
      </c>
      <c r="E25" s="262"/>
      <c r="F25" s="751"/>
    </row>
    <row r="26" spans="1:6" ht="12.75" customHeight="1">
      <c r="A26" s="283" t="s">
        <v>38</v>
      </c>
      <c r="B26" s="290" t="s">
        <v>660</v>
      </c>
      <c r="C26" s="54"/>
      <c r="D26" s="277" t="s">
        <v>459</v>
      </c>
      <c r="E26" s="55"/>
      <c r="F26" s="751"/>
    </row>
    <row r="27" spans="1:6" ht="12.75" customHeight="1">
      <c r="A27" s="276" t="s">
        <v>39</v>
      </c>
      <c r="B27" s="282" t="s">
        <v>464</v>
      </c>
      <c r="C27" s="54"/>
      <c r="D27" s="277" t="s">
        <v>460</v>
      </c>
      <c r="E27" s="55"/>
      <c r="F27" s="751"/>
    </row>
    <row r="28" spans="1:6" ht="12.75" customHeight="1" thickBot="1">
      <c r="A28" s="333" t="s">
        <v>40</v>
      </c>
      <c r="B28" s="281" t="s">
        <v>325</v>
      </c>
      <c r="C28" s="257"/>
      <c r="D28" s="370"/>
      <c r="E28" s="262"/>
      <c r="F28" s="751"/>
    </row>
    <row r="29" spans="1:6" ht="15.75" customHeight="1" thickBot="1">
      <c r="A29" s="279" t="s">
        <v>41</v>
      </c>
      <c r="B29" s="93" t="s">
        <v>472</v>
      </c>
      <c r="C29" s="256">
        <f>+C19+C24+C27+C28</f>
        <v>0</v>
      </c>
      <c r="D29" s="93" t="s">
        <v>474</v>
      </c>
      <c r="E29" s="261">
        <f>SUM(E19:E28)</f>
        <v>0</v>
      </c>
      <c r="F29" s="751"/>
    </row>
    <row r="30" spans="1:6" ht="13.5" thickBot="1">
      <c r="A30" s="279" t="s">
        <v>42</v>
      </c>
      <c r="B30" s="285" t="s">
        <v>473</v>
      </c>
      <c r="C30" s="286">
        <f>+C18+C29</f>
        <v>0</v>
      </c>
      <c r="D30" s="285" t="s">
        <v>475</v>
      </c>
      <c r="E30" s="286">
        <f>+E18+E29</f>
        <v>0</v>
      </c>
      <c r="F30" s="751"/>
    </row>
    <row r="31" spans="1:6" ht="13.5" thickBot="1">
      <c r="A31" s="279" t="s">
        <v>43</v>
      </c>
      <c r="B31" s="285" t="s">
        <v>162</v>
      </c>
      <c r="C31" s="286" t="str">
        <f>IF(C18-E18&lt;0,E18-C18,"-")</f>
        <v>-</v>
      </c>
      <c r="D31" s="285" t="s">
        <v>163</v>
      </c>
      <c r="E31" s="286" t="str">
        <f>IF(C18-E18&gt;0,C18-E18,"-")</f>
        <v>-</v>
      </c>
      <c r="F31" s="751"/>
    </row>
    <row r="32" spans="1:6" ht="13.5" thickBot="1">
      <c r="A32" s="279" t="s">
        <v>44</v>
      </c>
      <c r="B32" s="285" t="s">
        <v>553</v>
      </c>
      <c r="C32" s="286" t="str">
        <f>IF(C30-E30&lt;0,E30-C30,"-")</f>
        <v>-</v>
      </c>
      <c r="D32" s="285" t="s">
        <v>554</v>
      </c>
      <c r="E32" s="286" t="str">
        <f>IF(C30-E30&gt;0,C30-E30,"-")</f>
        <v>-</v>
      </c>
      <c r="F32" s="751"/>
    </row>
    <row r="33" spans="1:5" ht="15.75">
      <c r="A33" s="752">
        <f>IF(C32&lt;&gt;"-","Nem lehet bruttó hiány, mert az Mötv. 111. § (4) bekezédse szerint A költségvetési rendeletben működési hiány nem tervezhető.","")</f>
      </c>
      <c r="B33" s="752"/>
      <c r="C33" s="752"/>
      <c r="D33" s="752"/>
      <c r="E33" s="752"/>
    </row>
  </sheetData>
  <sheetProtection/>
  <mergeCells count="3">
    <mergeCell ref="A3:A4"/>
    <mergeCell ref="F1:F32"/>
    <mergeCell ref="A33:E33"/>
  </mergeCells>
  <conditionalFormatting sqref="C32">
    <cfRule type="cellIs" priority="1" dxfId="5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I34" sqref="I34:I35"/>
    </sheetView>
  </sheetViews>
  <sheetFormatPr defaultColWidth="9.00390625" defaultRowHeight="12.75"/>
  <cols>
    <col min="1" max="1" width="6.875" style="41" customWidth="1"/>
    <col min="2" max="2" width="55.125" style="149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263" t="s">
        <v>152</v>
      </c>
      <c r="C1" s="264"/>
      <c r="D1" s="264"/>
      <c r="E1" s="264"/>
      <c r="F1" s="751" t="str">
        <f>CONCATENATE("2.2. melléklet ",ALAPADATOK!A7," ",ALAPADATOK!B7," ",ALAPADATOK!C7," ",ALAPADATOK!D7," ",ALAPADATOK!E7," ",ALAPADATOK!F7," ",ALAPADATOK!G7," ",ALAPADATOK!H7)</f>
        <v>2.2. melléklet a  / 2020 (  ) önkormányzati rendelethez</v>
      </c>
    </row>
    <row r="2" spans="5:6" ht="13.5" thickBot="1">
      <c r="E2" s="513" t="str">
        <f>CONCATENATE('Össz.ÖNK'!C7)</f>
        <v>Forintban!</v>
      </c>
      <c r="F2" s="751"/>
    </row>
    <row r="3" spans="1:6" ht="13.5" thickBot="1">
      <c r="A3" s="753" t="s">
        <v>68</v>
      </c>
      <c r="B3" s="265" t="s">
        <v>55</v>
      </c>
      <c r="C3" s="266"/>
      <c r="D3" s="265" t="s">
        <v>56</v>
      </c>
      <c r="E3" s="267"/>
      <c r="F3" s="751"/>
    </row>
    <row r="4" spans="1:6" s="268" customFormat="1" ht="24.75" thickBot="1">
      <c r="A4" s="754"/>
      <c r="B4" s="150" t="s">
        <v>60</v>
      </c>
      <c r="C4" s="151" t="str">
        <f>+'KV_2.1.sz.mell.'!C4</f>
        <v>2020. évi előirányzat</v>
      </c>
      <c r="D4" s="150" t="s">
        <v>60</v>
      </c>
      <c r="E4" s="40" t="str">
        <f>+'KV_2.1.sz.mell.'!C4</f>
        <v>2020. évi előirányzat</v>
      </c>
      <c r="F4" s="751"/>
    </row>
    <row r="5" spans="1:6" s="268" customFormat="1" ht="13.5" thickBot="1">
      <c r="A5" s="269"/>
      <c r="B5" s="270" t="s">
        <v>482</v>
      </c>
      <c r="C5" s="271" t="s">
        <v>483</v>
      </c>
      <c r="D5" s="270" t="s">
        <v>484</v>
      </c>
      <c r="E5" s="272" t="s">
        <v>486</v>
      </c>
      <c r="F5" s="751"/>
    </row>
    <row r="6" spans="1:6" ht="12.75" customHeight="1">
      <c r="A6" s="274" t="s">
        <v>18</v>
      </c>
      <c r="B6" s="275" t="s">
        <v>372</v>
      </c>
      <c r="C6" s="252"/>
      <c r="D6" s="275" t="s">
        <v>222</v>
      </c>
      <c r="E6" s="258"/>
      <c r="F6" s="751"/>
    </row>
    <row r="7" spans="1:6" ht="12.75">
      <c r="A7" s="276" t="s">
        <v>19</v>
      </c>
      <c r="B7" s="277" t="s">
        <v>373</v>
      </c>
      <c r="C7" s="253"/>
      <c r="D7" s="277" t="s">
        <v>378</v>
      </c>
      <c r="E7" s="259"/>
      <c r="F7" s="751"/>
    </row>
    <row r="8" spans="1:6" ht="12.75" customHeight="1">
      <c r="A8" s="276" t="s">
        <v>20</v>
      </c>
      <c r="B8" s="277" t="s">
        <v>10</v>
      </c>
      <c r="C8" s="253"/>
      <c r="D8" s="277" t="s">
        <v>180</v>
      </c>
      <c r="E8" s="259"/>
      <c r="F8" s="751"/>
    </row>
    <row r="9" spans="1:6" ht="12.75" customHeight="1">
      <c r="A9" s="276" t="s">
        <v>21</v>
      </c>
      <c r="B9" s="277" t="s">
        <v>374</v>
      </c>
      <c r="C9" s="253"/>
      <c r="D9" s="277" t="s">
        <v>379</v>
      </c>
      <c r="E9" s="259"/>
      <c r="F9" s="751"/>
    </row>
    <row r="10" spans="1:6" ht="12.75" customHeight="1">
      <c r="A10" s="276" t="s">
        <v>22</v>
      </c>
      <c r="B10" s="277" t="s">
        <v>375</v>
      </c>
      <c r="C10" s="253"/>
      <c r="D10" s="277" t="s">
        <v>224</v>
      </c>
      <c r="E10" s="259"/>
      <c r="F10" s="751"/>
    </row>
    <row r="11" spans="1:6" ht="12.75" customHeight="1">
      <c r="A11" s="276" t="s">
        <v>23</v>
      </c>
      <c r="B11" s="277" t="s">
        <v>376</v>
      </c>
      <c r="C11" s="254"/>
      <c r="D11" s="371"/>
      <c r="E11" s="259"/>
      <c r="F11" s="751"/>
    </row>
    <row r="12" spans="1:6" ht="12.75" customHeight="1">
      <c r="A12" s="276" t="s">
        <v>24</v>
      </c>
      <c r="B12" s="38"/>
      <c r="C12" s="253"/>
      <c r="D12" s="371"/>
      <c r="E12" s="259"/>
      <c r="F12" s="751"/>
    </row>
    <row r="13" spans="1:6" ht="12.75" customHeight="1">
      <c r="A13" s="276" t="s">
        <v>25</v>
      </c>
      <c r="B13" s="38"/>
      <c r="C13" s="253"/>
      <c r="D13" s="372"/>
      <c r="E13" s="259"/>
      <c r="F13" s="751"/>
    </row>
    <row r="14" spans="1:6" ht="12.75" customHeight="1">
      <c r="A14" s="276" t="s">
        <v>26</v>
      </c>
      <c r="B14" s="369"/>
      <c r="C14" s="254"/>
      <c r="D14" s="371"/>
      <c r="E14" s="259"/>
      <c r="F14" s="751"/>
    </row>
    <row r="15" spans="1:6" ht="12.75">
      <c r="A15" s="276" t="s">
        <v>27</v>
      </c>
      <c r="B15" s="38"/>
      <c r="C15" s="254"/>
      <c r="D15" s="371"/>
      <c r="E15" s="259"/>
      <c r="F15" s="751"/>
    </row>
    <row r="16" spans="1:6" ht="12.75" customHeight="1" thickBot="1">
      <c r="A16" s="333" t="s">
        <v>28</v>
      </c>
      <c r="B16" s="370"/>
      <c r="C16" s="335"/>
      <c r="D16" s="334" t="s">
        <v>49</v>
      </c>
      <c r="E16" s="303"/>
      <c r="F16" s="751"/>
    </row>
    <row r="17" spans="1:6" ht="15.75" customHeight="1" thickBot="1">
      <c r="A17" s="279" t="s">
        <v>29</v>
      </c>
      <c r="B17" s="93" t="s">
        <v>386</v>
      </c>
      <c r="C17" s="256">
        <f>+C6+C8+C9+C11+C12+C13+C14+C15+C16</f>
        <v>0</v>
      </c>
      <c r="D17" s="93" t="s">
        <v>387</v>
      </c>
      <c r="E17" s="261">
        <f>+E6+E8+E10+E11+E12+E13+E14+E15+E16</f>
        <v>0</v>
      </c>
      <c r="F17" s="751"/>
    </row>
    <row r="18" spans="1:6" ht="12.75" customHeight="1">
      <c r="A18" s="274" t="s">
        <v>30</v>
      </c>
      <c r="B18" s="289" t="s">
        <v>239</v>
      </c>
      <c r="C18" s="296">
        <f>SUM(C19:C23)</f>
        <v>0</v>
      </c>
      <c r="D18" s="282" t="s">
        <v>184</v>
      </c>
      <c r="E18" s="52"/>
      <c r="F18" s="751"/>
    </row>
    <row r="19" spans="1:6" ht="12.75" customHeight="1">
      <c r="A19" s="276" t="s">
        <v>31</v>
      </c>
      <c r="B19" s="290" t="s">
        <v>228</v>
      </c>
      <c r="C19" s="54"/>
      <c r="D19" s="282" t="s">
        <v>187</v>
      </c>
      <c r="E19" s="55"/>
      <c r="F19" s="751"/>
    </row>
    <row r="20" spans="1:6" ht="12.75" customHeight="1">
      <c r="A20" s="274" t="s">
        <v>32</v>
      </c>
      <c r="B20" s="290" t="s">
        <v>229</v>
      </c>
      <c r="C20" s="54"/>
      <c r="D20" s="282" t="s">
        <v>149</v>
      </c>
      <c r="E20" s="55"/>
      <c r="F20" s="751"/>
    </row>
    <row r="21" spans="1:6" ht="12.75" customHeight="1">
      <c r="A21" s="276" t="s">
        <v>33</v>
      </c>
      <c r="B21" s="290" t="s">
        <v>230</v>
      </c>
      <c r="C21" s="54"/>
      <c r="D21" s="282" t="s">
        <v>150</v>
      </c>
      <c r="E21" s="55"/>
      <c r="F21" s="751"/>
    </row>
    <row r="22" spans="1:6" ht="12.75" customHeight="1">
      <c r="A22" s="274" t="s">
        <v>34</v>
      </c>
      <c r="B22" s="290" t="s">
        <v>231</v>
      </c>
      <c r="C22" s="54"/>
      <c r="D22" s="281" t="s">
        <v>227</v>
      </c>
      <c r="E22" s="55"/>
      <c r="F22" s="751"/>
    </row>
    <row r="23" spans="1:6" ht="12.75" customHeight="1">
      <c r="A23" s="276" t="s">
        <v>35</v>
      </c>
      <c r="B23" s="291" t="s">
        <v>232</v>
      </c>
      <c r="C23" s="54"/>
      <c r="D23" s="282" t="s">
        <v>188</v>
      </c>
      <c r="E23" s="55"/>
      <c r="F23" s="751"/>
    </row>
    <row r="24" spans="1:6" ht="12.75" customHeight="1">
      <c r="A24" s="274" t="s">
        <v>36</v>
      </c>
      <c r="B24" s="292" t="s">
        <v>233</v>
      </c>
      <c r="C24" s="284">
        <f>+C25+C26+C27+C28+C29</f>
        <v>0</v>
      </c>
      <c r="D24" s="293" t="s">
        <v>186</v>
      </c>
      <c r="E24" s="55"/>
      <c r="F24" s="751"/>
    </row>
    <row r="25" spans="1:6" ht="12.75" customHeight="1">
      <c r="A25" s="276" t="s">
        <v>37</v>
      </c>
      <c r="B25" s="291" t="s">
        <v>234</v>
      </c>
      <c r="C25" s="54"/>
      <c r="D25" s="293" t="s">
        <v>380</v>
      </c>
      <c r="E25" s="55"/>
      <c r="F25" s="751"/>
    </row>
    <row r="26" spans="1:6" ht="12.75" customHeight="1">
      <c r="A26" s="274" t="s">
        <v>38</v>
      </c>
      <c r="B26" s="291" t="s">
        <v>235</v>
      </c>
      <c r="C26" s="54"/>
      <c r="D26" s="288"/>
      <c r="E26" s="55"/>
      <c r="F26" s="751"/>
    </row>
    <row r="27" spans="1:6" ht="12.75" customHeight="1">
      <c r="A27" s="276" t="s">
        <v>39</v>
      </c>
      <c r="B27" s="290" t="s">
        <v>236</v>
      </c>
      <c r="C27" s="54"/>
      <c r="D27" s="89"/>
      <c r="E27" s="55"/>
      <c r="F27" s="751"/>
    </row>
    <row r="28" spans="1:6" ht="12.75" customHeight="1">
      <c r="A28" s="274" t="s">
        <v>40</v>
      </c>
      <c r="B28" s="294" t="s">
        <v>237</v>
      </c>
      <c r="C28" s="54"/>
      <c r="D28" s="38"/>
      <c r="E28" s="55"/>
      <c r="F28" s="751"/>
    </row>
    <row r="29" spans="1:6" ht="12.75" customHeight="1" thickBot="1">
      <c r="A29" s="276" t="s">
        <v>41</v>
      </c>
      <c r="B29" s="295" t="s">
        <v>238</v>
      </c>
      <c r="C29" s="54"/>
      <c r="D29" s="89"/>
      <c r="E29" s="55"/>
      <c r="F29" s="751"/>
    </row>
    <row r="30" spans="1:6" ht="21.75" customHeight="1" thickBot="1">
      <c r="A30" s="279" t="s">
        <v>42</v>
      </c>
      <c r="B30" s="93" t="s">
        <v>377</v>
      </c>
      <c r="C30" s="256">
        <f>+C18+C24</f>
        <v>0</v>
      </c>
      <c r="D30" s="93" t="s">
        <v>381</v>
      </c>
      <c r="E30" s="261">
        <f>SUM(E18:E29)</f>
        <v>0</v>
      </c>
      <c r="F30" s="751"/>
    </row>
    <row r="31" spans="1:6" ht="13.5" thickBot="1">
      <c r="A31" s="279" t="s">
        <v>43</v>
      </c>
      <c r="B31" s="285" t="s">
        <v>382</v>
      </c>
      <c r="C31" s="286">
        <f>+C17+C30</f>
        <v>0</v>
      </c>
      <c r="D31" s="285" t="s">
        <v>383</v>
      </c>
      <c r="E31" s="286">
        <f>+E17+E30</f>
        <v>0</v>
      </c>
      <c r="F31" s="751"/>
    </row>
    <row r="32" spans="1:6" ht="13.5" thickBot="1">
      <c r="A32" s="279" t="s">
        <v>44</v>
      </c>
      <c r="B32" s="285" t="s">
        <v>162</v>
      </c>
      <c r="C32" s="286" t="str">
        <f>IF(C17-E17&lt;0,E17-C17,"-")</f>
        <v>-</v>
      </c>
      <c r="D32" s="285" t="s">
        <v>163</v>
      </c>
      <c r="E32" s="286" t="str">
        <f>IF(C17-E17&gt;0,C17-E17,"-")</f>
        <v>-</v>
      </c>
      <c r="F32" s="751"/>
    </row>
    <row r="33" spans="1:6" ht="13.5" thickBot="1">
      <c r="A33" s="279" t="s">
        <v>45</v>
      </c>
      <c r="B33" s="285" t="s">
        <v>553</v>
      </c>
      <c r="C33" s="286" t="str">
        <f>IF(C31-E31&lt;0,E31-C31,"-")</f>
        <v>-</v>
      </c>
      <c r="D33" s="285" t="s">
        <v>554</v>
      </c>
      <c r="E33" s="286" t="str">
        <f>IF(C31-E31&gt;0,C31-E31,"-")</f>
        <v>-</v>
      </c>
      <c r="F33" s="75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2020-05-06T11:55:37Z</cp:lastPrinted>
  <dcterms:created xsi:type="dcterms:W3CDTF">1999-10-30T10:30:45Z</dcterms:created>
  <dcterms:modified xsi:type="dcterms:W3CDTF">2020-05-06T11:55:47Z</dcterms:modified>
  <cp:category/>
  <cp:version/>
  <cp:contentType/>
  <cp:contentStatus/>
</cp:coreProperties>
</file>