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8400" activeTab="2"/>
  </bookViews>
  <sheets>
    <sheet name="1.a sz.melléklet" sheetId="1" r:id="rId1"/>
    <sheet name="1. b. Mérlegtábla" sheetId="14" r:id="rId2"/>
    <sheet name="2.sz.melléklet Önálló int.össz." sheetId="13" r:id="rId3"/>
    <sheet name="2.a.1.óvodák" sheetId="19" r:id="rId4"/>
    <sheet name="2.a.2.egyéb" sheetId="18" r:id="rId5"/>
    <sheet name="2.a.2.1.ovik beépülő" sheetId="17" r:id="rId6"/>
    <sheet name="2.a.2.2.egyéb beépülő" sheetId="16" r:id="rId7"/>
    <sheet name="2.b.felhaszn.eng.kötött" sheetId="15" r:id="rId8"/>
    <sheet name="3.sz.mell.Felújítás" sheetId="12" r:id="rId9"/>
    <sheet name="4.mell Beruházás" sheetId="11" r:id="rId10"/>
    <sheet name="5.a mell. Átadott peszk." sheetId="10" r:id="rId11"/>
    <sheet name="5.b mell. Átvett peszk." sheetId="9" r:id="rId12"/>
    <sheet name="6.sz.mell.Tartalék" sheetId="8" r:id="rId13"/>
    <sheet name="7. sz. mell. ei felhasz. terv" sheetId="7" r:id="rId14"/>
    <sheet name="8.sz.mell.Többéves" sheetId="6" r:id="rId15"/>
    <sheet name="9. sz. mell. Adósságk." sheetId="5" r:id="rId16"/>
    <sheet name="10 sz. mell EU-s " sheetId="4" r:id="rId17"/>
    <sheet name="11. sz. Kötelező-önként-áll.ig." sheetId="2" r:id="rId18"/>
    <sheet name="12 sz. melll" sheetId="3" r:id="rId19"/>
  </sheets>
  <externalReferences>
    <externalReference r:id="rId20"/>
    <externalReference r:id="rId21"/>
    <externalReference r:id="rId22"/>
  </externalReferences>
  <definedNames>
    <definedName name="kotvall_modja">[1]Munka2!$B$3:$B$5</definedName>
    <definedName name="_xlnm.Print_Titles" localSheetId="0">'1.a sz.melléklet'!$5:$7</definedName>
    <definedName name="_xlnm.Print_Titles" localSheetId="3">'2.a.1.óvodák'!$A:$B,'2.a.1.óvodák'!$1:$8</definedName>
    <definedName name="_xlnm.Print_Titles" localSheetId="5">'2.a.2.1.ovik beépülő'!$A:$B,'2.a.2.1.ovik beépülő'!$1:$6</definedName>
    <definedName name="_xlnm.Print_Titles" localSheetId="6">'2.a.2.2.egyéb beépülő'!$A:$B,'2.a.2.2.egyéb beépülő'!$1:$6</definedName>
    <definedName name="_xlnm.Print_Titles" localSheetId="4">'2.a.2.egyéb'!$A:$B,'2.a.2.egyéb'!$1:$6</definedName>
    <definedName name="_xlnm.Print_Titles" localSheetId="2">'2.sz.melléklet Önálló int.össz.'!$A:$B,'2.sz.melléklet Önálló int.össz.'!$7:$9</definedName>
    <definedName name="_xlnm.Print_Titles" localSheetId="9">'4.mell Beruházás'!$6:$7</definedName>
    <definedName name="_xlnm.Print_Titles" localSheetId="12">'6.sz.mell.Tartalék'!$6:$7</definedName>
    <definedName name="_xlnm.Print_Area" localSheetId="1">'1. b. Mérlegtábla'!$A$1:$K$41</definedName>
    <definedName name="_xlnm.Print_Area" localSheetId="0">'1.a sz.melléklet'!$A$1:$H$164</definedName>
    <definedName name="_xlnm.Print_Area" localSheetId="16">'10 sz. mell EU-s '!$A$1:$K$50</definedName>
    <definedName name="_xlnm.Print_Area" localSheetId="17">'11. sz. Kötelező-önként-áll.ig.'!$A$1:$M$80</definedName>
    <definedName name="_xlnm.Print_Area" localSheetId="3">'2.a.1.óvodák'!$A$2:$BJ$87</definedName>
    <definedName name="_xlnm.Print_Area" localSheetId="5">'2.a.2.1.ovik beépülő'!$A$4:$BJ$82</definedName>
    <definedName name="_xlnm.Print_Area" localSheetId="6">'2.a.2.2.egyéb beépülő'!$A$1:$U$82</definedName>
    <definedName name="_xlnm.Print_Area" localSheetId="4">'2.a.2.egyéb'!$A$1:$Y$83</definedName>
    <definedName name="_xlnm.Print_Area" localSheetId="7">'2.b.felhaszn.eng.kötött'!$A$1:$G$27</definedName>
    <definedName name="_xlnm.Print_Area" localSheetId="2">'2.sz.melléklet Önálló int.össz.'!$A$1:$V$90</definedName>
    <definedName name="_xlnm.Print_Area" localSheetId="8">'3.sz.mell.Felújítás'!$A$1:$F$19</definedName>
    <definedName name="_xlnm.Print_Area" localSheetId="9">'4.mell Beruházás'!$A$1:$F$62</definedName>
    <definedName name="_xlnm.Print_Area" localSheetId="10">'5.a mell. Átadott peszk.'!$A$1:$F$67</definedName>
    <definedName name="_xlnm.Print_Area" localSheetId="11">'5.b mell. Átvett peszk.'!$A$1:$F$35</definedName>
    <definedName name="_xlnm.Print_Area" localSheetId="12">'6.sz.mell.Tartalék'!$A$1:$G$96</definedName>
    <definedName name="_xlnm.Print_Area" localSheetId="13">'7. sz. mell. ei felhasz. terv'!$A$1:$O$30</definedName>
    <definedName name="_xlnm.Print_Area" localSheetId="14">'8.sz.mell.Többéves'!$A$1:$H$13</definedName>
    <definedName name="_xlnm.Print_Area" localSheetId="15">'9. sz. mell. Adósságk.'!$B$1:$F$29</definedName>
    <definedName name="szervezeti_egyseg">[1]Munka2!$G$2:$G$26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4" l="1"/>
  <c r="E35" i="14"/>
  <c r="BH10" i="19" l="1"/>
  <c r="BI10" i="19"/>
  <c r="BH11" i="19"/>
  <c r="BI11" i="19"/>
  <c r="BH12" i="19"/>
  <c r="BI12" i="19"/>
  <c r="BH13" i="19"/>
  <c r="BI13" i="19"/>
  <c r="BH14" i="19"/>
  <c r="BI14" i="19"/>
  <c r="BH15" i="19"/>
  <c r="BI15" i="19"/>
  <c r="BH16" i="19"/>
  <c r="BI16" i="19"/>
  <c r="BH17" i="19"/>
  <c r="BI17" i="19"/>
  <c r="BH18" i="19"/>
  <c r="BI18" i="19"/>
  <c r="BH19" i="19"/>
  <c r="BI19" i="19"/>
  <c r="BH20" i="19"/>
  <c r="BI20" i="19"/>
  <c r="BH21" i="19"/>
  <c r="BI21" i="19"/>
  <c r="C22" i="19"/>
  <c r="D22" i="19"/>
  <c r="E22" i="19"/>
  <c r="G22" i="19"/>
  <c r="H22" i="19"/>
  <c r="I22" i="19"/>
  <c r="K22" i="19"/>
  <c r="L22" i="19"/>
  <c r="M22" i="19"/>
  <c r="O22" i="19"/>
  <c r="P22" i="19"/>
  <c r="Q22" i="19"/>
  <c r="BI22" i="19" s="1"/>
  <c r="S22" i="19"/>
  <c r="T22" i="19"/>
  <c r="U22" i="19"/>
  <c r="W22" i="19"/>
  <c r="X22" i="19"/>
  <c r="Y22" i="19"/>
  <c r="AA22" i="19"/>
  <c r="AB22" i="19"/>
  <c r="AC22" i="19"/>
  <c r="AE22" i="19"/>
  <c r="AF22" i="19"/>
  <c r="AG22" i="19"/>
  <c r="AI22" i="19"/>
  <c r="AJ22" i="19"/>
  <c r="AK22" i="19"/>
  <c r="AM22" i="19"/>
  <c r="AN22" i="19"/>
  <c r="AO22" i="19"/>
  <c r="AQ22" i="19"/>
  <c r="AR22" i="19"/>
  <c r="AS22" i="19"/>
  <c r="AU22" i="19"/>
  <c r="AV22" i="19"/>
  <c r="AW22" i="19"/>
  <c r="AY22" i="19"/>
  <c r="AZ22" i="19"/>
  <c r="BA22" i="19"/>
  <c r="BC22" i="19"/>
  <c r="BD22" i="19"/>
  <c r="BE22" i="19"/>
  <c r="BH23" i="19"/>
  <c r="BI23" i="19"/>
  <c r="BH24" i="19"/>
  <c r="BI24" i="19"/>
  <c r="BH25" i="19"/>
  <c r="BI25" i="19"/>
  <c r="BH26" i="19"/>
  <c r="BI26" i="19"/>
  <c r="BH27" i="19"/>
  <c r="BI27" i="19"/>
  <c r="BH28" i="19"/>
  <c r="BI28" i="19"/>
  <c r="BH29" i="19"/>
  <c r="BI29" i="19"/>
  <c r="W30" i="19"/>
  <c r="X30" i="19"/>
  <c r="Y30" i="19"/>
  <c r="BI30" i="19"/>
  <c r="BH31" i="19"/>
  <c r="BI31" i="19"/>
  <c r="BH32" i="19"/>
  <c r="BI32" i="19"/>
  <c r="BH33" i="19"/>
  <c r="BI33" i="19"/>
  <c r="BH34" i="19"/>
  <c r="BI34" i="19"/>
  <c r="BH35" i="19"/>
  <c r="BI35" i="19"/>
  <c r="BH36" i="19"/>
  <c r="BI36" i="19"/>
  <c r="BH37" i="19"/>
  <c r="BI37" i="19"/>
  <c r="F39" i="19"/>
  <c r="J39" i="19"/>
  <c r="N39" i="19"/>
  <c r="R39" i="19"/>
  <c r="V39" i="19"/>
  <c r="Z39" i="19"/>
  <c r="AD39" i="19"/>
  <c r="AH39" i="19"/>
  <c r="AL39" i="19"/>
  <c r="AP39" i="19"/>
  <c r="AT39" i="19"/>
  <c r="AX39" i="19"/>
  <c r="BB39" i="19"/>
  <c r="BF39" i="19"/>
  <c r="BJ39" i="19"/>
  <c r="F41" i="19"/>
  <c r="J41" i="19"/>
  <c r="N41" i="19"/>
  <c r="R41" i="19"/>
  <c r="V41" i="19"/>
  <c r="Z41" i="19"/>
  <c r="AD41" i="19"/>
  <c r="AH41" i="19"/>
  <c r="AL41" i="19"/>
  <c r="AP41" i="19"/>
  <c r="AT41" i="19"/>
  <c r="AX41" i="19"/>
  <c r="BB41" i="19"/>
  <c r="BF41" i="19"/>
  <c r="BH41" i="19"/>
  <c r="BI41" i="19"/>
  <c r="BJ41" i="19" s="1"/>
  <c r="C44" i="19"/>
  <c r="D44" i="19"/>
  <c r="E44" i="19"/>
  <c r="F44" i="19" s="1"/>
  <c r="G44" i="19"/>
  <c r="H44" i="19"/>
  <c r="I44" i="19"/>
  <c r="J44" i="19" s="1"/>
  <c r="K44" i="19"/>
  <c r="L44" i="19"/>
  <c r="M44" i="19"/>
  <c r="O44" i="19"/>
  <c r="P44" i="19"/>
  <c r="Q44" i="19"/>
  <c r="R44" i="19" s="1"/>
  <c r="S44" i="19"/>
  <c r="T44" i="19"/>
  <c r="U44" i="19"/>
  <c r="V44" i="19" s="1"/>
  <c r="W44" i="19"/>
  <c r="X44" i="19"/>
  <c r="Y44" i="19"/>
  <c r="Z44" i="19" s="1"/>
  <c r="AA44" i="19"/>
  <c r="AB44" i="19"/>
  <c r="AC44" i="19"/>
  <c r="AE44" i="19"/>
  <c r="AF44" i="19"/>
  <c r="AG44" i="19"/>
  <c r="AH44" i="19" s="1"/>
  <c r="AI44" i="19"/>
  <c r="AJ44" i="19"/>
  <c r="AK44" i="19"/>
  <c r="AL44" i="19" s="1"/>
  <c r="AM44" i="19"/>
  <c r="AN44" i="19"/>
  <c r="AO44" i="19"/>
  <c r="AP44" i="19" s="1"/>
  <c r="AQ44" i="19"/>
  <c r="AR44" i="19"/>
  <c r="AS44" i="19"/>
  <c r="AU44" i="19"/>
  <c r="AV44" i="19"/>
  <c r="AW44" i="19"/>
  <c r="AX44" i="19" s="1"/>
  <c r="AY44" i="19"/>
  <c r="AZ44" i="19"/>
  <c r="BA44" i="19"/>
  <c r="BB44" i="19" s="1"/>
  <c r="BC44" i="19"/>
  <c r="BD44" i="19"/>
  <c r="BE44" i="19"/>
  <c r="BF44" i="19" s="1"/>
  <c r="BG44" i="19"/>
  <c r="BH44" i="19"/>
  <c r="BI44" i="19"/>
  <c r="BJ44" i="19" s="1"/>
  <c r="F45" i="19"/>
  <c r="J45" i="19"/>
  <c r="N45" i="19"/>
  <c r="R45" i="19"/>
  <c r="V45" i="19"/>
  <c r="Z45" i="19"/>
  <c r="AD45" i="19"/>
  <c r="AH45" i="19"/>
  <c r="AL45" i="19"/>
  <c r="AP45" i="19"/>
  <c r="AT45" i="19"/>
  <c r="AX45" i="19"/>
  <c r="BB45" i="19"/>
  <c r="BF45" i="19"/>
  <c r="BJ45" i="19"/>
  <c r="F46" i="19"/>
  <c r="J46" i="19"/>
  <c r="N46" i="19"/>
  <c r="R46" i="19"/>
  <c r="V46" i="19"/>
  <c r="Z46" i="19"/>
  <c r="AD46" i="19"/>
  <c r="AH46" i="19"/>
  <c r="AL46" i="19"/>
  <c r="AP46" i="19"/>
  <c r="AT46" i="19"/>
  <c r="AX46" i="19"/>
  <c r="BB46" i="19"/>
  <c r="BF46" i="19"/>
  <c r="BG46" i="19"/>
  <c r="BH46" i="19"/>
  <c r="BJ46" i="19" s="1"/>
  <c r="BI46" i="19"/>
  <c r="F47" i="19"/>
  <c r="J47" i="19"/>
  <c r="N47" i="19"/>
  <c r="R47" i="19"/>
  <c r="V47" i="19"/>
  <c r="Z47" i="19"/>
  <c r="AD47" i="19"/>
  <c r="AH47" i="19"/>
  <c r="AL47" i="19"/>
  <c r="AP47" i="19"/>
  <c r="AT47" i="19"/>
  <c r="AX47" i="19"/>
  <c r="BB47" i="19"/>
  <c r="BF47" i="19"/>
  <c r="BJ47" i="19"/>
  <c r="C48" i="19"/>
  <c r="D48" i="19"/>
  <c r="E48" i="19"/>
  <c r="F48" i="19" s="1"/>
  <c r="G48" i="19"/>
  <c r="H48" i="19"/>
  <c r="I48" i="19"/>
  <c r="J48" i="19" s="1"/>
  <c r="K48" i="19"/>
  <c r="L48" i="19"/>
  <c r="M48" i="19"/>
  <c r="N48" i="19" s="1"/>
  <c r="O48" i="19"/>
  <c r="P48" i="19"/>
  <c r="Q48" i="19"/>
  <c r="R48" i="19" s="1"/>
  <c r="S48" i="19"/>
  <c r="T48" i="19"/>
  <c r="U48" i="19"/>
  <c r="V48" i="19" s="1"/>
  <c r="W48" i="19"/>
  <c r="X48" i="19"/>
  <c r="Y48" i="19"/>
  <c r="Z48" i="19" s="1"/>
  <c r="AA48" i="19"/>
  <c r="AB48" i="19"/>
  <c r="AC48" i="19"/>
  <c r="AD48" i="19" s="1"/>
  <c r="AE48" i="19"/>
  <c r="AF48" i="19"/>
  <c r="AG48" i="19"/>
  <c r="AH48" i="19" s="1"/>
  <c r="AI48" i="19"/>
  <c r="AJ48" i="19"/>
  <c r="AK48" i="19"/>
  <c r="AL48" i="19" s="1"/>
  <c r="AM48" i="19"/>
  <c r="AN48" i="19"/>
  <c r="AO48" i="19"/>
  <c r="AP48" i="19" s="1"/>
  <c r="AQ48" i="19"/>
  <c r="AR48" i="19"/>
  <c r="AS48" i="19"/>
  <c r="AT48" i="19" s="1"/>
  <c r="AU48" i="19"/>
  <c r="AV48" i="19"/>
  <c r="AW48" i="19"/>
  <c r="AX48" i="19" s="1"/>
  <c r="AY48" i="19"/>
  <c r="AZ48" i="19"/>
  <c r="BA48" i="19"/>
  <c r="BB48" i="19" s="1"/>
  <c r="BC48" i="19"/>
  <c r="BD48" i="19"/>
  <c r="BE48" i="19"/>
  <c r="BF48" i="19" s="1"/>
  <c r="BG48" i="19"/>
  <c r="BH48" i="19"/>
  <c r="BI48" i="19"/>
  <c r="BJ48" i="19" s="1"/>
  <c r="F49" i="19"/>
  <c r="J49" i="19"/>
  <c r="N49" i="19"/>
  <c r="R49" i="19"/>
  <c r="V49" i="19"/>
  <c r="Z49" i="19"/>
  <c r="AD49" i="19"/>
  <c r="AH49" i="19"/>
  <c r="AL49" i="19"/>
  <c r="AP49" i="19"/>
  <c r="AT49" i="19"/>
  <c r="AX49" i="19"/>
  <c r="BB49" i="19"/>
  <c r="BF49" i="19"/>
  <c r="BJ49" i="19"/>
  <c r="F50" i="19"/>
  <c r="J50" i="19"/>
  <c r="N50" i="19"/>
  <c r="R50" i="19"/>
  <c r="V50" i="19"/>
  <c r="Z50" i="19"/>
  <c r="AD50" i="19"/>
  <c r="AH50" i="19"/>
  <c r="AL50" i="19"/>
  <c r="AP50" i="19"/>
  <c r="AT50" i="19"/>
  <c r="AX50" i="19"/>
  <c r="BB50" i="19"/>
  <c r="BF50" i="19"/>
  <c r="BG50" i="19"/>
  <c r="BH50" i="19"/>
  <c r="BJ50" i="19" s="1"/>
  <c r="BI50" i="19"/>
  <c r="F51" i="19"/>
  <c r="J51" i="19"/>
  <c r="N51" i="19"/>
  <c r="R51" i="19"/>
  <c r="V51" i="19"/>
  <c r="Z51" i="19"/>
  <c r="AD51" i="19"/>
  <c r="AH51" i="19"/>
  <c r="AL51" i="19"/>
  <c r="AP51" i="19"/>
  <c r="AT51" i="19"/>
  <c r="AX51" i="19"/>
  <c r="BB51" i="19"/>
  <c r="BF51" i="19"/>
  <c r="BJ51" i="19"/>
  <c r="C52" i="19"/>
  <c r="D52" i="19"/>
  <c r="E52" i="19"/>
  <c r="F52" i="19" s="1"/>
  <c r="G52" i="19"/>
  <c r="H52" i="19"/>
  <c r="BH52" i="19" s="1"/>
  <c r="I52" i="19"/>
  <c r="K52" i="19"/>
  <c r="L52" i="19"/>
  <c r="M52" i="19"/>
  <c r="N52" i="19" s="1"/>
  <c r="O52" i="19"/>
  <c r="P52" i="19"/>
  <c r="Q52" i="19"/>
  <c r="R52" i="19" s="1"/>
  <c r="S52" i="19"/>
  <c r="T52" i="19"/>
  <c r="U52" i="19"/>
  <c r="V52" i="19" s="1"/>
  <c r="W52" i="19"/>
  <c r="X52" i="19"/>
  <c r="X84" i="19" s="1"/>
  <c r="Y52" i="19"/>
  <c r="AA52" i="19"/>
  <c r="AB52" i="19"/>
  <c r="AC52" i="19"/>
  <c r="AD52" i="19" s="1"/>
  <c r="AE52" i="19"/>
  <c r="AF52" i="19"/>
  <c r="AG52" i="19"/>
  <c r="AH52" i="19" s="1"/>
  <c r="AI52" i="19"/>
  <c r="AI84" i="19" s="1"/>
  <c r="AI40" i="19" s="1"/>
  <c r="AI38" i="19" s="1"/>
  <c r="AI42" i="19" s="1"/>
  <c r="AJ52" i="19"/>
  <c r="AK52" i="19"/>
  <c r="AL52" i="19" s="1"/>
  <c r="AM52" i="19"/>
  <c r="AN52" i="19"/>
  <c r="AP52" i="19" s="1"/>
  <c r="AO52" i="19"/>
  <c r="AQ52" i="19"/>
  <c r="AR52" i="19"/>
  <c r="AT52" i="19" s="1"/>
  <c r="AS52" i="19"/>
  <c r="AU52" i="19"/>
  <c r="AV52" i="19"/>
  <c r="AX52" i="19" s="1"/>
  <c r="AW52" i="19"/>
  <c r="AY52" i="19"/>
  <c r="AZ52" i="19"/>
  <c r="BB52" i="19" s="1"/>
  <c r="BA52" i="19"/>
  <c r="BC52" i="19"/>
  <c r="BD52" i="19"/>
  <c r="BF52" i="19" s="1"/>
  <c r="BE52" i="19"/>
  <c r="F53" i="19"/>
  <c r="J53" i="19"/>
  <c r="N53" i="19"/>
  <c r="R53" i="19"/>
  <c r="V53" i="19"/>
  <c r="Z53" i="19"/>
  <c r="AD53" i="19"/>
  <c r="AH53" i="19"/>
  <c r="AL53" i="19"/>
  <c r="AP53" i="19"/>
  <c r="AT53" i="19"/>
  <c r="AX53" i="19"/>
  <c r="BB53" i="19"/>
  <c r="BF53" i="19"/>
  <c r="BJ53" i="19"/>
  <c r="F54" i="19"/>
  <c r="J54" i="19"/>
  <c r="N54" i="19"/>
  <c r="R54" i="19"/>
  <c r="V54" i="19"/>
  <c r="Z54" i="19"/>
  <c r="AD54" i="19"/>
  <c r="AH54" i="19"/>
  <c r="AL54" i="19"/>
  <c r="AP54" i="19"/>
  <c r="AT54" i="19"/>
  <c r="AX54" i="19"/>
  <c r="BB54" i="19"/>
  <c r="BF54" i="19"/>
  <c r="BG54" i="19"/>
  <c r="BH54" i="19"/>
  <c r="BI54" i="19"/>
  <c r="BJ54" i="19"/>
  <c r="F55" i="19"/>
  <c r="J55" i="19"/>
  <c r="N55" i="19"/>
  <c r="R55" i="19"/>
  <c r="V55" i="19"/>
  <c r="Z55" i="19"/>
  <c r="AD55" i="19"/>
  <c r="AH55" i="19"/>
  <c r="AL55" i="19"/>
  <c r="AP55" i="19"/>
  <c r="AT55" i="19"/>
  <c r="AX55" i="19"/>
  <c r="BB55" i="19"/>
  <c r="BF55" i="19"/>
  <c r="BJ55" i="19"/>
  <c r="C60" i="19"/>
  <c r="D60" i="19"/>
  <c r="E60" i="19"/>
  <c r="G60" i="19"/>
  <c r="H60" i="19"/>
  <c r="I60" i="19"/>
  <c r="I84" i="19" s="1"/>
  <c r="K60" i="19"/>
  <c r="L60" i="19"/>
  <c r="M60" i="19"/>
  <c r="S60" i="19"/>
  <c r="T60" i="19"/>
  <c r="U60" i="19"/>
  <c r="AA60" i="19"/>
  <c r="AB60" i="19"/>
  <c r="AC60" i="19"/>
  <c r="AE60" i="19"/>
  <c r="AF60" i="19"/>
  <c r="AG60" i="19"/>
  <c r="AI60" i="19"/>
  <c r="AJ60" i="19"/>
  <c r="AK60" i="19"/>
  <c r="AM60" i="19"/>
  <c r="AM84" i="19" s="1"/>
  <c r="AM40" i="19" s="1"/>
  <c r="AM38" i="19" s="1"/>
  <c r="AN60" i="19"/>
  <c r="AO60" i="19"/>
  <c r="AO84" i="19" s="1"/>
  <c r="AQ60" i="19"/>
  <c r="AR60" i="19"/>
  <c r="AR84" i="19" s="1"/>
  <c r="AR40" i="19" s="1"/>
  <c r="AR38" i="19" s="1"/>
  <c r="AS60" i="19"/>
  <c r="AU60" i="19"/>
  <c r="AV60" i="19"/>
  <c r="AW60" i="19"/>
  <c r="AY60" i="19"/>
  <c r="AZ60" i="19"/>
  <c r="BA60" i="19"/>
  <c r="BC60" i="19"/>
  <c r="BC84" i="19" s="1"/>
  <c r="BC40" i="19" s="1"/>
  <c r="BC38" i="19" s="1"/>
  <c r="BD60" i="19"/>
  <c r="BE60" i="19"/>
  <c r="BE84" i="19" s="1"/>
  <c r="BH62" i="19"/>
  <c r="BI62" i="19"/>
  <c r="K68" i="19"/>
  <c r="L68" i="19"/>
  <c r="BH68" i="19" s="1"/>
  <c r="M68" i="19"/>
  <c r="BI68" i="19"/>
  <c r="BH70" i="19"/>
  <c r="BI70" i="19"/>
  <c r="F81" i="19"/>
  <c r="J81" i="19"/>
  <c r="N81" i="19"/>
  <c r="R81" i="19"/>
  <c r="V81" i="19"/>
  <c r="Z81" i="19"/>
  <c r="AD81" i="19"/>
  <c r="AH81" i="19"/>
  <c r="AL81" i="19"/>
  <c r="AP81" i="19"/>
  <c r="AT81" i="19"/>
  <c r="AX81" i="19"/>
  <c r="BB81" i="19"/>
  <c r="BF81" i="19"/>
  <c r="BJ81" i="19"/>
  <c r="F82" i="19"/>
  <c r="J82" i="19"/>
  <c r="N82" i="19"/>
  <c r="R82" i="19"/>
  <c r="V82" i="19"/>
  <c r="Z82" i="19"/>
  <c r="AD82" i="19"/>
  <c r="AH82" i="19"/>
  <c r="AL82" i="19"/>
  <c r="AP82" i="19"/>
  <c r="AT82" i="19"/>
  <c r="AX82" i="19"/>
  <c r="BB82" i="19"/>
  <c r="BF82" i="19"/>
  <c r="BJ82" i="19"/>
  <c r="F83" i="19"/>
  <c r="J83" i="19"/>
  <c r="N83" i="19"/>
  <c r="R83" i="19"/>
  <c r="V83" i="19"/>
  <c r="Z83" i="19"/>
  <c r="AD83" i="19"/>
  <c r="AH83" i="19"/>
  <c r="AL83" i="19"/>
  <c r="AP83" i="19"/>
  <c r="AT83" i="19"/>
  <c r="AX83" i="19"/>
  <c r="BB83" i="19"/>
  <c r="BF83" i="19"/>
  <c r="BJ83" i="19"/>
  <c r="D84" i="19"/>
  <c r="D40" i="19" s="1"/>
  <c r="G84" i="19"/>
  <c r="K84" i="19"/>
  <c r="K40" i="19" s="1"/>
  <c r="K38" i="19" s="1"/>
  <c r="K42" i="19" s="1"/>
  <c r="L84" i="19"/>
  <c r="L40" i="19" s="1"/>
  <c r="L38" i="19" s="1"/>
  <c r="O84" i="19"/>
  <c r="O40" i="19" s="1"/>
  <c r="O38" i="19" s="1"/>
  <c r="O42" i="19" s="1"/>
  <c r="P84" i="19"/>
  <c r="P40" i="19" s="1"/>
  <c r="P38" i="19" s="1"/>
  <c r="P42" i="19" s="1"/>
  <c r="T84" i="19"/>
  <c r="T40" i="19" s="1"/>
  <c r="T38" i="19" s="1"/>
  <c r="T42" i="19" s="1"/>
  <c r="W84" i="19"/>
  <c r="Y84" i="19"/>
  <c r="Y40" i="19" s="1"/>
  <c r="Y38" i="19" s="1"/>
  <c r="AA84" i="19"/>
  <c r="AA40" i="19" s="1"/>
  <c r="AA38" i="19" s="1"/>
  <c r="AA42" i="19" s="1"/>
  <c r="AB84" i="19"/>
  <c r="AB40" i="19" s="1"/>
  <c r="AB38" i="19" s="1"/>
  <c r="AE84" i="19"/>
  <c r="AE40" i="19" s="1"/>
  <c r="AE38" i="19" s="1"/>
  <c r="AE42" i="19" s="1"/>
  <c r="AF84" i="19"/>
  <c r="AF40" i="19" s="1"/>
  <c r="AF38" i="19" s="1"/>
  <c r="AF42" i="19" s="1"/>
  <c r="AJ84" i="19"/>
  <c r="AJ40" i="19" s="1"/>
  <c r="AJ38" i="19" s="1"/>
  <c r="AJ42" i="19" s="1"/>
  <c r="AN84" i="19"/>
  <c r="AN40" i="19" s="1"/>
  <c r="AN38" i="19" s="1"/>
  <c r="AN42" i="19" s="1"/>
  <c r="AQ84" i="19"/>
  <c r="AQ40" i="19" s="1"/>
  <c r="AQ38" i="19" s="1"/>
  <c r="AQ42" i="19" s="1"/>
  <c r="AU84" i="19"/>
  <c r="AU40" i="19" s="1"/>
  <c r="AU38" i="19" s="1"/>
  <c r="AU42" i="19" s="1"/>
  <c r="AV84" i="19"/>
  <c r="AV40" i="19" s="1"/>
  <c r="AV38" i="19" s="1"/>
  <c r="AV42" i="19" s="1"/>
  <c r="AY84" i="19"/>
  <c r="AY40" i="19" s="1"/>
  <c r="AY38" i="19" s="1"/>
  <c r="AY42" i="19" s="1"/>
  <c r="BD84" i="19"/>
  <c r="BD40" i="19" s="1"/>
  <c r="BD38" i="19" s="1"/>
  <c r="BD42" i="19" s="1"/>
  <c r="C85" i="19"/>
  <c r="D85" i="19"/>
  <c r="F85" i="19" s="1"/>
  <c r="E85" i="19"/>
  <c r="G85" i="19"/>
  <c r="H85" i="19"/>
  <c r="J85" i="19" s="1"/>
  <c r="I85" i="19"/>
  <c r="K85" i="19"/>
  <c r="L85" i="19"/>
  <c r="N85" i="19" s="1"/>
  <c r="M85" i="19"/>
  <c r="O85" i="19"/>
  <c r="P85" i="19"/>
  <c r="R85" i="19" s="1"/>
  <c r="Q85" i="19"/>
  <c r="S85" i="19"/>
  <c r="T85" i="19"/>
  <c r="V85" i="19" s="1"/>
  <c r="U85" i="19"/>
  <c r="W85" i="19"/>
  <c r="X85" i="19"/>
  <c r="Z85" i="19" s="1"/>
  <c r="Y85" i="19"/>
  <c r="AA85" i="19"/>
  <c r="AB85" i="19"/>
  <c r="AD85" i="19" s="1"/>
  <c r="AC85" i="19"/>
  <c r="AE85" i="19"/>
  <c r="AF85" i="19"/>
  <c r="AH85" i="19" s="1"/>
  <c r="AG85" i="19"/>
  <c r="AI85" i="19"/>
  <c r="AJ85" i="19"/>
  <c r="AL85" i="19" s="1"/>
  <c r="AK85" i="19"/>
  <c r="AM85" i="19"/>
  <c r="AN85" i="19"/>
  <c r="AP85" i="19" s="1"/>
  <c r="AO85" i="19"/>
  <c r="AQ85" i="19"/>
  <c r="AR85" i="19"/>
  <c r="AT85" i="19" s="1"/>
  <c r="AS85" i="19"/>
  <c r="AU85" i="19"/>
  <c r="AV85" i="19"/>
  <c r="AX85" i="19" s="1"/>
  <c r="AW85" i="19"/>
  <c r="AY85" i="19"/>
  <c r="AZ85" i="19"/>
  <c r="BB85" i="19" s="1"/>
  <c r="BA85" i="19"/>
  <c r="BC85" i="19"/>
  <c r="BD85" i="19"/>
  <c r="BF85" i="19" s="1"/>
  <c r="BE85" i="19"/>
  <c r="BG85" i="19"/>
  <c r="BH85" i="19"/>
  <c r="BI85" i="19"/>
  <c r="F86" i="19"/>
  <c r="J86" i="19"/>
  <c r="N86" i="19"/>
  <c r="R86" i="19"/>
  <c r="V86" i="19"/>
  <c r="Z86" i="19"/>
  <c r="AD86" i="19"/>
  <c r="AH86" i="19"/>
  <c r="AL86" i="19"/>
  <c r="AP86" i="19"/>
  <c r="AT86" i="19"/>
  <c r="AX86" i="19"/>
  <c r="BB86" i="19"/>
  <c r="BF86" i="19"/>
  <c r="BG86" i="19"/>
  <c r="BH86" i="19"/>
  <c r="BI86" i="19"/>
  <c r="BJ86" i="19"/>
  <c r="F87" i="19"/>
  <c r="J87" i="19"/>
  <c r="N87" i="19"/>
  <c r="R87" i="19"/>
  <c r="V87" i="19"/>
  <c r="Z87" i="19"/>
  <c r="AD87" i="19"/>
  <c r="AH87" i="19"/>
  <c r="AL87" i="19"/>
  <c r="AP87" i="19"/>
  <c r="AT87" i="19"/>
  <c r="AX87" i="19"/>
  <c r="BB87" i="19"/>
  <c r="BF87" i="19"/>
  <c r="BG87" i="19"/>
  <c r="BH87" i="19"/>
  <c r="BJ87" i="19" s="1"/>
  <c r="BI87" i="19"/>
  <c r="C8" i="18"/>
  <c r="D8" i="18"/>
  <c r="F8" i="18"/>
  <c r="G8" i="18"/>
  <c r="H8" i="18"/>
  <c r="J8" i="18"/>
  <c r="K8" i="18"/>
  <c r="L8" i="18"/>
  <c r="N8" i="18"/>
  <c r="R8" i="18" s="1"/>
  <c r="V8" i="18" s="1"/>
  <c r="O8" i="18"/>
  <c r="P8" i="18"/>
  <c r="N9" i="18"/>
  <c r="R9" i="18" s="1"/>
  <c r="V9" i="18" s="1"/>
  <c r="O9" i="18"/>
  <c r="S9" i="18" s="1"/>
  <c r="W9" i="18" s="1"/>
  <c r="P9" i="18"/>
  <c r="T9" i="18" s="1"/>
  <c r="N10" i="18"/>
  <c r="R10" i="18" s="1"/>
  <c r="V10" i="18" s="1"/>
  <c r="O10" i="18"/>
  <c r="S10" i="18" s="1"/>
  <c r="W10" i="18" s="1"/>
  <c r="P10" i="18"/>
  <c r="T10" i="18" s="1"/>
  <c r="X10" i="18" s="1"/>
  <c r="N11" i="18"/>
  <c r="R11" i="18" s="1"/>
  <c r="V11" i="18" s="1"/>
  <c r="O11" i="18"/>
  <c r="S11" i="18" s="1"/>
  <c r="W11" i="18" s="1"/>
  <c r="P11" i="18"/>
  <c r="T11" i="18" s="1"/>
  <c r="X11" i="18" s="1"/>
  <c r="N12" i="18"/>
  <c r="R12" i="18" s="1"/>
  <c r="V12" i="18" s="1"/>
  <c r="O12" i="18"/>
  <c r="S12" i="18" s="1"/>
  <c r="W12" i="18" s="1"/>
  <c r="P12" i="18"/>
  <c r="T12" i="18" s="1"/>
  <c r="X12" i="18" s="1"/>
  <c r="N13" i="18"/>
  <c r="R13" i="18" s="1"/>
  <c r="O13" i="18"/>
  <c r="S13" i="18" s="1"/>
  <c r="W13" i="18" s="1"/>
  <c r="P13" i="18"/>
  <c r="T13" i="18" s="1"/>
  <c r="V13" i="18"/>
  <c r="N14" i="18"/>
  <c r="O14" i="18"/>
  <c r="S14" i="18" s="1"/>
  <c r="W14" i="18" s="1"/>
  <c r="P14" i="18"/>
  <c r="T14" i="18" s="1"/>
  <c r="X14" i="18" s="1"/>
  <c r="R14" i="18"/>
  <c r="V14" i="18" s="1"/>
  <c r="N15" i="18"/>
  <c r="O15" i="18"/>
  <c r="S15" i="18" s="1"/>
  <c r="W15" i="18" s="1"/>
  <c r="P15" i="18"/>
  <c r="T15" i="18" s="1"/>
  <c r="R15" i="18"/>
  <c r="V15" i="18" s="1"/>
  <c r="N16" i="18"/>
  <c r="R16" i="18" s="1"/>
  <c r="V16" i="18" s="1"/>
  <c r="O16" i="18"/>
  <c r="S16" i="18" s="1"/>
  <c r="W16" i="18" s="1"/>
  <c r="P16" i="18"/>
  <c r="T16" i="18" s="1"/>
  <c r="X16" i="18" s="1"/>
  <c r="N17" i="18"/>
  <c r="R17" i="18" s="1"/>
  <c r="V17" i="18" s="1"/>
  <c r="O17" i="18"/>
  <c r="S17" i="18" s="1"/>
  <c r="W17" i="18" s="1"/>
  <c r="P17" i="18"/>
  <c r="T17" i="18"/>
  <c r="X17" i="18" s="1"/>
  <c r="N18" i="18"/>
  <c r="R18" i="18" s="1"/>
  <c r="V18" i="18" s="1"/>
  <c r="O18" i="18"/>
  <c r="S18" i="18" s="1"/>
  <c r="W18" i="18" s="1"/>
  <c r="P18" i="18"/>
  <c r="T18" i="18"/>
  <c r="X18" i="18" s="1"/>
  <c r="N19" i="18"/>
  <c r="R19" i="18" s="1"/>
  <c r="V19" i="18" s="1"/>
  <c r="O19" i="18"/>
  <c r="S19" i="18" s="1"/>
  <c r="W19" i="18" s="1"/>
  <c r="P19" i="18"/>
  <c r="T19" i="18" s="1"/>
  <c r="N20" i="18"/>
  <c r="R20" i="18" s="1"/>
  <c r="V20" i="18" s="1"/>
  <c r="O20" i="18"/>
  <c r="S20" i="18" s="1"/>
  <c r="P20" i="18"/>
  <c r="N21" i="18"/>
  <c r="R21" i="18" s="1"/>
  <c r="V21" i="18" s="1"/>
  <c r="O21" i="18"/>
  <c r="S21" i="18" s="1"/>
  <c r="W21" i="18" s="1"/>
  <c r="P21" i="18"/>
  <c r="N22" i="18"/>
  <c r="R22" i="18" s="1"/>
  <c r="V22" i="18" s="1"/>
  <c r="O22" i="18"/>
  <c r="S22" i="18" s="1"/>
  <c r="W22" i="18" s="1"/>
  <c r="P22" i="18"/>
  <c r="N23" i="18"/>
  <c r="R23" i="18" s="1"/>
  <c r="V23" i="18" s="1"/>
  <c r="O23" i="18"/>
  <c r="S23" i="18" s="1"/>
  <c r="W23" i="18" s="1"/>
  <c r="P23" i="18"/>
  <c r="T23" i="18" s="1"/>
  <c r="X23" i="18" s="1"/>
  <c r="N24" i="18"/>
  <c r="R24" i="18" s="1"/>
  <c r="V24" i="18" s="1"/>
  <c r="O24" i="18"/>
  <c r="S24" i="18" s="1"/>
  <c r="W24" i="18" s="1"/>
  <c r="P24" i="18"/>
  <c r="T24" i="18" s="1"/>
  <c r="X24" i="18" s="1"/>
  <c r="N25" i="18"/>
  <c r="R25" i="18" s="1"/>
  <c r="V25" i="18" s="1"/>
  <c r="O25" i="18"/>
  <c r="S25" i="18" s="1"/>
  <c r="W25" i="18" s="1"/>
  <c r="P25" i="18"/>
  <c r="T25" i="18" s="1"/>
  <c r="X25" i="18" s="1"/>
  <c r="N26" i="18"/>
  <c r="R26" i="18" s="1"/>
  <c r="V26" i="18" s="1"/>
  <c r="O26" i="18"/>
  <c r="S26" i="18" s="1"/>
  <c r="W26" i="18" s="1"/>
  <c r="P26" i="18"/>
  <c r="T26" i="18"/>
  <c r="X26" i="18" s="1"/>
  <c r="N27" i="18"/>
  <c r="R27" i="18" s="1"/>
  <c r="V27" i="18" s="1"/>
  <c r="O27" i="18"/>
  <c r="S27" i="18" s="1"/>
  <c r="W27" i="18" s="1"/>
  <c r="P27" i="18"/>
  <c r="T27" i="18" s="1"/>
  <c r="X27" i="18"/>
  <c r="C28" i="18"/>
  <c r="D28" i="18"/>
  <c r="F28" i="18"/>
  <c r="G28" i="18"/>
  <c r="H28" i="18"/>
  <c r="J28" i="18"/>
  <c r="K28" i="18"/>
  <c r="L28" i="18"/>
  <c r="N28" i="18"/>
  <c r="O28" i="18"/>
  <c r="P28" i="18"/>
  <c r="N29" i="18"/>
  <c r="R29" i="18" s="1"/>
  <c r="V29" i="18" s="1"/>
  <c r="O29" i="18"/>
  <c r="S29" i="18" s="1"/>
  <c r="W29" i="18" s="1"/>
  <c r="P29" i="18"/>
  <c r="T29" i="18" s="1"/>
  <c r="X29" i="18" s="1"/>
  <c r="N30" i="18"/>
  <c r="R30" i="18" s="1"/>
  <c r="V30" i="18" s="1"/>
  <c r="O30" i="18"/>
  <c r="S30" i="18" s="1"/>
  <c r="W30" i="18" s="1"/>
  <c r="P30" i="18"/>
  <c r="T30" i="18" s="1"/>
  <c r="X30" i="18" s="1"/>
  <c r="N31" i="18"/>
  <c r="R31" i="18" s="1"/>
  <c r="V31" i="18" s="1"/>
  <c r="O31" i="18"/>
  <c r="S31" i="18" s="1"/>
  <c r="W31" i="18" s="1"/>
  <c r="P31" i="18"/>
  <c r="T31" i="18" s="1"/>
  <c r="X31" i="18" s="1"/>
  <c r="N32" i="18"/>
  <c r="R32" i="18" s="1"/>
  <c r="V32" i="18" s="1"/>
  <c r="O32" i="18"/>
  <c r="S32" i="18" s="1"/>
  <c r="W32" i="18" s="1"/>
  <c r="P32" i="18"/>
  <c r="T32" i="18" s="1"/>
  <c r="X32" i="18" s="1"/>
  <c r="N33" i="18"/>
  <c r="R33" i="18" s="1"/>
  <c r="V33" i="18" s="1"/>
  <c r="O33" i="18"/>
  <c r="S33" i="18" s="1"/>
  <c r="W33" i="18" s="1"/>
  <c r="P33" i="18"/>
  <c r="T33" i="18" s="1"/>
  <c r="N34" i="18"/>
  <c r="R34" i="18" s="1"/>
  <c r="V34" i="18" s="1"/>
  <c r="O34" i="18"/>
  <c r="S34" i="18" s="1"/>
  <c r="W34" i="18" s="1"/>
  <c r="P34" i="18"/>
  <c r="T34" i="18" s="1"/>
  <c r="X34" i="18" s="1"/>
  <c r="N35" i="18"/>
  <c r="R35" i="18" s="1"/>
  <c r="V35" i="18" s="1"/>
  <c r="O35" i="18"/>
  <c r="S35" i="18" s="1"/>
  <c r="W35" i="18" s="1"/>
  <c r="P35" i="18"/>
  <c r="T35" i="18" s="1"/>
  <c r="X35" i="18" s="1"/>
  <c r="N36" i="18"/>
  <c r="O36" i="18"/>
  <c r="Q36" i="18" s="1"/>
  <c r="P36" i="18"/>
  <c r="I37" i="18"/>
  <c r="M37" i="18"/>
  <c r="N37" i="18"/>
  <c r="R37" i="18" s="1"/>
  <c r="V37" i="18" s="1"/>
  <c r="O37" i="18"/>
  <c r="S37" i="18" s="1"/>
  <c r="W37" i="18" s="1"/>
  <c r="P37" i="18"/>
  <c r="F38" i="18"/>
  <c r="F36" i="18" s="1"/>
  <c r="N38" i="18"/>
  <c r="O38" i="18"/>
  <c r="P38" i="18"/>
  <c r="I39" i="18"/>
  <c r="M39" i="18"/>
  <c r="N39" i="18"/>
  <c r="R39" i="18" s="1"/>
  <c r="V39" i="18" s="1"/>
  <c r="O39" i="18"/>
  <c r="S39" i="18" s="1"/>
  <c r="W39" i="18" s="1"/>
  <c r="P39" i="18"/>
  <c r="T39" i="18" s="1"/>
  <c r="N40" i="18"/>
  <c r="O40" i="18"/>
  <c r="P40" i="18"/>
  <c r="N41" i="18"/>
  <c r="O41" i="18"/>
  <c r="P41" i="18"/>
  <c r="C42" i="18"/>
  <c r="D42" i="18"/>
  <c r="F42" i="18"/>
  <c r="G42" i="18"/>
  <c r="H42" i="18"/>
  <c r="I42" i="18" s="1"/>
  <c r="J42" i="18"/>
  <c r="K42" i="18"/>
  <c r="L42" i="18"/>
  <c r="M42" i="18" s="1"/>
  <c r="N42" i="18"/>
  <c r="O42" i="18"/>
  <c r="P42" i="18"/>
  <c r="I43" i="18"/>
  <c r="M43" i="18"/>
  <c r="N43" i="18"/>
  <c r="R43" i="18" s="1"/>
  <c r="V43" i="18" s="1"/>
  <c r="O43" i="18"/>
  <c r="P43" i="18"/>
  <c r="T43" i="18" s="1"/>
  <c r="X43" i="18" s="1"/>
  <c r="I44" i="18"/>
  <c r="M44" i="18"/>
  <c r="N44" i="18"/>
  <c r="R44" i="18" s="1"/>
  <c r="V44" i="18" s="1"/>
  <c r="O44" i="18"/>
  <c r="S44" i="18" s="1"/>
  <c r="U44" i="18" s="1"/>
  <c r="P44" i="18"/>
  <c r="T44" i="18" s="1"/>
  <c r="X44" i="18" s="1"/>
  <c r="I45" i="18"/>
  <c r="M45" i="18"/>
  <c r="N45" i="18"/>
  <c r="R45" i="18" s="1"/>
  <c r="V45" i="18" s="1"/>
  <c r="O45" i="18"/>
  <c r="P45" i="18"/>
  <c r="T45" i="18" s="1"/>
  <c r="X45" i="18" s="1"/>
  <c r="Z45" i="18"/>
  <c r="C46" i="18"/>
  <c r="D46" i="18"/>
  <c r="F46" i="18"/>
  <c r="G46" i="18"/>
  <c r="H46" i="18"/>
  <c r="I46" i="18" s="1"/>
  <c r="J46" i="18"/>
  <c r="J82" i="18" s="1"/>
  <c r="J38" i="18" s="1"/>
  <c r="J36" i="18" s="1"/>
  <c r="J40" i="18" s="1"/>
  <c r="K46" i="18"/>
  <c r="L46" i="18"/>
  <c r="M46" i="18" s="1"/>
  <c r="N46" i="18"/>
  <c r="O46" i="18"/>
  <c r="P46" i="18"/>
  <c r="T46" i="18" s="1"/>
  <c r="I47" i="18"/>
  <c r="M47" i="18"/>
  <c r="N47" i="18"/>
  <c r="R47" i="18" s="1"/>
  <c r="V47" i="18" s="1"/>
  <c r="O47" i="18"/>
  <c r="S47" i="18" s="1"/>
  <c r="W47" i="18" s="1"/>
  <c r="P47" i="18"/>
  <c r="I48" i="18"/>
  <c r="M48" i="18"/>
  <c r="N48" i="18"/>
  <c r="R48" i="18" s="1"/>
  <c r="V48" i="18" s="1"/>
  <c r="O48" i="18"/>
  <c r="P48" i="18"/>
  <c r="T48" i="18" s="1"/>
  <c r="X48" i="18" s="1"/>
  <c r="S48" i="18"/>
  <c r="I49" i="18"/>
  <c r="M49" i="18"/>
  <c r="N49" i="18"/>
  <c r="R49" i="18" s="1"/>
  <c r="V49" i="18" s="1"/>
  <c r="O49" i="18"/>
  <c r="S49" i="18" s="1"/>
  <c r="W49" i="18" s="1"/>
  <c r="P49" i="18"/>
  <c r="Z49" i="18"/>
  <c r="C50" i="18"/>
  <c r="D50" i="18"/>
  <c r="F50" i="18"/>
  <c r="G50" i="18"/>
  <c r="I50" i="18" s="1"/>
  <c r="H50" i="18"/>
  <c r="J50" i="18"/>
  <c r="K50" i="18"/>
  <c r="M50" i="18" s="1"/>
  <c r="L50" i="18"/>
  <c r="N50" i="18"/>
  <c r="R50" i="18" s="1"/>
  <c r="O50" i="18"/>
  <c r="P50" i="18"/>
  <c r="I51" i="18"/>
  <c r="M51" i="18"/>
  <c r="N51" i="18"/>
  <c r="R51" i="18" s="1"/>
  <c r="V51" i="18" s="1"/>
  <c r="O51" i="18"/>
  <c r="S51" i="18" s="1"/>
  <c r="W51" i="18" s="1"/>
  <c r="P51" i="18"/>
  <c r="T51" i="18" s="1"/>
  <c r="I52" i="18"/>
  <c r="M52" i="18"/>
  <c r="N52" i="18"/>
  <c r="R52" i="18" s="1"/>
  <c r="O52" i="18"/>
  <c r="S52" i="18" s="1"/>
  <c r="W52" i="18" s="1"/>
  <c r="P52" i="18"/>
  <c r="Z52" i="18"/>
  <c r="I53" i="18"/>
  <c r="M53" i="18"/>
  <c r="N53" i="18"/>
  <c r="R53" i="18" s="1"/>
  <c r="V53" i="18" s="1"/>
  <c r="O53" i="18"/>
  <c r="S53" i="18" s="1"/>
  <c r="W53" i="18" s="1"/>
  <c r="P53" i="18"/>
  <c r="T53" i="18" s="1"/>
  <c r="X53" i="18" s="1"/>
  <c r="N54" i="18"/>
  <c r="R54" i="18" s="1"/>
  <c r="V54" i="18" s="1"/>
  <c r="O54" i="18"/>
  <c r="S54" i="18" s="1"/>
  <c r="W54" i="18" s="1"/>
  <c r="P54" i="18"/>
  <c r="T54" i="18" s="1"/>
  <c r="X54" i="18" s="1"/>
  <c r="N55" i="18"/>
  <c r="R55" i="18" s="1"/>
  <c r="V55" i="18" s="1"/>
  <c r="O55" i="18"/>
  <c r="S55" i="18" s="1"/>
  <c r="W55" i="18" s="1"/>
  <c r="P55" i="18"/>
  <c r="N56" i="18"/>
  <c r="R56" i="18" s="1"/>
  <c r="V56" i="18" s="1"/>
  <c r="O56" i="18"/>
  <c r="S56" i="18" s="1"/>
  <c r="W56" i="18" s="1"/>
  <c r="P56" i="18"/>
  <c r="N57" i="18"/>
  <c r="R57" i="18" s="1"/>
  <c r="V57" i="18" s="1"/>
  <c r="O57" i="18"/>
  <c r="P57" i="18"/>
  <c r="T57" i="18" s="1"/>
  <c r="S57" i="18"/>
  <c r="W57" i="18" s="1"/>
  <c r="C58" i="18"/>
  <c r="D58" i="18"/>
  <c r="N58" i="18"/>
  <c r="O58" i="18"/>
  <c r="S58" i="18" s="1"/>
  <c r="P58" i="18"/>
  <c r="T58" i="18" s="1"/>
  <c r="N59" i="18"/>
  <c r="R59" i="18" s="1"/>
  <c r="V59" i="18" s="1"/>
  <c r="O59" i="18"/>
  <c r="S59" i="18" s="1"/>
  <c r="W59" i="18" s="1"/>
  <c r="P59" i="18"/>
  <c r="T59" i="18" s="1"/>
  <c r="X59" i="18" s="1"/>
  <c r="N60" i="18"/>
  <c r="R60" i="18" s="1"/>
  <c r="V60" i="18" s="1"/>
  <c r="O60" i="18"/>
  <c r="S60" i="18" s="1"/>
  <c r="W60" i="18" s="1"/>
  <c r="P60" i="18"/>
  <c r="T60" i="18" s="1"/>
  <c r="X60" i="18" s="1"/>
  <c r="N61" i="18"/>
  <c r="O61" i="18"/>
  <c r="S61" i="18" s="1"/>
  <c r="W61" i="18" s="1"/>
  <c r="P61" i="18"/>
  <c r="T61" i="18" s="1"/>
  <c r="X61" i="18" s="1"/>
  <c r="R61" i="18"/>
  <c r="V61" i="18" s="1"/>
  <c r="N62" i="18"/>
  <c r="R62" i="18" s="1"/>
  <c r="V62" i="18" s="1"/>
  <c r="O62" i="18"/>
  <c r="S62" i="18" s="1"/>
  <c r="W62" i="18" s="1"/>
  <c r="P62" i="18"/>
  <c r="T62" i="18" s="1"/>
  <c r="X62" i="18" s="1"/>
  <c r="N63" i="18"/>
  <c r="R63" i="18" s="1"/>
  <c r="V63" i="18" s="1"/>
  <c r="O63" i="18"/>
  <c r="S63" i="18" s="1"/>
  <c r="W63" i="18" s="1"/>
  <c r="P63" i="18"/>
  <c r="Q63" i="18" s="1"/>
  <c r="N64" i="18"/>
  <c r="O64" i="18"/>
  <c r="P64" i="18"/>
  <c r="Q64" i="18"/>
  <c r="R64" i="18"/>
  <c r="V64" i="18" s="1"/>
  <c r="S64" i="18"/>
  <c r="W64" i="18" s="1"/>
  <c r="T64" i="18"/>
  <c r="U64" i="18"/>
  <c r="X64" i="18"/>
  <c r="N65" i="18"/>
  <c r="R65" i="18" s="1"/>
  <c r="V65" i="18" s="1"/>
  <c r="O65" i="18"/>
  <c r="S65" i="18" s="1"/>
  <c r="W65" i="18" s="1"/>
  <c r="P65" i="18"/>
  <c r="T65" i="18"/>
  <c r="N66" i="18"/>
  <c r="O66" i="18"/>
  <c r="Q66" i="18" s="1"/>
  <c r="P66" i="18"/>
  <c r="R66" i="18"/>
  <c r="V66" i="18" s="1"/>
  <c r="S66" i="18"/>
  <c r="U66" i="18" s="1"/>
  <c r="T66" i="18"/>
  <c r="N67" i="18"/>
  <c r="O67" i="18"/>
  <c r="Q67" i="18" s="1"/>
  <c r="P67" i="18"/>
  <c r="R67" i="18"/>
  <c r="S67" i="18"/>
  <c r="U67" i="18" s="1"/>
  <c r="T67" i="18"/>
  <c r="V67" i="18"/>
  <c r="W67" i="18"/>
  <c r="X67" i="18"/>
  <c r="N68" i="18"/>
  <c r="O68" i="18"/>
  <c r="Q68" i="18" s="1"/>
  <c r="P68" i="18"/>
  <c r="R68" i="18"/>
  <c r="S68" i="18"/>
  <c r="U68" i="18" s="1"/>
  <c r="T68" i="18"/>
  <c r="X68" i="18" s="1"/>
  <c r="V68" i="18"/>
  <c r="N69" i="18"/>
  <c r="R69" i="18" s="1"/>
  <c r="V69" i="18" s="1"/>
  <c r="O69" i="18"/>
  <c r="S69" i="18" s="1"/>
  <c r="W69" i="18" s="1"/>
  <c r="P69" i="18"/>
  <c r="Q69" i="18" s="1"/>
  <c r="N70" i="18"/>
  <c r="O70" i="18"/>
  <c r="S70" i="18" s="1"/>
  <c r="W70" i="18" s="1"/>
  <c r="P70" i="18"/>
  <c r="R70" i="18"/>
  <c r="V70" i="18" s="1"/>
  <c r="N71" i="18"/>
  <c r="R71" i="18" s="1"/>
  <c r="V71" i="18" s="1"/>
  <c r="O71" i="18"/>
  <c r="S71" i="18" s="1"/>
  <c r="W71" i="18" s="1"/>
  <c r="P71" i="18"/>
  <c r="T71" i="18"/>
  <c r="X71" i="18"/>
  <c r="N72" i="18"/>
  <c r="R72" i="18" s="1"/>
  <c r="V72" i="18" s="1"/>
  <c r="O72" i="18"/>
  <c r="S72" i="18" s="1"/>
  <c r="W72" i="18" s="1"/>
  <c r="P72" i="18"/>
  <c r="N73" i="18"/>
  <c r="R73" i="18" s="1"/>
  <c r="V73" i="18" s="1"/>
  <c r="O73" i="18"/>
  <c r="S73" i="18" s="1"/>
  <c r="W73" i="18" s="1"/>
  <c r="P73" i="18"/>
  <c r="T73" i="18"/>
  <c r="N74" i="18"/>
  <c r="R74" i="18" s="1"/>
  <c r="V74" i="18" s="1"/>
  <c r="O74" i="18"/>
  <c r="S74" i="18" s="1"/>
  <c r="W74" i="18" s="1"/>
  <c r="P74" i="18"/>
  <c r="T74" i="18" s="1"/>
  <c r="X74" i="18" s="1"/>
  <c r="N75" i="18"/>
  <c r="R75" i="18" s="1"/>
  <c r="V75" i="18" s="1"/>
  <c r="O75" i="18"/>
  <c r="S75" i="18" s="1"/>
  <c r="W75" i="18" s="1"/>
  <c r="P75" i="18"/>
  <c r="T75" i="18" s="1"/>
  <c r="X75" i="18" s="1"/>
  <c r="N76" i="18"/>
  <c r="R76" i="18" s="1"/>
  <c r="V76" i="18" s="1"/>
  <c r="O76" i="18"/>
  <c r="S76" i="18" s="1"/>
  <c r="P76" i="18"/>
  <c r="T76" i="18" s="1"/>
  <c r="X76" i="18" s="1"/>
  <c r="W76" i="18"/>
  <c r="N77" i="18"/>
  <c r="R77" i="18" s="1"/>
  <c r="V77" i="18" s="1"/>
  <c r="O77" i="18"/>
  <c r="S77" i="18" s="1"/>
  <c r="W77" i="18" s="1"/>
  <c r="P77" i="18"/>
  <c r="T77" i="18"/>
  <c r="X77" i="18" s="1"/>
  <c r="N78" i="18"/>
  <c r="R78" i="18" s="1"/>
  <c r="V78" i="18" s="1"/>
  <c r="O78" i="18"/>
  <c r="P78" i="18"/>
  <c r="T78" i="18" s="1"/>
  <c r="X78" i="18" s="1"/>
  <c r="S78" i="18"/>
  <c r="W78" i="18" s="1"/>
  <c r="I79" i="18"/>
  <c r="M79" i="18"/>
  <c r="N79" i="18"/>
  <c r="R79" i="18" s="1"/>
  <c r="V79" i="18" s="1"/>
  <c r="O79" i="18"/>
  <c r="P79" i="18"/>
  <c r="T79" i="18" s="1"/>
  <c r="X79" i="18" s="1"/>
  <c r="I80" i="18"/>
  <c r="M80" i="18"/>
  <c r="N80" i="18"/>
  <c r="R80" i="18" s="1"/>
  <c r="V80" i="18" s="1"/>
  <c r="O80" i="18"/>
  <c r="P80" i="18"/>
  <c r="Q80" i="18" s="1"/>
  <c r="S80" i="18"/>
  <c r="W80" i="18" s="1"/>
  <c r="I81" i="18"/>
  <c r="M81" i="18"/>
  <c r="N81" i="18"/>
  <c r="R81" i="18" s="1"/>
  <c r="V81" i="18" s="1"/>
  <c r="O81" i="18"/>
  <c r="P81" i="18"/>
  <c r="T81" i="18" s="1"/>
  <c r="X81" i="18" s="1"/>
  <c r="C82" i="18"/>
  <c r="C38" i="18" s="1"/>
  <c r="D82" i="18"/>
  <c r="D38" i="18" s="1"/>
  <c r="F82" i="18"/>
  <c r="H82" i="18"/>
  <c r="H38" i="18" s="1"/>
  <c r="L82" i="18"/>
  <c r="L38" i="18" s="1"/>
  <c r="N82" i="18"/>
  <c r="O82" i="18"/>
  <c r="P82" i="18"/>
  <c r="Q82" i="18" s="1"/>
  <c r="I83" i="18"/>
  <c r="M83" i="18"/>
  <c r="Q83" i="18"/>
  <c r="R83" i="18"/>
  <c r="V83" i="18" s="1"/>
  <c r="S83" i="18"/>
  <c r="T83" i="18"/>
  <c r="U83" i="18"/>
  <c r="X83" i="18"/>
  <c r="BG8" i="17"/>
  <c r="BH8" i="17"/>
  <c r="BI8" i="17"/>
  <c r="BG9" i="17"/>
  <c r="BH9" i="17"/>
  <c r="BI9" i="17"/>
  <c r="BG10" i="17"/>
  <c r="BH10" i="17"/>
  <c r="BI10" i="17"/>
  <c r="BG11" i="17"/>
  <c r="BH11" i="17"/>
  <c r="BI11" i="17"/>
  <c r="BG12" i="17"/>
  <c r="BH12" i="17"/>
  <c r="BI12" i="17"/>
  <c r="BG13" i="17"/>
  <c r="BH13" i="17"/>
  <c r="BI13" i="17"/>
  <c r="BG14" i="17"/>
  <c r="BH14" i="17"/>
  <c r="BI14" i="17"/>
  <c r="BG15" i="17"/>
  <c r="BH15" i="17"/>
  <c r="BI15" i="17"/>
  <c r="BG16" i="17"/>
  <c r="BH16" i="17"/>
  <c r="BI16" i="17"/>
  <c r="BG17" i="17"/>
  <c r="BH17" i="17"/>
  <c r="BI17" i="17"/>
  <c r="BG18" i="17"/>
  <c r="BH18" i="17"/>
  <c r="BI18" i="17"/>
  <c r="BG19" i="17"/>
  <c r="BH19" i="17"/>
  <c r="BI19" i="17"/>
  <c r="C20" i="17"/>
  <c r="D20" i="17"/>
  <c r="E20" i="17"/>
  <c r="BI20" i="17" s="1"/>
  <c r="G20" i="17"/>
  <c r="H20" i="17"/>
  <c r="I20" i="17"/>
  <c r="K20" i="17"/>
  <c r="L20" i="17"/>
  <c r="M20" i="17"/>
  <c r="O20" i="17"/>
  <c r="P20" i="17"/>
  <c r="Q20" i="17"/>
  <c r="S20" i="17"/>
  <c r="T20" i="17"/>
  <c r="U20" i="17"/>
  <c r="V20" i="17"/>
  <c r="W20" i="17"/>
  <c r="X20" i="17"/>
  <c r="Y20" i="17"/>
  <c r="AA20" i="17"/>
  <c r="AB20" i="17"/>
  <c r="AC20" i="17"/>
  <c r="AD20" i="17"/>
  <c r="AE20" i="17"/>
  <c r="AF20" i="17"/>
  <c r="AG20" i="17"/>
  <c r="AI20" i="17"/>
  <c r="AJ20" i="17"/>
  <c r="AL20" i="17" s="1"/>
  <c r="AK20" i="17"/>
  <c r="AM20" i="17"/>
  <c r="AN20" i="17"/>
  <c r="AP20" i="17" s="1"/>
  <c r="AO20" i="17"/>
  <c r="AQ20" i="17"/>
  <c r="AR20" i="17"/>
  <c r="AT20" i="17" s="1"/>
  <c r="AS20" i="17"/>
  <c r="AU20" i="17"/>
  <c r="AV20" i="17"/>
  <c r="AX20" i="17" s="1"/>
  <c r="AW20" i="17"/>
  <c r="AY20" i="17"/>
  <c r="AZ20" i="17"/>
  <c r="AZ40" i="17" s="1"/>
  <c r="BA20" i="17"/>
  <c r="BC20" i="17"/>
  <c r="BD20" i="17"/>
  <c r="BE20" i="17"/>
  <c r="V21" i="17"/>
  <c r="AD21" i="17"/>
  <c r="AL21" i="17"/>
  <c r="AP21" i="17"/>
  <c r="AT21" i="17"/>
  <c r="AX21" i="17"/>
  <c r="BG21" i="17"/>
  <c r="BH21" i="17"/>
  <c r="BJ21" i="17" s="1"/>
  <c r="BI21" i="17"/>
  <c r="R22" i="17"/>
  <c r="V22" i="17"/>
  <c r="AD22" i="17"/>
  <c r="AL22" i="17"/>
  <c r="AP22" i="17"/>
  <c r="AT22" i="17"/>
  <c r="AX22" i="17"/>
  <c r="BB22" i="17"/>
  <c r="BF22" i="17"/>
  <c r="BG22" i="17"/>
  <c r="BH22" i="17"/>
  <c r="BI22" i="17"/>
  <c r="BJ22" i="17"/>
  <c r="V23" i="17"/>
  <c r="AD23" i="17"/>
  <c r="AL23" i="17"/>
  <c r="AP23" i="17"/>
  <c r="AT23" i="17"/>
  <c r="AX23" i="17"/>
  <c r="BG23" i="17"/>
  <c r="BH23" i="17"/>
  <c r="BI23" i="17"/>
  <c r="BG24" i="17"/>
  <c r="BH24" i="17"/>
  <c r="BI24" i="17"/>
  <c r="BG25" i="17"/>
  <c r="BH25" i="17"/>
  <c r="BI25" i="17"/>
  <c r="BG26" i="17"/>
  <c r="BH26" i="17"/>
  <c r="BI26" i="17"/>
  <c r="BG27" i="17"/>
  <c r="BH27" i="17"/>
  <c r="BI27" i="17"/>
  <c r="G28" i="17"/>
  <c r="BG28" i="17" s="1"/>
  <c r="H28" i="17"/>
  <c r="BH28" i="17" s="1"/>
  <c r="I28" i="17"/>
  <c r="BI28" i="17" s="1"/>
  <c r="BG29" i="17"/>
  <c r="BH29" i="17"/>
  <c r="BI29" i="17"/>
  <c r="BG30" i="17"/>
  <c r="BH30" i="17"/>
  <c r="BI30" i="17"/>
  <c r="BG31" i="17"/>
  <c r="BH31" i="17"/>
  <c r="BI31" i="17"/>
  <c r="BG32" i="17"/>
  <c r="BH32" i="17"/>
  <c r="BI32" i="17"/>
  <c r="V33" i="17"/>
  <c r="AD33" i="17"/>
  <c r="AL33" i="17"/>
  <c r="AP33" i="17"/>
  <c r="AT33" i="17"/>
  <c r="AX33" i="17"/>
  <c r="BG33" i="17"/>
  <c r="BH33" i="17"/>
  <c r="BI33" i="17"/>
  <c r="V34" i="17"/>
  <c r="AD34" i="17"/>
  <c r="AL34" i="17"/>
  <c r="AP34" i="17"/>
  <c r="AT34" i="17"/>
  <c r="AX34" i="17"/>
  <c r="BG34" i="17"/>
  <c r="BH34" i="17"/>
  <c r="BI34" i="17"/>
  <c r="BJ34" i="17"/>
  <c r="V35" i="17"/>
  <c r="AD35" i="17"/>
  <c r="AL35" i="17"/>
  <c r="AP35" i="17"/>
  <c r="AT35" i="17"/>
  <c r="AX35" i="17"/>
  <c r="BG35" i="17"/>
  <c r="BH35" i="17"/>
  <c r="BI35" i="17"/>
  <c r="H36" i="17"/>
  <c r="H40" i="17" s="1"/>
  <c r="X36" i="17"/>
  <c r="X40" i="17" s="1"/>
  <c r="AN36" i="17"/>
  <c r="AN40" i="17" s="1"/>
  <c r="BD36" i="17"/>
  <c r="BD40" i="17" s="1"/>
  <c r="F37" i="17"/>
  <c r="J37" i="17"/>
  <c r="N37" i="17"/>
  <c r="R37" i="17"/>
  <c r="V37" i="17"/>
  <c r="Z37" i="17"/>
  <c r="AD37" i="17"/>
  <c r="AH37" i="17"/>
  <c r="AL37" i="17"/>
  <c r="AP37" i="17"/>
  <c r="AT37" i="17"/>
  <c r="AX37" i="17"/>
  <c r="BB37" i="17"/>
  <c r="BF37" i="17"/>
  <c r="BG37" i="17"/>
  <c r="BH37" i="17"/>
  <c r="BI37" i="17"/>
  <c r="BJ37" i="17"/>
  <c r="G38" i="17"/>
  <c r="G36" i="17" s="1"/>
  <c r="F39" i="17"/>
  <c r="J39" i="17"/>
  <c r="N39" i="17"/>
  <c r="R39" i="17"/>
  <c r="V39" i="17"/>
  <c r="Z39" i="17"/>
  <c r="AD39" i="17"/>
  <c r="AH39" i="17"/>
  <c r="AL39" i="17"/>
  <c r="AP39" i="17"/>
  <c r="AT39" i="17"/>
  <c r="AX39" i="17"/>
  <c r="BB39" i="17"/>
  <c r="BF39" i="17"/>
  <c r="BG39" i="17"/>
  <c r="BH39" i="17"/>
  <c r="BI39" i="17"/>
  <c r="BJ39" i="17" s="1"/>
  <c r="BG42" i="17"/>
  <c r="BH42" i="17"/>
  <c r="BI42" i="17"/>
  <c r="F43" i="17"/>
  <c r="J43" i="17"/>
  <c r="V43" i="17"/>
  <c r="Z43" i="17"/>
  <c r="BG43" i="17"/>
  <c r="BH43" i="17"/>
  <c r="BI43" i="17"/>
  <c r="F44" i="17"/>
  <c r="J44" i="17"/>
  <c r="V44" i="17"/>
  <c r="Z44" i="17"/>
  <c r="BG44" i="17"/>
  <c r="BH44" i="17"/>
  <c r="BI44" i="17"/>
  <c r="F45" i="17"/>
  <c r="J45" i="17"/>
  <c r="V45" i="17"/>
  <c r="Z45" i="17"/>
  <c r="BG45" i="17"/>
  <c r="BH45" i="17"/>
  <c r="BI45" i="17"/>
  <c r="BG46" i="17"/>
  <c r="BH46" i="17"/>
  <c r="BI46" i="17"/>
  <c r="F47" i="17"/>
  <c r="J47" i="17"/>
  <c r="N47" i="17"/>
  <c r="R47" i="17"/>
  <c r="V47" i="17"/>
  <c r="Z47" i="17"/>
  <c r="AD47" i="17"/>
  <c r="AH47" i="17"/>
  <c r="AL47" i="17"/>
  <c r="AP47" i="17"/>
  <c r="AT47" i="17"/>
  <c r="AX47" i="17"/>
  <c r="BB47" i="17"/>
  <c r="BF47" i="17"/>
  <c r="BG47" i="17"/>
  <c r="BH47" i="17"/>
  <c r="BJ47" i="17" s="1"/>
  <c r="BI47" i="17"/>
  <c r="F48" i="17"/>
  <c r="J48" i="17"/>
  <c r="N48" i="17"/>
  <c r="R48" i="17"/>
  <c r="V48" i="17"/>
  <c r="Z48" i="17"/>
  <c r="AD48" i="17"/>
  <c r="AH48" i="17"/>
  <c r="AL48" i="17"/>
  <c r="AP48" i="17"/>
  <c r="AT48" i="17"/>
  <c r="AX48" i="17"/>
  <c r="BB48" i="17"/>
  <c r="BF48" i="17"/>
  <c r="BG48" i="17"/>
  <c r="BH48" i="17"/>
  <c r="BI48" i="17"/>
  <c r="BJ48" i="17"/>
  <c r="F49" i="17"/>
  <c r="J49" i="17"/>
  <c r="N49" i="17"/>
  <c r="R49" i="17"/>
  <c r="V49" i="17"/>
  <c r="Z49" i="17"/>
  <c r="AD49" i="17"/>
  <c r="AH49" i="17"/>
  <c r="AL49" i="17"/>
  <c r="AP49" i="17"/>
  <c r="AT49" i="17"/>
  <c r="AX49" i="17"/>
  <c r="BB49" i="17"/>
  <c r="BF49" i="17"/>
  <c r="BG49" i="17"/>
  <c r="BH49" i="17"/>
  <c r="BJ49" i="17" s="1"/>
  <c r="BI49" i="17"/>
  <c r="C50" i="17"/>
  <c r="D50" i="17"/>
  <c r="F50" i="17" s="1"/>
  <c r="E50" i="17"/>
  <c r="G50" i="17"/>
  <c r="H50" i="17"/>
  <c r="J50" i="17" s="1"/>
  <c r="I50" i="17"/>
  <c r="K50" i="17"/>
  <c r="L50" i="17"/>
  <c r="N50" i="17" s="1"/>
  <c r="M50" i="17"/>
  <c r="O50" i="17"/>
  <c r="P50" i="17"/>
  <c r="R50" i="17" s="1"/>
  <c r="Q50" i="17"/>
  <c r="S50" i="17"/>
  <c r="T50" i="17"/>
  <c r="V50" i="17" s="1"/>
  <c r="U50" i="17"/>
  <c r="W50" i="17"/>
  <c r="W82" i="17" s="1"/>
  <c r="X50" i="17"/>
  <c r="Z50" i="17" s="1"/>
  <c r="Y50" i="17"/>
  <c r="AA50" i="17"/>
  <c r="AB50" i="17"/>
  <c r="AD50" i="17" s="1"/>
  <c r="AC50" i="17"/>
  <c r="AE50" i="17"/>
  <c r="AF50" i="17"/>
  <c r="AH50" i="17" s="1"/>
  <c r="AG50" i="17"/>
  <c r="AI50" i="17"/>
  <c r="AJ50" i="17"/>
  <c r="AL50" i="17" s="1"/>
  <c r="AK50" i="17"/>
  <c r="AM50" i="17"/>
  <c r="AM82" i="17" s="1"/>
  <c r="AM38" i="17" s="1"/>
  <c r="AM36" i="17" s="1"/>
  <c r="AN50" i="17"/>
  <c r="AP50" i="17" s="1"/>
  <c r="AO50" i="17"/>
  <c r="AQ50" i="17"/>
  <c r="AR50" i="17"/>
  <c r="AT50" i="17" s="1"/>
  <c r="AS50" i="17"/>
  <c r="AU50" i="17"/>
  <c r="AV50" i="17"/>
  <c r="AX50" i="17" s="1"/>
  <c r="AW50" i="17"/>
  <c r="AY50" i="17"/>
  <c r="AZ50" i="17"/>
  <c r="BB50" i="17" s="1"/>
  <c r="BA50" i="17"/>
  <c r="BC50" i="17"/>
  <c r="BC82" i="17" s="1"/>
  <c r="BC38" i="17" s="1"/>
  <c r="BC36" i="17" s="1"/>
  <c r="BC40" i="17" s="1"/>
  <c r="BD50" i="17"/>
  <c r="BF50" i="17" s="1"/>
  <c r="BE50" i="17"/>
  <c r="BI50" i="17"/>
  <c r="F51" i="17"/>
  <c r="J51" i="17"/>
  <c r="N51" i="17"/>
  <c r="R51" i="17"/>
  <c r="V51" i="17"/>
  <c r="Z51" i="17"/>
  <c r="AD51" i="17"/>
  <c r="AH51" i="17"/>
  <c r="AL51" i="17"/>
  <c r="AP51" i="17"/>
  <c r="AT51" i="17"/>
  <c r="AX51" i="17"/>
  <c r="BB51" i="17"/>
  <c r="BF51" i="17"/>
  <c r="BG51" i="17"/>
  <c r="BH51" i="17"/>
  <c r="BI51" i="17"/>
  <c r="BJ51" i="17"/>
  <c r="F52" i="17"/>
  <c r="J52" i="17"/>
  <c r="N52" i="17"/>
  <c r="R52" i="17"/>
  <c r="V52" i="17"/>
  <c r="Z52" i="17"/>
  <c r="AD52" i="17"/>
  <c r="AH52" i="17"/>
  <c r="AL52" i="17"/>
  <c r="AP52" i="17"/>
  <c r="AT52" i="17"/>
  <c r="AX52" i="17"/>
  <c r="BB52" i="17"/>
  <c r="BF52" i="17"/>
  <c r="BG52" i="17"/>
  <c r="BH52" i="17"/>
  <c r="BJ52" i="17" s="1"/>
  <c r="BI52" i="17"/>
  <c r="F53" i="17"/>
  <c r="J53" i="17"/>
  <c r="N53" i="17"/>
  <c r="R53" i="17"/>
  <c r="V53" i="17"/>
  <c r="Z53" i="17"/>
  <c r="AD53" i="17"/>
  <c r="AH53" i="17"/>
  <c r="AL53" i="17"/>
  <c r="AP53" i="17"/>
  <c r="AT53" i="17"/>
  <c r="AX53" i="17"/>
  <c r="BB53" i="17"/>
  <c r="BF53" i="17"/>
  <c r="BG53" i="17"/>
  <c r="BH53" i="17"/>
  <c r="BI53" i="17"/>
  <c r="BJ53" i="17"/>
  <c r="BG54" i="17"/>
  <c r="BH54" i="17"/>
  <c r="BI54" i="17"/>
  <c r="BG55" i="17"/>
  <c r="BH55" i="17"/>
  <c r="BI55" i="17"/>
  <c r="BG56" i="17"/>
  <c r="BH56" i="17"/>
  <c r="BI56" i="17"/>
  <c r="BG57" i="17"/>
  <c r="BH57" i="17"/>
  <c r="BI57" i="17"/>
  <c r="BG58" i="17"/>
  <c r="BH58" i="17"/>
  <c r="BI58" i="17"/>
  <c r="BG59" i="17"/>
  <c r="BH59" i="17"/>
  <c r="BI59" i="17"/>
  <c r="BG60" i="17"/>
  <c r="BH60" i="17"/>
  <c r="BI60" i="17"/>
  <c r="BG61" i="17"/>
  <c r="BH61" i="17"/>
  <c r="BI61" i="17"/>
  <c r="BG62" i="17"/>
  <c r="BH62" i="17"/>
  <c r="BI62" i="17"/>
  <c r="F63" i="17"/>
  <c r="J63" i="17"/>
  <c r="N63" i="17"/>
  <c r="R63" i="17"/>
  <c r="V63" i="17"/>
  <c r="Z63" i="17"/>
  <c r="AD63" i="17"/>
  <c r="AH63" i="17"/>
  <c r="AL63" i="17"/>
  <c r="AP63" i="17"/>
  <c r="AT63" i="17"/>
  <c r="AX63" i="17"/>
  <c r="BB63" i="17"/>
  <c r="BF63" i="17"/>
  <c r="BG63" i="17"/>
  <c r="BH63" i="17"/>
  <c r="BI63" i="17"/>
  <c r="BJ63" i="17" s="1"/>
  <c r="F64" i="17"/>
  <c r="J64" i="17"/>
  <c r="N64" i="17"/>
  <c r="R64" i="17"/>
  <c r="V64" i="17"/>
  <c r="Z64" i="17"/>
  <c r="AD64" i="17"/>
  <c r="AH64" i="17"/>
  <c r="AL64" i="17"/>
  <c r="AP64" i="17"/>
  <c r="AT64" i="17"/>
  <c r="AX64" i="17"/>
  <c r="BB64" i="17"/>
  <c r="BF64" i="17"/>
  <c r="BG64" i="17"/>
  <c r="BH64" i="17"/>
  <c r="BI64" i="17"/>
  <c r="BJ64" i="17"/>
  <c r="F65" i="17"/>
  <c r="J65" i="17"/>
  <c r="N65" i="17"/>
  <c r="R65" i="17"/>
  <c r="V65" i="17"/>
  <c r="Z65" i="17"/>
  <c r="AD65" i="17"/>
  <c r="AH65" i="17"/>
  <c r="AL65" i="17"/>
  <c r="AP65" i="17"/>
  <c r="AT65" i="17"/>
  <c r="AX65" i="17"/>
  <c r="BB65" i="17"/>
  <c r="BF65" i="17"/>
  <c r="BG65" i="17"/>
  <c r="BH65" i="17"/>
  <c r="BI65" i="17"/>
  <c r="C66" i="17"/>
  <c r="D66" i="17"/>
  <c r="D82" i="17" s="1"/>
  <c r="D38" i="17" s="1"/>
  <c r="E66" i="17"/>
  <c r="F66" i="17" s="1"/>
  <c r="G66" i="17"/>
  <c r="H66" i="17"/>
  <c r="H82" i="17" s="1"/>
  <c r="H38" i="17" s="1"/>
  <c r="I66" i="17"/>
  <c r="J66" i="17" s="1"/>
  <c r="K66" i="17"/>
  <c r="L66" i="17"/>
  <c r="M66" i="17"/>
  <c r="N66" i="17" s="1"/>
  <c r="O66" i="17"/>
  <c r="P66" i="17"/>
  <c r="P82" i="17" s="1"/>
  <c r="P38" i="17" s="1"/>
  <c r="P36" i="17" s="1"/>
  <c r="P40" i="17" s="1"/>
  <c r="Q66" i="17"/>
  <c r="S66" i="17"/>
  <c r="T66" i="17"/>
  <c r="T82" i="17" s="1"/>
  <c r="T38" i="17" s="1"/>
  <c r="T36" i="17" s="1"/>
  <c r="T40" i="17" s="1"/>
  <c r="U66" i="17"/>
  <c r="V66" i="17" s="1"/>
  <c r="W66" i="17"/>
  <c r="X66" i="17"/>
  <c r="X82" i="17" s="1"/>
  <c r="X38" i="17" s="1"/>
  <c r="Y66" i="17"/>
  <c r="Z66" i="17" s="1"/>
  <c r="AA66" i="17"/>
  <c r="AB66" i="17"/>
  <c r="AC66" i="17"/>
  <c r="AD66" i="17" s="1"/>
  <c r="AE66" i="17"/>
  <c r="AF66" i="17"/>
  <c r="AF82" i="17" s="1"/>
  <c r="AF38" i="17" s="1"/>
  <c r="AF36" i="17" s="1"/>
  <c r="AF40" i="17" s="1"/>
  <c r="AG66" i="17"/>
  <c r="AI66" i="17"/>
  <c r="AJ66" i="17"/>
  <c r="AJ82" i="17" s="1"/>
  <c r="AJ38" i="17" s="1"/>
  <c r="AJ36" i="17" s="1"/>
  <c r="AK66" i="17"/>
  <c r="AL66" i="17" s="1"/>
  <c r="AM66" i="17"/>
  <c r="AN66" i="17"/>
  <c r="AN82" i="17" s="1"/>
  <c r="AN38" i="17" s="1"/>
  <c r="AO66" i="17"/>
  <c r="AP66" i="17" s="1"/>
  <c r="AQ66" i="17"/>
  <c r="AR66" i="17"/>
  <c r="AS66" i="17"/>
  <c r="AT66" i="17" s="1"/>
  <c r="AU66" i="17"/>
  <c r="AV66" i="17"/>
  <c r="AV82" i="17" s="1"/>
  <c r="AV38" i="17" s="1"/>
  <c r="AV36" i="17" s="1"/>
  <c r="AV40" i="17" s="1"/>
  <c r="AW66" i="17"/>
  <c r="AY66" i="17"/>
  <c r="AZ66" i="17"/>
  <c r="AZ82" i="17" s="1"/>
  <c r="AZ38" i="17" s="1"/>
  <c r="AZ36" i="17" s="1"/>
  <c r="BA66" i="17"/>
  <c r="BB66" i="17" s="1"/>
  <c r="BC66" i="17"/>
  <c r="BD66" i="17"/>
  <c r="BD82" i="17" s="1"/>
  <c r="BD38" i="17" s="1"/>
  <c r="BE66" i="17"/>
  <c r="BF66" i="17" s="1"/>
  <c r="BG66" i="17"/>
  <c r="F67" i="17"/>
  <c r="J67" i="17"/>
  <c r="N67" i="17"/>
  <c r="R67" i="17"/>
  <c r="V67" i="17"/>
  <c r="Z67" i="17"/>
  <c r="AD67" i="17"/>
  <c r="AH67" i="17"/>
  <c r="AL67" i="17"/>
  <c r="AP67" i="17"/>
  <c r="AT67" i="17"/>
  <c r="AX67" i="17"/>
  <c r="BB67" i="17"/>
  <c r="BF67" i="17"/>
  <c r="BG67" i="17"/>
  <c r="BH67" i="17"/>
  <c r="BI67" i="17"/>
  <c r="BJ67" i="17"/>
  <c r="F68" i="17"/>
  <c r="J68" i="17"/>
  <c r="N68" i="17"/>
  <c r="R68" i="17"/>
  <c r="V68" i="17"/>
  <c r="Z68" i="17"/>
  <c r="AD68" i="17"/>
  <c r="AH68" i="17"/>
  <c r="AL68" i="17"/>
  <c r="AP68" i="17"/>
  <c r="AT68" i="17"/>
  <c r="AX68" i="17"/>
  <c r="BB68" i="17"/>
  <c r="BF68" i="17"/>
  <c r="BG68" i="17"/>
  <c r="BH68" i="17"/>
  <c r="BI68" i="17"/>
  <c r="F69" i="17"/>
  <c r="J69" i="17"/>
  <c r="N69" i="17"/>
  <c r="R69" i="17"/>
  <c r="V69" i="17"/>
  <c r="Z69" i="17"/>
  <c r="AD69" i="17"/>
  <c r="AH69" i="17"/>
  <c r="AL69" i="17"/>
  <c r="AP69" i="17"/>
  <c r="AT69" i="17"/>
  <c r="AX69" i="17"/>
  <c r="BB69" i="17"/>
  <c r="BF69" i="17"/>
  <c r="BG69" i="17"/>
  <c r="BH69" i="17"/>
  <c r="BI69" i="17"/>
  <c r="BJ69" i="17"/>
  <c r="AU70" i="17"/>
  <c r="BG70" i="17" s="1"/>
  <c r="AV70" i="17"/>
  <c r="AW70" i="17"/>
  <c r="BI70" i="17" s="1"/>
  <c r="BH70" i="17"/>
  <c r="BG71" i="17"/>
  <c r="BH71" i="17"/>
  <c r="BI71" i="17"/>
  <c r="BG72" i="17"/>
  <c r="BH72" i="17"/>
  <c r="BI72" i="17"/>
  <c r="BG73" i="17"/>
  <c r="BH73" i="17"/>
  <c r="BI73" i="17"/>
  <c r="BG74" i="17"/>
  <c r="BH74" i="17"/>
  <c r="BI74" i="17"/>
  <c r="BG75" i="17"/>
  <c r="BH75" i="17"/>
  <c r="BI75" i="17"/>
  <c r="BG76" i="17"/>
  <c r="BH76" i="17"/>
  <c r="BI76" i="17"/>
  <c r="BG77" i="17"/>
  <c r="BH77" i="17"/>
  <c r="BI77" i="17"/>
  <c r="BG78" i="17"/>
  <c r="BH78" i="17"/>
  <c r="BI78" i="17"/>
  <c r="F79" i="17"/>
  <c r="J79" i="17"/>
  <c r="N79" i="17"/>
  <c r="R79" i="17"/>
  <c r="V79" i="17"/>
  <c r="Z79" i="17"/>
  <c r="AD79" i="17"/>
  <c r="AH79" i="17"/>
  <c r="AL79" i="17"/>
  <c r="AP79" i="17"/>
  <c r="AT79" i="17"/>
  <c r="AX79" i="17"/>
  <c r="BB79" i="17"/>
  <c r="BF79" i="17"/>
  <c r="BG79" i="17"/>
  <c r="BH79" i="17"/>
  <c r="BI79" i="17"/>
  <c r="BJ79" i="17"/>
  <c r="F80" i="17"/>
  <c r="J80" i="17"/>
  <c r="N80" i="17"/>
  <c r="R80" i="17"/>
  <c r="V80" i="17"/>
  <c r="Z80" i="17"/>
  <c r="AD80" i="17"/>
  <c r="AH80" i="17"/>
  <c r="AL80" i="17"/>
  <c r="AP80" i="17"/>
  <c r="AT80" i="17"/>
  <c r="AX80" i="17"/>
  <c r="BB80" i="17"/>
  <c r="BF80" i="17"/>
  <c r="BG80" i="17"/>
  <c r="BH80" i="17"/>
  <c r="BI80" i="17"/>
  <c r="BJ80" i="17" s="1"/>
  <c r="F81" i="17"/>
  <c r="J81" i="17"/>
  <c r="N81" i="17"/>
  <c r="R81" i="17"/>
  <c r="V81" i="17"/>
  <c r="Z81" i="17"/>
  <c r="AD81" i="17"/>
  <c r="AH81" i="17"/>
  <c r="AL81" i="17"/>
  <c r="AP81" i="17"/>
  <c r="AT81" i="17"/>
  <c r="AX81" i="17"/>
  <c r="BB81" i="17"/>
  <c r="BF81" i="17"/>
  <c r="BG81" i="17"/>
  <c r="BH81" i="17"/>
  <c r="BI81" i="17"/>
  <c r="BJ81" i="17" s="1"/>
  <c r="C82" i="17"/>
  <c r="C38" i="17" s="1"/>
  <c r="G82" i="17"/>
  <c r="K82" i="17"/>
  <c r="K38" i="17" s="1"/>
  <c r="K36" i="17" s="1"/>
  <c r="O82" i="17"/>
  <c r="O38" i="17" s="1"/>
  <c r="O36" i="17" s="1"/>
  <c r="O40" i="17" s="1"/>
  <c r="Q82" i="17"/>
  <c r="Q38" i="17" s="1"/>
  <c r="Q36" i="17" s="1"/>
  <c r="S82" i="17"/>
  <c r="S38" i="17" s="1"/>
  <c r="S36" i="17" s="1"/>
  <c r="S40" i="17" s="1"/>
  <c r="AA82" i="17"/>
  <c r="AA38" i="17" s="1"/>
  <c r="AA36" i="17" s="1"/>
  <c r="AE82" i="17"/>
  <c r="AE38" i="17" s="1"/>
  <c r="AE36" i="17" s="1"/>
  <c r="AG82" i="17"/>
  <c r="AG38" i="17" s="1"/>
  <c r="AG36" i="17" s="1"/>
  <c r="AI82" i="17"/>
  <c r="AI38" i="17" s="1"/>
  <c r="AI36" i="17" s="1"/>
  <c r="AQ82" i="17"/>
  <c r="AQ38" i="17" s="1"/>
  <c r="AQ36" i="17" s="1"/>
  <c r="AW82" i="17"/>
  <c r="AW38" i="17" s="1"/>
  <c r="AW36" i="17" s="1"/>
  <c r="AY82" i="17"/>
  <c r="AY38" i="17" s="1"/>
  <c r="AY36" i="17" s="1"/>
  <c r="R8" i="16"/>
  <c r="S8" i="16"/>
  <c r="T8" i="16"/>
  <c r="R9" i="16"/>
  <c r="S9" i="16"/>
  <c r="T9" i="16"/>
  <c r="R10" i="16"/>
  <c r="S10" i="16"/>
  <c r="T10" i="16"/>
  <c r="R11" i="16"/>
  <c r="S11" i="16"/>
  <c r="T11" i="16"/>
  <c r="R12" i="16"/>
  <c r="S12" i="16"/>
  <c r="T12" i="16"/>
  <c r="R13" i="16"/>
  <c r="S13" i="16"/>
  <c r="T13" i="16"/>
  <c r="R14" i="16"/>
  <c r="S14" i="16"/>
  <c r="T14" i="16"/>
  <c r="R15" i="16"/>
  <c r="S15" i="16"/>
  <c r="T15" i="16"/>
  <c r="R16" i="16"/>
  <c r="S16" i="16"/>
  <c r="T16" i="16"/>
  <c r="R17" i="16"/>
  <c r="S17" i="16"/>
  <c r="T17" i="16"/>
  <c r="R18" i="16"/>
  <c r="S18" i="16"/>
  <c r="T18" i="16"/>
  <c r="R19" i="16"/>
  <c r="S19" i="16"/>
  <c r="T19" i="16"/>
  <c r="C20" i="16"/>
  <c r="D20" i="16"/>
  <c r="F20" i="16"/>
  <c r="G20" i="16"/>
  <c r="H20" i="16"/>
  <c r="I20" i="16" s="1"/>
  <c r="J20" i="16"/>
  <c r="K20" i="16"/>
  <c r="L20" i="16"/>
  <c r="N20" i="16"/>
  <c r="O20" i="16"/>
  <c r="P20" i="16"/>
  <c r="R20" i="16"/>
  <c r="S20" i="16"/>
  <c r="T20" i="16"/>
  <c r="U20" i="16" s="1"/>
  <c r="I21" i="16"/>
  <c r="M21" i="16"/>
  <c r="Q21" i="16"/>
  <c r="R21" i="16"/>
  <c r="S21" i="16"/>
  <c r="T21" i="16"/>
  <c r="U21" i="16" s="1"/>
  <c r="I22" i="16"/>
  <c r="M22" i="16"/>
  <c r="Q22" i="16"/>
  <c r="R22" i="16"/>
  <c r="S22" i="16"/>
  <c r="T22" i="16"/>
  <c r="U22" i="16"/>
  <c r="I23" i="16"/>
  <c r="M23" i="16"/>
  <c r="Q23" i="16"/>
  <c r="R23" i="16"/>
  <c r="S23" i="16"/>
  <c r="U23" i="16" s="1"/>
  <c r="T23" i="16"/>
  <c r="R24" i="16"/>
  <c r="S24" i="16"/>
  <c r="T24" i="16"/>
  <c r="R25" i="16"/>
  <c r="S25" i="16"/>
  <c r="T25" i="16"/>
  <c r="R26" i="16"/>
  <c r="S26" i="16"/>
  <c r="T26" i="16"/>
  <c r="R27" i="16"/>
  <c r="S27" i="16"/>
  <c r="T27" i="16"/>
  <c r="R28" i="16"/>
  <c r="S28" i="16"/>
  <c r="T28" i="16"/>
  <c r="R29" i="16"/>
  <c r="S29" i="16"/>
  <c r="T29" i="16"/>
  <c r="R30" i="16"/>
  <c r="S30" i="16"/>
  <c r="T30" i="16"/>
  <c r="R31" i="16"/>
  <c r="S31" i="16"/>
  <c r="T31" i="16"/>
  <c r="R32" i="16"/>
  <c r="S32" i="16"/>
  <c r="T32" i="16"/>
  <c r="I33" i="16"/>
  <c r="M33" i="16"/>
  <c r="Q33" i="16"/>
  <c r="R33" i="16"/>
  <c r="S33" i="16"/>
  <c r="T33" i="16"/>
  <c r="U33" i="16" s="1"/>
  <c r="I34" i="16"/>
  <c r="M34" i="16"/>
  <c r="Q34" i="16"/>
  <c r="R34" i="16"/>
  <c r="S34" i="16"/>
  <c r="T34" i="16"/>
  <c r="U34" i="16"/>
  <c r="I35" i="16"/>
  <c r="M35" i="16"/>
  <c r="Q35" i="16"/>
  <c r="R35" i="16"/>
  <c r="S35" i="16"/>
  <c r="T35" i="16"/>
  <c r="U35" i="16" s="1"/>
  <c r="I37" i="16"/>
  <c r="M37" i="16"/>
  <c r="Q37" i="16"/>
  <c r="R37" i="16"/>
  <c r="S37" i="16"/>
  <c r="T37" i="16"/>
  <c r="U37" i="16"/>
  <c r="K38" i="16"/>
  <c r="K36" i="16" s="1"/>
  <c r="I39" i="16"/>
  <c r="M39" i="16"/>
  <c r="Q39" i="16"/>
  <c r="R39" i="16"/>
  <c r="S39" i="16"/>
  <c r="T39" i="16"/>
  <c r="U39" i="16" s="1"/>
  <c r="R41" i="16"/>
  <c r="S41" i="16"/>
  <c r="T41" i="16"/>
  <c r="N42" i="16"/>
  <c r="O42" i="16"/>
  <c r="S42" i="16" s="1"/>
  <c r="P42" i="16"/>
  <c r="Q42" i="16" s="1"/>
  <c r="R42" i="16"/>
  <c r="T42" i="16"/>
  <c r="Q43" i="16"/>
  <c r="R43" i="16"/>
  <c r="S43" i="16"/>
  <c r="T43" i="16"/>
  <c r="U43" i="16" s="1"/>
  <c r="Q44" i="16"/>
  <c r="R44" i="16"/>
  <c r="S44" i="16"/>
  <c r="T44" i="16"/>
  <c r="U44" i="16"/>
  <c r="Q45" i="16"/>
  <c r="R45" i="16"/>
  <c r="S45" i="16"/>
  <c r="T45" i="16"/>
  <c r="U45" i="16" s="1"/>
  <c r="N46" i="16"/>
  <c r="O46" i="16"/>
  <c r="P46" i="16"/>
  <c r="Q46" i="16" s="1"/>
  <c r="R46" i="16"/>
  <c r="S46" i="16"/>
  <c r="T46" i="16"/>
  <c r="U46" i="16" s="1"/>
  <c r="I47" i="16"/>
  <c r="M47" i="16"/>
  <c r="Q47" i="16"/>
  <c r="R47" i="16"/>
  <c r="S47" i="16"/>
  <c r="T47" i="16"/>
  <c r="U47" i="16"/>
  <c r="I48" i="16"/>
  <c r="M48" i="16"/>
  <c r="Q48" i="16"/>
  <c r="R48" i="16"/>
  <c r="S48" i="16"/>
  <c r="T48" i="16"/>
  <c r="U48" i="16" s="1"/>
  <c r="I49" i="16"/>
  <c r="M49" i="16"/>
  <c r="Q49" i="16"/>
  <c r="R49" i="16"/>
  <c r="S49" i="16"/>
  <c r="T49" i="16"/>
  <c r="U49" i="16" s="1"/>
  <c r="C50" i="16"/>
  <c r="D50" i="16"/>
  <c r="D82" i="16" s="1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I51" i="16"/>
  <c r="M51" i="16"/>
  <c r="Q51" i="16"/>
  <c r="R51" i="16"/>
  <c r="S51" i="16"/>
  <c r="T51" i="16"/>
  <c r="U51" i="16" s="1"/>
  <c r="I52" i="16"/>
  <c r="M52" i="16"/>
  <c r="Q52" i="16"/>
  <c r="R52" i="16"/>
  <c r="S52" i="16"/>
  <c r="T52" i="16"/>
  <c r="U52" i="16" s="1"/>
  <c r="I53" i="16"/>
  <c r="M53" i="16"/>
  <c r="Q53" i="16"/>
  <c r="R53" i="16"/>
  <c r="S53" i="16"/>
  <c r="T53" i="16"/>
  <c r="U53" i="16" s="1"/>
  <c r="F54" i="16"/>
  <c r="G54" i="16"/>
  <c r="H54" i="16"/>
  <c r="I54" i="16" s="1"/>
  <c r="R54" i="16"/>
  <c r="S54" i="16"/>
  <c r="I55" i="16"/>
  <c r="R55" i="16"/>
  <c r="S55" i="16"/>
  <c r="T55" i="16"/>
  <c r="U55" i="16" s="1"/>
  <c r="I56" i="16"/>
  <c r="R56" i="16"/>
  <c r="S56" i="16"/>
  <c r="T56" i="16"/>
  <c r="U56" i="16" s="1"/>
  <c r="I57" i="16"/>
  <c r="R57" i="16"/>
  <c r="S57" i="16"/>
  <c r="T57" i="16"/>
  <c r="U57" i="16"/>
  <c r="C58" i="16"/>
  <c r="D58" i="16"/>
  <c r="F58" i="16"/>
  <c r="G58" i="16"/>
  <c r="S58" i="16" s="1"/>
  <c r="H58" i="16"/>
  <c r="T58" i="16" s="1"/>
  <c r="J58" i="16"/>
  <c r="K58" i="16"/>
  <c r="L58" i="16"/>
  <c r="N58" i="16"/>
  <c r="O58" i="16"/>
  <c r="P58" i="16"/>
  <c r="R58" i="16"/>
  <c r="R59" i="16"/>
  <c r="S59" i="16"/>
  <c r="T59" i="16"/>
  <c r="R60" i="16"/>
  <c r="S60" i="16"/>
  <c r="T60" i="16"/>
  <c r="R61" i="16"/>
  <c r="S61" i="16"/>
  <c r="T61" i="16"/>
  <c r="R62" i="16"/>
  <c r="S62" i="16"/>
  <c r="T62" i="16"/>
  <c r="I63" i="16"/>
  <c r="M63" i="16"/>
  <c r="Q63" i="16"/>
  <c r="R63" i="16"/>
  <c r="S63" i="16"/>
  <c r="T63" i="16"/>
  <c r="U63" i="16" s="1"/>
  <c r="I64" i="16"/>
  <c r="M64" i="16"/>
  <c r="Q64" i="16"/>
  <c r="R64" i="16"/>
  <c r="S64" i="16"/>
  <c r="T64" i="16"/>
  <c r="U64" i="16"/>
  <c r="I65" i="16"/>
  <c r="M65" i="16"/>
  <c r="Q65" i="16"/>
  <c r="R65" i="16"/>
  <c r="S65" i="16"/>
  <c r="T65" i="16"/>
  <c r="U65" i="16" s="1"/>
  <c r="C66" i="16"/>
  <c r="R66" i="16" s="1"/>
  <c r="D66" i="16"/>
  <c r="F66" i="16"/>
  <c r="G66" i="16"/>
  <c r="H66" i="16"/>
  <c r="I66" i="16" s="1"/>
  <c r="J66" i="16"/>
  <c r="K66" i="16"/>
  <c r="L66" i="16"/>
  <c r="M66" i="16" s="1"/>
  <c r="N66" i="16"/>
  <c r="I67" i="16"/>
  <c r="M67" i="16"/>
  <c r="Q67" i="16"/>
  <c r="R67" i="16"/>
  <c r="S67" i="16"/>
  <c r="T67" i="16"/>
  <c r="U67" i="16"/>
  <c r="I68" i="16"/>
  <c r="M68" i="16"/>
  <c r="O68" i="16"/>
  <c r="O66" i="16" s="1"/>
  <c r="O82" i="16" s="1"/>
  <c r="O38" i="16" s="1"/>
  <c r="O36" i="16" s="1"/>
  <c r="P68" i="16"/>
  <c r="Q68" i="16" s="1"/>
  <c r="R68" i="16"/>
  <c r="S68" i="16"/>
  <c r="I69" i="16"/>
  <c r="M69" i="16"/>
  <c r="Q69" i="16"/>
  <c r="R69" i="16"/>
  <c r="S69" i="16"/>
  <c r="T69" i="16"/>
  <c r="U69" i="16"/>
  <c r="N70" i="16"/>
  <c r="O70" i="16"/>
  <c r="P70" i="16"/>
  <c r="Q70" i="16"/>
  <c r="R70" i="16"/>
  <c r="S70" i="16"/>
  <c r="T70" i="16"/>
  <c r="U70" i="16"/>
  <c r="Q71" i="16"/>
  <c r="R71" i="16"/>
  <c r="S71" i="16"/>
  <c r="T71" i="16"/>
  <c r="U71" i="16" s="1"/>
  <c r="Q72" i="16"/>
  <c r="R72" i="16"/>
  <c r="S72" i="16"/>
  <c r="U72" i="16" s="1"/>
  <c r="T72" i="16"/>
  <c r="Q73" i="16"/>
  <c r="R73" i="16"/>
  <c r="S73" i="16"/>
  <c r="T73" i="16"/>
  <c r="U73" i="16"/>
  <c r="R74" i="16"/>
  <c r="S74" i="16"/>
  <c r="T74" i="16"/>
  <c r="R75" i="16"/>
  <c r="S75" i="16"/>
  <c r="T75" i="16"/>
  <c r="R76" i="16"/>
  <c r="S76" i="16"/>
  <c r="T76" i="16"/>
  <c r="R77" i="16"/>
  <c r="S77" i="16"/>
  <c r="T77" i="16"/>
  <c r="R78" i="16"/>
  <c r="S78" i="16"/>
  <c r="T78" i="16"/>
  <c r="I79" i="16"/>
  <c r="M79" i="16"/>
  <c r="Q79" i="16"/>
  <c r="R79" i="16"/>
  <c r="S79" i="16"/>
  <c r="T79" i="16"/>
  <c r="U79" i="16" s="1"/>
  <c r="I80" i="16"/>
  <c r="M80" i="16"/>
  <c r="Q80" i="16"/>
  <c r="R80" i="16"/>
  <c r="S80" i="16"/>
  <c r="T80" i="16"/>
  <c r="U80" i="16"/>
  <c r="I81" i="16"/>
  <c r="M81" i="16"/>
  <c r="Q81" i="16"/>
  <c r="R81" i="16"/>
  <c r="S81" i="16"/>
  <c r="T81" i="16"/>
  <c r="U81" i="16" s="1"/>
  <c r="C82" i="16"/>
  <c r="C38" i="16" s="1"/>
  <c r="F82" i="16"/>
  <c r="F38" i="16" s="1"/>
  <c r="F36" i="16" s="1"/>
  <c r="F40" i="16" s="1"/>
  <c r="H82" i="16"/>
  <c r="H38" i="16" s="1"/>
  <c r="J82" i="16"/>
  <c r="J38" i="16" s="1"/>
  <c r="J36" i="16" s="1"/>
  <c r="J40" i="16" s="1"/>
  <c r="K82" i="16"/>
  <c r="L82" i="16"/>
  <c r="L38" i="16" s="1"/>
  <c r="N82" i="16"/>
  <c r="N38" i="16" s="1"/>
  <c r="N36" i="16" s="1"/>
  <c r="N40" i="16" s="1"/>
  <c r="B22" i="15"/>
  <c r="C22" i="15"/>
  <c r="D22" i="15"/>
  <c r="D27" i="15" s="1"/>
  <c r="E22" i="15"/>
  <c r="E27" i="15" s="1"/>
  <c r="F22" i="15"/>
  <c r="G22" i="15"/>
  <c r="B26" i="15"/>
  <c r="B27" i="15" s="1"/>
  <c r="C26" i="15"/>
  <c r="C27" i="15" s="1"/>
  <c r="D26" i="15"/>
  <c r="E26" i="15"/>
  <c r="F26" i="15"/>
  <c r="F27" i="15" s="1"/>
  <c r="G26" i="15"/>
  <c r="G27" i="15" s="1"/>
  <c r="E10" i="14"/>
  <c r="K10" i="14"/>
  <c r="E11" i="14"/>
  <c r="K11" i="14"/>
  <c r="E12" i="14"/>
  <c r="K12" i="14"/>
  <c r="E13" i="14"/>
  <c r="K13" i="14"/>
  <c r="K14" i="14"/>
  <c r="B16" i="14"/>
  <c r="B18" i="14" s="1"/>
  <c r="C16" i="14"/>
  <c r="H16" i="14"/>
  <c r="I16" i="14"/>
  <c r="E22" i="14"/>
  <c r="K22" i="14"/>
  <c r="E23" i="14"/>
  <c r="K23" i="14"/>
  <c r="E24" i="14"/>
  <c r="K24" i="14"/>
  <c r="B26" i="14"/>
  <c r="B28" i="14" s="1"/>
  <c r="C26" i="14"/>
  <c r="H26" i="14"/>
  <c r="I26" i="14"/>
  <c r="K34" i="14"/>
  <c r="K38" i="14" s="1"/>
  <c r="B35" i="14"/>
  <c r="B38" i="14" s="1"/>
  <c r="B40" i="14" s="1"/>
  <c r="C38" i="14"/>
  <c r="H38" i="14"/>
  <c r="I38" i="14"/>
  <c r="I12" i="13"/>
  <c r="Q12" i="13"/>
  <c r="R12" i="13" s="1"/>
  <c r="E13" i="13"/>
  <c r="E11" i="13" s="1"/>
  <c r="I13" i="13"/>
  <c r="Q13" i="13"/>
  <c r="R13" i="13" s="1"/>
  <c r="I14" i="13"/>
  <c r="M14" i="13" s="1"/>
  <c r="Q14" i="13"/>
  <c r="R14" i="13" s="1"/>
  <c r="R16" i="13"/>
  <c r="U16" i="13"/>
  <c r="V16" i="13"/>
  <c r="E17" i="13"/>
  <c r="E15" i="13" s="1"/>
  <c r="I17" i="13"/>
  <c r="Q17" i="13"/>
  <c r="I18" i="13"/>
  <c r="M18" i="13" s="1"/>
  <c r="U18" i="13" s="1"/>
  <c r="V18" i="13" s="1"/>
  <c r="Q18" i="13"/>
  <c r="R18" i="13" s="1"/>
  <c r="I20" i="13"/>
  <c r="R20" i="13"/>
  <c r="E21" i="13"/>
  <c r="E19" i="13" s="1"/>
  <c r="I21" i="13"/>
  <c r="J21" i="13" s="1"/>
  <c r="Q21" i="13"/>
  <c r="R21" i="13" s="1"/>
  <c r="I22" i="13"/>
  <c r="M22" i="13" s="1"/>
  <c r="N22" i="13" s="1"/>
  <c r="Q22" i="13"/>
  <c r="R22" i="13" s="1"/>
  <c r="I24" i="13"/>
  <c r="R24" i="13"/>
  <c r="E25" i="13"/>
  <c r="I25" i="13"/>
  <c r="J25" i="13" s="1"/>
  <c r="Q25" i="13"/>
  <c r="I26" i="13"/>
  <c r="J26" i="13" s="1"/>
  <c r="Q26" i="13"/>
  <c r="R26" i="13" s="1"/>
  <c r="I28" i="13"/>
  <c r="J28" i="13" s="1"/>
  <c r="R28" i="13"/>
  <c r="E29" i="13"/>
  <c r="E27" i="13" s="1"/>
  <c r="I29" i="13"/>
  <c r="Q29" i="13"/>
  <c r="I30" i="13"/>
  <c r="J30" i="13" s="1"/>
  <c r="Q30" i="13"/>
  <c r="R30" i="13" s="1"/>
  <c r="I32" i="13"/>
  <c r="J32" i="13" s="1"/>
  <c r="R32" i="13"/>
  <c r="E33" i="13"/>
  <c r="E31" i="13" s="1"/>
  <c r="I33" i="13"/>
  <c r="J33" i="13" s="1"/>
  <c r="Q33" i="13"/>
  <c r="I34" i="13"/>
  <c r="Q34" i="13"/>
  <c r="R34" i="13" s="1"/>
  <c r="I36" i="13"/>
  <c r="M36" i="13" s="1"/>
  <c r="R36" i="13"/>
  <c r="E37" i="13"/>
  <c r="E35" i="13" s="1"/>
  <c r="I37" i="13"/>
  <c r="J37" i="13" s="1"/>
  <c r="R37" i="13"/>
  <c r="I38" i="13"/>
  <c r="J38" i="13" s="1"/>
  <c r="Q38" i="13"/>
  <c r="Q35" i="13" s="1"/>
  <c r="J41" i="13"/>
  <c r="N41" i="13"/>
  <c r="R41" i="13"/>
  <c r="V41" i="13"/>
  <c r="E42" i="13"/>
  <c r="F42" i="13" s="1"/>
  <c r="I42" i="13"/>
  <c r="I40" i="13" s="1"/>
  <c r="R42" i="13"/>
  <c r="V42" i="13"/>
  <c r="J43" i="13"/>
  <c r="N43" i="13"/>
  <c r="Q43" i="13"/>
  <c r="Q40" i="13" s="1"/>
  <c r="F48" i="13"/>
  <c r="I48" i="13"/>
  <c r="J48" i="13" s="1"/>
  <c r="Q48" i="13"/>
  <c r="R48" i="13" s="1"/>
  <c r="E49" i="13"/>
  <c r="E47" i="13" s="1"/>
  <c r="F47" i="13" s="1"/>
  <c r="I49" i="13"/>
  <c r="Q49" i="13"/>
  <c r="F50" i="13"/>
  <c r="I50" i="13"/>
  <c r="J50" i="13" s="1"/>
  <c r="Q50" i="13"/>
  <c r="R50" i="13" s="1"/>
  <c r="F52" i="13"/>
  <c r="I52" i="13"/>
  <c r="J52" i="13" s="1"/>
  <c r="Q52" i="13"/>
  <c r="R52" i="13" s="1"/>
  <c r="E53" i="13"/>
  <c r="E51" i="13" s="1"/>
  <c r="F51" i="13" s="1"/>
  <c r="I53" i="13"/>
  <c r="J53" i="13" s="1"/>
  <c r="Q53" i="13"/>
  <c r="R53" i="13" s="1"/>
  <c r="F54" i="13"/>
  <c r="I54" i="13"/>
  <c r="Q54" i="13"/>
  <c r="F56" i="13"/>
  <c r="I56" i="13"/>
  <c r="Q56" i="13"/>
  <c r="E57" i="13"/>
  <c r="F57" i="13" s="1"/>
  <c r="I57" i="13"/>
  <c r="J57" i="13" s="1"/>
  <c r="Q57" i="13"/>
  <c r="R57" i="13" s="1"/>
  <c r="F58" i="13"/>
  <c r="I58" i="13"/>
  <c r="M58" i="13" s="1"/>
  <c r="N58" i="13" s="1"/>
  <c r="Q58" i="13"/>
  <c r="R58" i="13" s="1"/>
  <c r="I60" i="13"/>
  <c r="Q60" i="13"/>
  <c r="R60" i="13" s="1"/>
  <c r="E61" i="13"/>
  <c r="F61" i="13" s="1"/>
  <c r="I61" i="13"/>
  <c r="J61" i="13" s="1"/>
  <c r="Q61" i="13"/>
  <c r="R61" i="13" s="1"/>
  <c r="I62" i="13"/>
  <c r="M62" i="13" s="1"/>
  <c r="N62" i="13" s="1"/>
  <c r="Q62" i="13"/>
  <c r="R62" i="13" s="1"/>
  <c r="I64" i="13"/>
  <c r="J64" i="13" s="1"/>
  <c r="Q64" i="13"/>
  <c r="R64" i="13" s="1"/>
  <c r="E65" i="13"/>
  <c r="E63" i="13" s="1"/>
  <c r="I65" i="13"/>
  <c r="Q65" i="13"/>
  <c r="R65" i="13" s="1"/>
  <c r="I66" i="13"/>
  <c r="M66" i="13" s="1"/>
  <c r="N66" i="13" s="1"/>
  <c r="Q66" i="13"/>
  <c r="R66" i="13" s="1"/>
  <c r="I68" i="13"/>
  <c r="M68" i="13" s="1"/>
  <c r="N68" i="13" s="1"/>
  <c r="Q68" i="13"/>
  <c r="R68" i="13" s="1"/>
  <c r="E69" i="13"/>
  <c r="E67" i="13" s="1"/>
  <c r="I69" i="13"/>
  <c r="J69" i="13" s="1"/>
  <c r="Q69" i="13"/>
  <c r="R69" i="13" s="1"/>
  <c r="I70" i="13"/>
  <c r="J70" i="13" s="1"/>
  <c r="Q70" i="13"/>
  <c r="R70" i="13" s="1"/>
  <c r="F72" i="13"/>
  <c r="I72" i="13"/>
  <c r="J72" i="13" s="1"/>
  <c r="Q72" i="13"/>
  <c r="R72" i="13" s="1"/>
  <c r="E73" i="13"/>
  <c r="E71" i="13" s="1"/>
  <c r="F71" i="13" s="1"/>
  <c r="I73" i="13"/>
  <c r="Q73" i="13"/>
  <c r="F74" i="13"/>
  <c r="I74" i="13"/>
  <c r="J74" i="13" s="1"/>
  <c r="Q74" i="13"/>
  <c r="R74" i="13" s="1"/>
  <c r="F76" i="13"/>
  <c r="I76" i="13"/>
  <c r="J76" i="13" s="1"/>
  <c r="Q76" i="13"/>
  <c r="R76" i="13" s="1"/>
  <c r="E77" i="13"/>
  <c r="E75" i="13" s="1"/>
  <c r="F75" i="13" s="1"/>
  <c r="I77" i="13"/>
  <c r="J77" i="13" s="1"/>
  <c r="Q77" i="13"/>
  <c r="R77" i="13" s="1"/>
  <c r="F78" i="13"/>
  <c r="I78" i="13"/>
  <c r="Q78" i="13"/>
  <c r="F80" i="13"/>
  <c r="I80" i="13"/>
  <c r="M80" i="13" s="1"/>
  <c r="Q80" i="13"/>
  <c r="R80" i="13" s="1"/>
  <c r="E81" i="13"/>
  <c r="F81" i="13" s="1"/>
  <c r="I81" i="13"/>
  <c r="J81" i="13" s="1"/>
  <c r="Q81" i="13"/>
  <c r="R81" i="13" s="1"/>
  <c r="F82" i="13"/>
  <c r="I82" i="13"/>
  <c r="Q82" i="13"/>
  <c r="I84" i="13"/>
  <c r="J85" i="13"/>
  <c r="M85" i="13"/>
  <c r="N85" i="13" s="1"/>
  <c r="R85" i="13"/>
  <c r="V85" i="13"/>
  <c r="E86" i="13"/>
  <c r="E84" i="13" s="1"/>
  <c r="E88" i="13" s="1"/>
  <c r="J86" i="13"/>
  <c r="Q86" i="13"/>
  <c r="Q84" i="13" s="1"/>
  <c r="J87" i="13"/>
  <c r="M87" i="13"/>
  <c r="N87" i="13" s="1"/>
  <c r="R87" i="13"/>
  <c r="V87" i="13"/>
  <c r="F90" i="13"/>
  <c r="J90" i="13"/>
  <c r="M90" i="13"/>
  <c r="U90" i="13" s="1"/>
  <c r="V90" i="13" s="1"/>
  <c r="R90" i="13"/>
  <c r="E9" i="12"/>
  <c r="F9" i="12" s="1"/>
  <c r="E10" i="12"/>
  <c r="F10" i="12" s="1"/>
  <c r="E12" i="12"/>
  <c r="F12" i="12" s="1"/>
  <c r="E13" i="12"/>
  <c r="F13" i="12" s="1"/>
  <c r="E14" i="12"/>
  <c r="F14" i="12" s="1"/>
  <c r="E15" i="12"/>
  <c r="F15" i="12" s="1"/>
  <c r="E16" i="12"/>
  <c r="F16" i="12" s="1"/>
  <c r="E17" i="12"/>
  <c r="F17" i="12" s="1"/>
  <c r="E9" i="11"/>
  <c r="E10" i="11"/>
  <c r="F10" i="11" s="1"/>
  <c r="E11" i="11"/>
  <c r="F11" i="11" s="1"/>
  <c r="E12" i="11"/>
  <c r="F12" i="11"/>
  <c r="E13" i="11"/>
  <c r="F13" i="11" s="1"/>
  <c r="E14" i="11"/>
  <c r="F14" i="11" s="1"/>
  <c r="E15" i="11"/>
  <c r="F15" i="11" s="1"/>
  <c r="E16" i="11"/>
  <c r="F16" i="11" s="1"/>
  <c r="E18" i="11"/>
  <c r="E17" i="11" s="1"/>
  <c r="E20" i="11"/>
  <c r="F20" i="11" s="1"/>
  <c r="E21" i="11"/>
  <c r="F21" i="11" s="1"/>
  <c r="E22" i="11"/>
  <c r="F22" i="11" s="1"/>
  <c r="E24" i="11"/>
  <c r="F24" i="11" s="1"/>
  <c r="E25" i="11"/>
  <c r="F25" i="11" s="1"/>
  <c r="E26" i="11"/>
  <c r="F26" i="11" s="1"/>
  <c r="E27" i="11"/>
  <c r="F27" i="11" s="1"/>
  <c r="E28" i="11"/>
  <c r="F28" i="11" s="1"/>
  <c r="E29" i="11"/>
  <c r="F29" i="11" s="1"/>
  <c r="E30" i="11"/>
  <c r="F30" i="11"/>
  <c r="E31" i="11"/>
  <c r="F31" i="11" s="1"/>
  <c r="GC31" i="11" s="1"/>
  <c r="E32" i="11"/>
  <c r="F32" i="11" s="1"/>
  <c r="E33" i="11"/>
  <c r="F33" i="11"/>
  <c r="E34" i="11"/>
  <c r="F34" i="11" s="1"/>
  <c r="E35" i="11"/>
  <c r="F35" i="11" s="1"/>
  <c r="E36" i="11"/>
  <c r="F36" i="11" s="1"/>
  <c r="E37" i="11"/>
  <c r="F37" i="11" s="1"/>
  <c r="E38" i="11"/>
  <c r="F38" i="11" s="1"/>
  <c r="E39" i="11"/>
  <c r="F39" i="11" s="1"/>
  <c r="E40" i="11"/>
  <c r="F40" i="11" s="1"/>
  <c r="E41" i="11"/>
  <c r="F41" i="11" s="1"/>
  <c r="E42" i="11"/>
  <c r="F42" i="11" s="1"/>
  <c r="E43" i="11"/>
  <c r="F43" i="11"/>
  <c r="E44" i="11"/>
  <c r="F44" i="11" s="1"/>
  <c r="C46" i="11"/>
  <c r="E47" i="11"/>
  <c r="F47" i="11"/>
  <c r="E48" i="11"/>
  <c r="F48" i="11" s="1"/>
  <c r="E49" i="11"/>
  <c r="F49" i="11"/>
  <c r="E50" i="11"/>
  <c r="F50" i="11" s="1"/>
  <c r="E51" i="11"/>
  <c r="F51" i="11" s="1"/>
  <c r="E52" i="11"/>
  <c r="F52" i="11" s="1"/>
  <c r="E53" i="11"/>
  <c r="F53" i="11"/>
  <c r="E54" i="11"/>
  <c r="F54" i="11" s="1"/>
  <c r="E55" i="11"/>
  <c r="F55" i="11" s="1"/>
  <c r="E56" i="11"/>
  <c r="F56" i="11" s="1"/>
  <c r="E57" i="11"/>
  <c r="F57" i="11" s="1"/>
  <c r="E58" i="11"/>
  <c r="F58" i="11" s="1"/>
  <c r="E59" i="11"/>
  <c r="F59" i="11" s="1"/>
  <c r="E60" i="11"/>
  <c r="F60" i="11" s="1"/>
  <c r="C61" i="11"/>
  <c r="E11" i="10"/>
  <c r="E10" i="10" s="1"/>
  <c r="F10" i="10" s="1"/>
  <c r="E12" i="10"/>
  <c r="F12" i="10" s="1"/>
  <c r="E13" i="10"/>
  <c r="F13" i="10" s="1"/>
  <c r="E14" i="10"/>
  <c r="F14" i="10" s="1"/>
  <c r="E15" i="10"/>
  <c r="F15" i="10" s="1"/>
  <c r="E16" i="10"/>
  <c r="F16" i="10" s="1"/>
  <c r="E18" i="10"/>
  <c r="F18" i="10" s="1"/>
  <c r="E19" i="10"/>
  <c r="F19" i="10" s="1"/>
  <c r="E20" i="10"/>
  <c r="F20" i="10" s="1"/>
  <c r="E21" i="10"/>
  <c r="F21" i="10" s="1"/>
  <c r="E22" i="10"/>
  <c r="F22" i="10" s="1"/>
  <c r="E23" i="10"/>
  <c r="F23" i="10" s="1"/>
  <c r="F24" i="10"/>
  <c r="E25" i="10"/>
  <c r="F25" i="10" s="1"/>
  <c r="E26" i="10"/>
  <c r="F26" i="10" s="1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F34" i="10" s="1"/>
  <c r="E35" i="10"/>
  <c r="F35" i="10" s="1"/>
  <c r="E36" i="10"/>
  <c r="F36" i="10" s="1"/>
  <c r="E37" i="10"/>
  <c r="F37" i="10" s="1"/>
  <c r="E38" i="10"/>
  <c r="F38" i="10" s="1"/>
  <c r="E39" i="10"/>
  <c r="F39" i="10" s="1"/>
  <c r="E40" i="10"/>
  <c r="F40" i="10" s="1"/>
  <c r="E41" i="10"/>
  <c r="F41" i="10" s="1"/>
  <c r="E42" i="10"/>
  <c r="F42" i="10" s="1"/>
  <c r="E43" i="10"/>
  <c r="F43" i="10" s="1"/>
  <c r="F44" i="10"/>
  <c r="E45" i="10"/>
  <c r="F45" i="10"/>
  <c r="E46" i="10"/>
  <c r="F46" i="10" s="1"/>
  <c r="E47" i="10"/>
  <c r="E48" i="10"/>
  <c r="F48" i="10"/>
  <c r="E49" i="10"/>
  <c r="F49" i="10" s="1"/>
  <c r="E53" i="10"/>
  <c r="F53" i="10" s="1"/>
  <c r="E54" i="10"/>
  <c r="E55" i="10"/>
  <c r="F55" i="10" s="1"/>
  <c r="E56" i="10"/>
  <c r="F56" i="10" s="1"/>
  <c r="E57" i="10"/>
  <c r="F57" i="10" s="1"/>
  <c r="E58" i="10"/>
  <c r="F58" i="10" s="1"/>
  <c r="E59" i="10"/>
  <c r="F59" i="10" s="1"/>
  <c r="E60" i="10"/>
  <c r="F60" i="10" s="1"/>
  <c r="E61" i="10"/>
  <c r="F61" i="10" s="1"/>
  <c r="E62" i="10"/>
  <c r="F62" i="10" s="1"/>
  <c r="E63" i="10"/>
  <c r="F63" i="10" s="1"/>
  <c r="E64" i="10"/>
  <c r="F64" i="10" s="1"/>
  <c r="E65" i="10"/>
  <c r="F65" i="10" s="1"/>
  <c r="F66" i="10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/>
  <c r="E16" i="9"/>
  <c r="F16" i="9" s="1"/>
  <c r="E18" i="9"/>
  <c r="E19" i="9"/>
  <c r="F19" i="9"/>
  <c r="E20" i="9"/>
  <c r="F20" i="9" s="1"/>
  <c r="E21" i="9"/>
  <c r="F21" i="9" s="1"/>
  <c r="E24" i="9"/>
  <c r="F24" i="9" s="1"/>
  <c r="E25" i="9"/>
  <c r="F25" i="9" s="1"/>
  <c r="E26" i="9"/>
  <c r="F26" i="9" s="1"/>
  <c r="E27" i="9"/>
  <c r="F27" i="9" s="1"/>
  <c r="E28" i="9"/>
  <c r="F28" i="9" s="1"/>
  <c r="E30" i="9"/>
  <c r="F30" i="9" s="1"/>
  <c r="E31" i="9"/>
  <c r="F31" i="9" s="1"/>
  <c r="E32" i="9"/>
  <c r="F32" i="9" s="1"/>
  <c r="E33" i="9"/>
  <c r="F33" i="9"/>
  <c r="F34" i="9"/>
  <c r="F8" i="8"/>
  <c r="G8" i="8" s="1"/>
  <c r="F11" i="8"/>
  <c r="G11" i="8" s="1"/>
  <c r="F12" i="8"/>
  <c r="G12" i="8" s="1"/>
  <c r="F13" i="8"/>
  <c r="G13" i="8" s="1"/>
  <c r="F14" i="8"/>
  <c r="G14" i="8" s="1"/>
  <c r="F15" i="8"/>
  <c r="G15" i="8" s="1"/>
  <c r="F16" i="8"/>
  <c r="G16" i="8" s="1"/>
  <c r="F17" i="8"/>
  <c r="G17" i="8" s="1"/>
  <c r="F18" i="8"/>
  <c r="G18" i="8" s="1"/>
  <c r="F19" i="8"/>
  <c r="G19" i="8" s="1"/>
  <c r="F20" i="8"/>
  <c r="G20" i="8" s="1"/>
  <c r="F21" i="8"/>
  <c r="G21" i="8" s="1"/>
  <c r="F22" i="8"/>
  <c r="G22" i="8" s="1"/>
  <c r="F23" i="8"/>
  <c r="G23" i="8" s="1"/>
  <c r="F24" i="8"/>
  <c r="G24" i="8" s="1"/>
  <c r="F25" i="8"/>
  <c r="G25" i="8" s="1"/>
  <c r="F26" i="8"/>
  <c r="G26" i="8" s="1"/>
  <c r="F27" i="8"/>
  <c r="G27" i="8" s="1"/>
  <c r="F28" i="8"/>
  <c r="G28" i="8" s="1"/>
  <c r="F29" i="8"/>
  <c r="G29" i="8" s="1"/>
  <c r="F30" i="8"/>
  <c r="G30" i="8" s="1"/>
  <c r="F31" i="8"/>
  <c r="G31" i="8" s="1"/>
  <c r="F32" i="8"/>
  <c r="G32" i="8" s="1"/>
  <c r="F33" i="8"/>
  <c r="G33" i="8" s="1"/>
  <c r="F34" i="8"/>
  <c r="G34" i="8" s="1"/>
  <c r="F35" i="8"/>
  <c r="G35" i="8" s="1"/>
  <c r="F36" i="8"/>
  <c r="G36" i="8" s="1"/>
  <c r="F37" i="8"/>
  <c r="G37" i="8" s="1"/>
  <c r="F38" i="8"/>
  <c r="G38" i="8" s="1"/>
  <c r="F39" i="8"/>
  <c r="G39" i="8" s="1"/>
  <c r="F40" i="8"/>
  <c r="G40" i="8" s="1"/>
  <c r="F41" i="8"/>
  <c r="G41" i="8" s="1"/>
  <c r="F42" i="8"/>
  <c r="G42" i="8" s="1"/>
  <c r="F43" i="8"/>
  <c r="G43" i="8" s="1"/>
  <c r="F44" i="8"/>
  <c r="G44" i="8" s="1"/>
  <c r="F45" i="8"/>
  <c r="G45" i="8" s="1"/>
  <c r="F46" i="8"/>
  <c r="G46" i="8" s="1"/>
  <c r="F47" i="8"/>
  <c r="G47" i="8" s="1"/>
  <c r="F48" i="8"/>
  <c r="G48" i="8" s="1"/>
  <c r="F49" i="8"/>
  <c r="G49" i="8" s="1"/>
  <c r="F50" i="8"/>
  <c r="G50" i="8" s="1"/>
  <c r="F51" i="8"/>
  <c r="G51" i="8" s="1"/>
  <c r="F52" i="8"/>
  <c r="G52" i="8" s="1"/>
  <c r="F53" i="8"/>
  <c r="G53" i="8" s="1"/>
  <c r="F54" i="8"/>
  <c r="G54" i="8" s="1"/>
  <c r="F55" i="8"/>
  <c r="G55" i="8" s="1"/>
  <c r="F56" i="8"/>
  <c r="G56" i="8" s="1"/>
  <c r="F57" i="8"/>
  <c r="G57" i="8" s="1"/>
  <c r="F58" i="8"/>
  <c r="G58" i="8" s="1"/>
  <c r="F59" i="8"/>
  <c r="G59" i="8" s="1"/>
  <c r="F60" i="8"/>
  <c r="G60" i="8" s="1"/>
  <c r="F61" i="8"/>
  <c r="G61" i="8" s="1"/>
  <c r="F62" i="8"/>
  <c r="G62" i="8" s="1"/>
  <c r="F64" i="8"/>
  <c r="G64" i="8" s="1"/>
  <c r="F65" i="8"/>
  <c r="G65" i="8" s="1"/>
  <c r="F66" i="8"/>
  <c r="G66" i="8" s="1"/>
  <c r="F67" i="8"/>
  <c r="G67" i="8" s="1"/>
  <c r="F68" i="8"/>
  <c r="G68" i="8" s="1"/>
  <c r="F69" i="8"/>
  <c r="G69" i="8" s="1"/>
  <c r="F70" i="8"/>
  <c r="G70" i="8" s="1"/>
  <c r="F71" i="8"/>
  <c r="G71" i="8" s="1"/>
  <c r="F72" i="8"/>
  <c r="G72" i="8" s="1"/>
  <c r="F74" i="8"/>
  <c r="G74" i="8" s="1"/>
  <c r="F75" i="8"/>
  <c r="G75" i="8" s="1"/>
  <c r="F76" i="8"/>
  <c r="G76" i="8" s="1"/>
  <c r="F77" i="8"/>
  <c r="G77" i="8" s="1"/>
  <c r="F78" i="8"/>
  <c r="G78" i="8" s="1"/>
  <c r="F79" i="8"/>
  <c r="G79" i="8" s="1"/>
  <c r="F80" i="8"/>
  <c r="G80" i="8" s="1"/>
  <c r="F81" i="8"/>
  <c r="G81" i="8" s="1"/>
  <c r="F84" i="8"/>
  <c r="F85" i="8"/>
  <c r="F83" i="8" s="1"/>
  <c r="G83" i="8" s="1"/>
  <c r="F86" i="8"/>
  <c r="G86" i="8" s="1"/>
  <c r="F87" i="8"/>
  <c r="G87" i="8" s="1"/>
  <c r="F88" i="8"/>
  <c r="G88" i="8" s="1"/>
  <c r="F89" i="8"/>
  <c r="G89" i="8" s="1"/>
  <c r="F90" i="8"/>
  <c r="G90" i="8" s="1"/>
  <c r="F91" i="8"/>
  <c r="G91" i="8" s="1"/>
  <c r="F92" i="8"/>
  <c r="G92" i="8" s="1"/>
  <c r="F93" i="8"/>
  <c r="G93" i="8" s="1"/>
  <c r="F94" i="8"/>
  <c r="G94" i="8" s="1"/>
  <c r="F95" i="8"/>
  <c r="G95" i="8"/>
  <c r="F98" i="8"/>
  <c r="O9" i="7"/>
  <c r="N10" i="7"/>
  <c r="O10" i="7" s="1"/>
  <c r="C11" i="7"/>
  <c r="C17" i="7" s="1"/>
  <c r="D11" i="7"/>
  <c r="D17" i="7" s="1"/>
  <c r="E11" i="7"/>
  <c r="F11" i="7"/>
  <c r="G11" i="7"/>
  <c r="H11" i="7"/>
  <c r="I11" i="7"/>
  <c r="J11" i="7"/>
  <c r="J17" i="7" s="1"/>
  <c r="K11" i="7"/>
  <c r="L11" i="7"/>
  <c r="M11" i="7"/>
  <c r="N11" i="7"/>
  <c r="E12" i="7"/>
  <c r="F12" i="7"/>
  <c r="F17" i="7" s="1"/>
  <c r="G12" i="7"/>
  <c r="H12" i="7"/>
  <c r="I12" i="7"/>
  <c r="K12" i="7"/>
  <c r="L12" i="7"/>
  <c r="M12" i="7"/>
  <c r="N12" i="7"/>
  <c r="O12" i="7"/>
  <c r="O13" i="7"/>
  <c r="O14" i="7"/>
  <c r="J15" i="7"/>
  <c r="O15" i="7"/>
  <c r="F16" i="7"/>
  <c r="G16" i="7"/>
  <c r="H16" i="7"/>
  <c r="I16" i="7"/>
  <c r="J16" i="7"/>
  <c r="L17" i="7"/>
  <c r="I19" i="7"/>
  <c r="N19" i="7"/>
  <c r="I20" i="7"/>
  <c r="N20" i="7"/>
  <c r="O20" i="7" s="1"/>
  <c r="C21" i="7"/>
  <c r="E21" i="7"/>
  <c r="H21" i="7"/>
  <c r="I21" i="7"/>
  <c r="J21" i="7"/>
  <c r="K21" i="7"/>
  <c r="N21" i="7"/>
  <c r="E22" i="7"/>
  <c r="H22" i="7"/>
  <c r="I22" i="7"/>
  <c r="N22" i="7"/>
  <c r="E23" i="7"/>
  <c r="G23" i="7"/>
  <c r="H23" i="7"/>
  <c r="I23" i="7"/>
  <c r="J23" i="7"/>
  <c r="K23" i="7"/>
  <c r="N23" i="7"/>
  <c r="G24" i="7"/>
  <c r="I24" i="7"/>
  <c r="J24" i="7"/>
  <c r="K24" i="7"/>
  <c r="N24" i="7"/>
  <c r="C25" i="7"/>
  <c r="D25" i="7"/>
  <c r="D29" i="7" s="1"/>
  <c r="E25" i="7"/>
  <c r="F25" i="7"/>
  <c r="G25" i="7"/>
  <c r="G29" i="7" s="1"/>
  <c r="H25" i="7"/>
  <c r="I25" i="7"/>
  <c r="J25" i="7"/>
  <c r="K25" i="7"/>
  <c r="L25" i="7"/>
  <c r="M25" i="7"/>
  <c r="N25" i="7"/>
  <c r="F26" i="7"/>
  <c r="O26" i="7" s="1"/>
  <c r="G26" i="7"/>
  <c r="H26" i="7"/>
  <c r="I26" i="7"/>
  <c r="K26" i="7"/>
  <c r="K27" i="7"/>
  <c r="M27" i="7"/>
  <c r="O28" i="7"/>
  <c r="C29" i="7"/>
  <c r="L29" i="7"/>
  <c r="H9" i="6"/>
  <c r="H10" i="6"/>
  <c r="H11" i="6"/>
  <c r="H12" i="6"/>
  <c r="H13" i="6" s="1"/>
  <c r="C13" i="6"/>
  <c r="D13" i="6"/>
  <c r="E13" i="6"/>
  <c r="F13" i="6"/>
  <c r="G13" i="6"/>
  <c r="C11" i="5"/>
  <c r="C12" i="5"/>
  <c r="C15" i="5"/>
  <c r="C17" i="5"/>
  <c r="C28" i="5" s="1"/>
  <c r="D17" i="5"/>
  <c r="E17" i="5"/>
  <c r="F17" i="5"/>
  <c r="F28" i="5" s="1"/>
  <c r="D28" i="5"/>
  <c r="E28" i="5"/>
  <c r="I42" i="4"/>
  <c r="J42" i="4"/>
  <c r="I43" i="4"/>
  <c r="J43" i="4"/>
  <c r="I44" i="4"/>
  <c r="J44" i="4"/>
  <c r="I45" i="4"/>
  <c r="J45" i="4"/>
  <c r="I46" i="4"/>
  <c r="J46" i="4"/>
  <c r="I47" i="4"/>
  <c r="J47" i="4"/>
  <c r="I48" i="4"/>
  <c r="J48" i="4"/>
  <c r="I49" i="4"/>
  <c r="J49" i="4"/>
  <c r="B17" i="3"/>
  <c r="B14" i="2"/>
  <c r="C14" i="2" s="1"/>
  <c r="L14" i="2"/>
  <c r="E14" i="2" s="1"/>
  <c r="M14" i="2"/>
  <c r="B15" i="2"/>
  <c r="C15" i="2"/>
  <c r="E15" i="2"/>
  <c r="B16" i="2"/>
  <c r="C16" i="2" s="1"/>
  <c r="D16" i="2" s="1"/>
  <c r="E16" i="2"/>
  <c r="B17" i="2"/>
  <c r="C17" i="2" s="1"/>
  <c r="D17" i="2" s="1"/>
  <c r="E17" i="2"/>
  <c r="B18" i="2"/>
  <c r="C18" i="2"/>
  <c r="E18" i="2"/>
  <c r="B19" i="2"/>
  <c r="C19" i="2" s="1"/>
  <c r="E19" i="2"/>
  <c r="B20" i="2"/>
  <c r="C20" i="2" s="1"/>
  <c r="D20" i="2" s="1"/>
  <c r="E20" i="2"/>
  <c r="B21" i="2"/>
  <c r="C21" i="2" s="1"/>
  <c r="D21" i="2" s="1"/>
  <c r="E21" i="2"/>
  <c r="B22" i="2"/>
  <c r="C22" i="2"/>
  <c r="E22" i="2"/>
  <c r="B23" i="2"/>
  <c r="C23" i="2" s="1"/>
  <c r="E23" i="2"/>
  <c r="B24" i="2"/>
  <c r="C24" i="2" s="1"/>
  <c r="F24" i="2"/>
  <c r="E24" i="2" s="1"/>
  <c r="B25" i="2"/>
  <c r="C25" i="2" s="1"/>
  <c r="E25" i="2"/>
  <c r="B26" i="2"/>
  <c r="C26" i="2" s="1"/>
  <c r="E26" i="2"/>
  <c r="B27" i="2"/>
  <c r="C27" i="2" s="1"/>
  <c r="E27" i="2"/>
  <c r="B28" i="2"/>
  <c r="C28" i="2" s="1"/>
  <c r="E28" i="2"/>
  <c r="B30" i="2"/>
  <c r="C30" i="2" s="1"/>
  <c r="F30" i="2"/>
  <c r="E30" i="2" s="1"/>
  <c r="B31" i="2"/>
  <c r="C31" i="2" s="1"/>
  <c r="F31" i="2"/>
  <c r="E31" i="2" s="1"/>
  <c r="B32" i="2"/>
  <c r="C32" i="2"/>
  <c r="F32" i="2" s="1"/>
  <c r="B33" i="2"/>
  <c r="C33" i="2" s="1"/>
  <c r="F33" i="2"/>
  <c r="E33" i="2" s="1"/>
  <c r="G34" i="2"/>
  <c r="H34" i="2"/>
  <c r="I34" i="2"/>
  <c r="J34" i="2"/>
  <c r="K34" i="2"/>
  <c r="L34" i="2"/>
  <c r="M34" i="2"/>
  <c r="D35" i="2"/>
  <c r="D36" i="2"/>
  <c r="D37" i="2"/>
  <c r="B38" i="2"/>
  <c r="E38" i="2"/>
  <c r="B39" i="2"/>
  <c r="C39" i="2" s="1"/>
  <c r="D39" i="2" s="1"/>
  <c r="E39" i="2"/>
  <c r="B40" i="2"/>
  <c r="C40" i="2"/>
  <c r="G40" i="2"/>
  <c r="E40" i="2" s="1"/>
  <c r="B41" i="2"/>
  <c r="C41" i="2" s="1"/>
  <c r="E41" i="2"/>
  <c r="B42" i="2"/>
  <c r="C42" i="2" s="1"/>
  <c r="E42" i="2"/>
  <c r="B43" i="2"/>
  <c r="C43" i="2" s="1"/>
  <c r="E43" i="2"/>
  <c r="B44" i="2"/>
  <c r="C44" i="2" s="1"/>
  <c r="E44" i="2"/>
  <c r="B45" i="2"/>
  <c r="C45" i="2" s="1"/>
  <c r="E45" i="2"/>
  <c r="B46" i="2"/>
  <c r="C46" i="2" s="1"/>
  <c r="E46" i="2"/>
  <c r="B47" i="2"/>
  <c r="C47" i="2" s="1"/>
  <c r="L47" i="2"/>
  <c r="E47" i="2" s="1"/>
  <c r="B48" i="2"/>
  <c r="C48" i="2" s="1"/>
  <c r="E48" i="2"/>
  <c r="B49" i="2"/>
  <c r="C49" i="2" s="1"/>
  <c r="E49" i="2"/>
  <c r="B50" i="2"/>
  <c r="C50" i="2" s="1"/>
  <c r="K50" i="2"/>
  <c r="E50" i="2" s="1"/>
  <c r="B51" i="2"/>
  <c r="C51" i="2"/>
  <c r="L51" i="2"/>
  <c r="C52" i="2"/>
  <c r="E52" i="2"/>
  <c r="B53" i="2"/>
  <c r="C53" i="2" s="1"/>
  <c r="F53" i="2"/>
  <c r="E53" i="2" s="1"/>
  <c r="B54" i="2"/>
  <c r="C54" i="2" s="1"/>
  <c r="F54" i="2"/>
  <c r="E54" i="2" s="1"/>
  <c r="B55" i="2"/>
  <c r="C55" i="2" s="1"/>
  <c r="D55" i="2" s="1"/>
  <c r="E55" i="2"/>
  <c r="G56" i="2"/>
  <c r="G57" i="2" s="1"/>
  <c r="H56" i="2"/>
  <c r="J56" i="2"/>
  <c r="L56" i="2"/>
  <c r="L57" i="2"/>
  <c r="E60" i="2"/>
  <c r="D60" i="2" s="1"/>
  <c r="B61" i="2"/>
  <c r="C61" i="2" s="1"/>
  <c r="F61" i="2"/>
  <c r="F63" i="2" s="1"/>
  <c r="B62" i="2"/>
  <c r="C62" i="2" s="1"/>
  <c r="E62" i="2"/>
  <c r="G63" i="2"/>
  <c r="H63" i="2"/>
  <c r="I63" i="2"/>
  <c r="J63" i="2"/>
  <c r="K63" i="2"/>
  <c r="L63" i="2"/>
  <c r="M63" i="2"/>
  <c r="D64" i="2"/>
  <c r="D65" i="2"/>
  <c r="B66" i="2"/>
  <c r="C66" i="2" s="1"/>
  <c r="H66" i="2"/>
  <c r="E66" i="2" s="1"/>
  <c r="H69" i="2"/>
  <c r="E69" i="2" s="1"/>
  <c r="B70" i="2"/>
  <c r="B69" i="2" s="1"/>
  <c r="C69" i="2" s="1"/>
  <c r="B72" i="2"/>
  <c r="C72" i="2" s="1"/>
  <c r="H72" i="2"/>
  <c r="E72" i="2" s="1"/>
  <c r="B75" i="2"/>
  <c r="C75" i="2"/>
  <c r="H75" i="2"/>
  <c r="E75" i="2" s="1"/>
  <c r="B76" i="2"/>
  <c r="B77" i="2"/>
  <c r="B78" i="2"/>
  <c r="F78" i="2"/>
  <c r="G78" i="2"/>
  <c r="I78" i="2"/>
  <c r="J78" i="2"/>
  <c r="K78" i="2"/>
  <c r="L78" i="2"/>
  <c r="E79" i="2"/>
  <c r="D79" i="2" s="1"/>
  <c r="G11" i="1"/>
  <c r="H11" i="1" s="1"/>
  <c r="G12" i="1"/>
  <c r="H12" i="1" s="1"/>
  <c r="G13" i="1"/>
  <c r="H13" i="1" s="1"/>
  <c r="G14" i="1"/>
  <c r="H14" i="1" s="1"/>
  <c r="H15" i="1"/>
  <c r="H16" i="1"/>
  <c r="H17" i="1"/>
  <c r="H18" i="1"/>
  <c r="H19" i="1"/>
  <c r="H20" i="1"/>
  <c r="G21" i="1"/>
  <c r="H21" i="1" s="1"/>
  <c r="H23" i="1"/>
  <c r="H24" i="1"/>
  <c r="H25" i="1"/>
  <c r="H26" i="1"/>
  <c r="G27" i="1"/>
  <c r="H27" i="1" s="1"/>
  <c r="G30" i="1"/>
  <c r="H30" i="1"/>
  <c r="H31" i="1"/>
  <c r="G32" i="1"/>
  <c r="H32" i="1"/>
  <c r="G33" i="1"/>
  <c r="H33" i="1" s="1"/>
  <c r="H34" i="1"/>
  <c r="G36" i="1"/>
  <c r="G35" i="1" s="1"/>
  <c r="H37" i="1"/>
  <c r="G38" i="1"/>
  <c r="H38" i="1" s="1"/>
  <c r="G39" i="1"/>
  <c r="H39" i="1" s="1"/>
  <c r="G41" i="1"/>
  <c r="G40" i="1" s="1"/>
  <c r="H40" i="1" s="1"/>
  <c r="H41" i="1"/>
  <c r="H43" i="1"/>
  <c r="H44" i="1"/>
  <c r="G45" i="1"/>
  <c r="H45" i="1"/>
  <c r="H46" i="1"/>
  <c r="G47" i="1"/>
  <c r="G48" i="1"/>
  <c r="H48" i="1"/>
  <c r="G49" i="1"/>
  <c r="H49" i="1" s="1"/>
  <c r="G50" i="1"/>
  <c r="H50" i="1" s="1"/>
  <c r="H52" i="1"/>
  <c r="G53" i="1"/>
  <c r="G54" i="1"/>
  <c r="H54" i="1" s="1"/>
  <c r="G55" i="1"/>
  <c r="H55" i="1" s="1"/>
  <c r="H56" i="1"/>
  <c r="G57" i="1"/>
  <c r="H57" i="1" s="1"/>
  <c r="G58" i="1"/>
  <c r="H58" i="1" s="1"/>
  <c r="G59" i="1"/>
  <c r="H59" i="1"/>
  <c r="H60" i="1"/>
  <c r="H61" i="1"/>
  <c r="G62" i="1"/>
  <c r="H62" i="1"/>
  <c r="G63" i="1"/>
  <c r="H63" i="1" s="1"/>
  <c r="H64" i="1"/>
  <c r="H65" i="1"/>
  <c r="H66" i="1"/>
  <c r="H67" i="1"/>
  <c r="H68" i="1"/>
  <c r="H70" i="1"/>
  <c r="H71" i="1"/>
  <c r="G72" i="1"/>
  <c r="G69" i="1" s="1"/>
  <c r="H74" i="1"/>
  <c r="G75" i="1"/>
  <c r="G76" i="1"/>
  <c r="H76" i="1" s="1"/>
  <c r="H79" i="1"/>
  <c r="H80" i="1"/>
  <c r="H81" i="1"/>
  <c r="H83" i="1"/>
  <c r="H84" i="1"/>
  <c r="H85" i="1"/>
  <c r="G86" i="1"/>
  <c r="G82" i="1" s="1"/>
  <c r="H88" i="1"/>
  <c r="G89" i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H98" i="1"/>
  <c r="H99" i="1"/>
  <c r="G101" i="1"/>
  <c r="G100" i="1" s="1"/>
  <c r="G102" i="1"/>
  <c r="H102" i="1" s="1"/>
  <c r="G103" i="1"/>
  <c r="H103" i="1" s="1"/>
  <c r="G105" i="1"/>
  <c r="G104" i="1" s="1"/>
  <c r="G106" i="1"/>
  <c r="H106" i="1" s="1"/>
  <c r="G107" i="1"/>
  <c r="H107" i="1" s="1"/>
  <c r="H108" i="1"/>
  <c r="G110" i="1"/>
  <c r="G109" i="1" s="1"/>
  <c r="H109" i="1" s="1"/>
  <c r="G111" i="1"/>
  <c r="H111" i="1" s="1"/>
  <c r="G112" i="1"/>
  <c r="H112" i="1" s="1"/>
  <c r="G113" i="1"/>
  <c r="H113" i="1" s="1"/>
  <c r="H114" i="1"/>
  <c r="H115" i="1"/>
  <c r="H117" i="1"/>
  <c r="H118" i="1"/>
  <c r="H119" i="1"/>
  <c r="H120" i="1"/>
  <c r="H121" i="1"/>
  <c r="G125" i="1"/>
  <c r="H125" i="1" s="1"/>
  <c r="G126" i="1"/>
  <c r="H126" i="1" s="1"/>
  <c r="G127" i="1"/>
  <c r="H127" i="1" s="1"/>
  <c r="G128" i="1"/>
  <c r="H128" i="1" s="1"/>
  <c r="H130" i="1"/>
  <c r="H131" i="1"/>
  <c r="H132" i="1"/>
  <c r="H133" i="1"/>
  <c r="H135" i="1"/>
  <c r="H136" i="1"/>
  <c r="H137" i="1"/>
  <c r="G139" i="1"/>
  <c r="H139" i="1" s="1"/>
  <c r="G140" i="1"/>
  <c r="H140" i="1" s="1"/>
  <c r="G141" i="1"/>
  <c r="H141" i="1" s="1"/>
  <c r="H143" i="1"/>
  <c r="H144" i="1"/>
  <c r="H145" i="1"/>
  <c r="H146" i="1"/>
  <c r="H147" i="1"/>
  <c r="G148" i="1"/>
  <c r="H148" i="1" s="1"/>
  <c r="G152" i="1"/>
  <c r="H152" i="1" s="1"/>
  <c r="H153" i="1"/>
  <c r="H154" i="1"/>
  <c r="H155" i="1"/>
  <c r="H156" i="1"/>
  <c r="H157" i="1"/>
  <c r="H158" i="1"/>
  <c r="H159" i="1"/>
  <c r="H160" i="1"/>
  <c r="G164" i="1"/>
  <c r="H164" i="1" s="1"/>
  <c r="G166" i="1"/>
  <c r="Q27" i="13" l="1"/>
  <c r="J22" i="13"/>
  <c r="M69" i="13"/>
  <c r="N69" i="13" s="1"/>
  <c r="M70" i="13"/>
  <c r="N70" i="13" s="1"/>
  <c r="J36" i="13"/>
  <c r="G51" i="1"/>
  <c r="H51" i="1" s="1"/>
  <c r="E16" i="14"/>
  <c r="I19" i="13"/>
  <c r="J19" i="13" s="1"/>
  <c r="M17" i="13"/>
  <c r="M13" i="13"/>
  <c r="U13" i="13" s="1"/>
  <c r="V13" i="13" s="1"/>
  <c r="Q11" i="13"/>
  <c r="G73" i="1"/>
  <c r="M86" i="13"/>
  <c r="N86" i="13" s="1"/>
  <c r="Q23" i="13"/>
  <c r="Y67" i="18"/>
  <c r="T80" i="18"/>
  <c r="U80" i="18" s="1"/>
  <c r="Q73" i="18"/>
  <c r="Q72" i="18"/>
  <c r="Q52" i="18"/>
  <c r="Q44" i="18"/>
  <c r="Y64" i="18"/>
  <c r="Q71" i="18"/>
  <c r="Q70" i="18"/>
  <c r="Q65" i="18"/>
  <c r="U73" i="18"/>
  <c r="Q22" i="18"/>
  <c r="Q20" i="18"/>
  <c r="U65" i="18"/>
  <c r="T22" i="18"/>
  <c r="X22" i="18" s="1"/>
  <c r="X15" i="18"/>
  <c r="X13" i="18"/>
  <c r="X80" i="18"/>
  <c r="Y80" i="18" s="1"/>
  <c r="X65" i="18"/>
  <c r="Y65" i="18" s="1"/>
  <c r="T63" i="18"/>
  <c r="Q45" i="18"/>
  <c r="Q43" i="18"/>
  <c r="Q21" i="18"/>
  <c r="X73" i="18"/>
  <c r="T69" i="18"/>
  <c r="X69" i="18" s="1"/>
  <c r="Y69" i="18" s="1"/>
  <c r="U57" i="18"/>
  <c r="T72" i="18"/>
  <c r="U71" i="18"/>
  <c r="T70" i="18"/>
  <c r="T52" i="18"/>
  <c r="Q49" i="18"/>
  <c r="S45" i="18"/>
  <c r="U45" i="18" s="1"/>
  <c r="Q40" i="18"/>
  <c r="Q38" i="18"/>
  <c r="Y71" i="18"/>
  <c r="Y73" i="18"/>
  <c r="Q81" i="18"/>
  <c r="Q79" i="18"/>
  <c r="T20" i="18"/>
  <c r="X20" i="18" s="1"/>
  <c r="W66" i="18"/>
  <c r="S81" i="18"/>
  <c r="U81" i="18" s="1"/>
  <c r="S79" i="18"/>
  <c r="W79" i="18" s="1"/>
  <c r="Y79" i="18" s="1"/>
  <c r="R58" i="18"/>
  <c r="V58" i="18" s="1"/>
  <c r="Q56" i="18"/>
  <c r="Q50" i="18"/>
  <c r="T50" i="18"/>
  <c r="Q48" i="18"/>
  <c r="W68" i="18"/>
  <c r="Y68" i="18" s="1"/>
  <c r="T49" i="18"/>
  <c r="Q47" i="18"/>
  <c r="Q33" i="18"/>
  <c r="R28" i="18"/>
  <c r="V28" i="18" s="1"/>
  <c r="T21" i="18"/>
  <c r="X21" i="18" s="1"/>
  <c r="Y21" i="18" s="1"/>
  <c r="X66" i="18"/>
  <c r="V52" i="18"/>
  <c r="G85" i="8"/>
  <c r="F10" i="8"/>
  <c r="F73" i="8"/>
  <c r="F63" i="8" s="1"/>
  <c r="G63" i="8" s="1"/>
  <c r="F82" i="8"/>
  <c r="K25" i="14" s="1"/>
  <c r="K26" i="14" s="1"/>
  <c r="D66" i="2"/>
  <c r="D50" i="2"/>
  <c r="D31" i="2"/>
  <c r="D72" i="2"/>
  <c r="D49" i="2"/>
  <c r="H57" i="2"/>
  <c r="G80" i="2"/>
  <c r="D54" i="2"/>
  <c r="D14" i="2"/>
  <c r="D46" i="2"/>
  <c r="D27" i="2"/>
  <c r="D18" i="2"/>
  <c r="D23" i="2"/>
  <c r="D19" i="2"/>
  <c r="D15" i="2"/>
  <c r="B56" i="2"/>
  <c r="K56" i="2"/>
  <c r="K57" i="2" s="1"/>
  <c r="K80" i="2" s="1"/>
  <c r="D44" i="2"/>
  <c r="D42" i="2"/>
  <c r="D40" i="2"/>
  <c r="D30" i="2"/>
  <c r="D25" i="2"/>
  <c r="D22" i="2"/>
  <c r="D62" i="2"/>
  <c r="L80" i="2"/>
  <c r="H78" i="2"/>
  <c r="H80" i="2" s="1"/>
  <c r="D52" i="2"/>
  <c r="D48" i="2"/>
  <c r="D45" i="2"/>
  <c r="D43" i="2"/>
  <c r="D41" i="2"/>
  <c r="C38" i="2"/>
  <c r="D38" i="2" s="1"/>
  <c r="J57" i="2"/>
  <c r="J80" i="2" s="1"/>
  <c r="D28" i="2"/>
  <c r="D26" i="2"/>
  <c r="J29" i="7"/>
  <c r="M29" i="7"/>
  <c r="K29" i="7"/>
  <c r="O21" i="7"/>
  <c r="O27" i="7"/>
  <c r="O22" i="7"/>
  <c r="O19" i="7"/>
  <c r="M17" i="7"/>
  <c r="E17" i="7"/>
  <c r="O24" i="7"/>
  <c r="N17" i="7"/>
  <c r="F29" i="7"/>
  <c r="I17" i="7"/>
  <c r="K17" i="7"/>
  <c r="G17" i="7"/>
  <c r="O25" i="7"/>
  <c r="O23" i="7"/>
  <c r="N29" i="7"/>
  <c r="H29" i="7"/>
  <c r="O16" i="7"/>
  <c r="E17" i="9"/>
  <c r="F17" i="9" s="1"/>
  <c r="E8" i="9"/>
  <c r="E52" i="10"/>
  <c r="E50" i="10" s="1"/>
  <c r="F11" i="10"/>
  <c r="E46" i="11"/>
  <c r="F46" i="11" s="1"/>
  <c r="E23" i="11"/>
  <c r="F23" i="11" s="1"/>
  <c r="E8" i="11"/>
  <c r="F8" i="11" s="1"/>
  <c r="E11" i="12"/>
  <c r="F11" i="12" s="1"/>
  <c r="E18" i="12"/>
  <c r="E19" i="12" s="1"/>
  <c r="F19" i="12" s="1"/>
  <c r="I59" i="13"/>
  <c r="M48" i="13"/>
  <c r="N48" i="13" s="1"/>
  <c r="M84" i="13"/>
  <c r="M74" i="13"/>
  <c r="N74" i="13" s="1"/>
  <c r="M64" i="13"/>
  <c r="N64" i="13" s="1"/>
  <c r="J62" i="13"/>
  <c r="U66" i="13"/>
  <c r="V66" i="13" s="1"/>
  <c r="J58" i="13"/>
  <c r="M30" i="13"/>
  <c r="U30" i="13" s="1"/>
  <c r="V30" i="13" s="1"/>
  <c r="M26" i="13"/>
  <c r="N26" i="13" s="1"/>
  <c r="N80" i="13"/>
  <c r="U80" i="13"/>
  <c r="V80" i="13" s="1"/>
  <c r="E55" i="13"/>
  <c r="F55" i="13" s="1"/>
  <c r="M76" i="13"/>
  <c r="F73" i="13"/>
  <c r="M72" i="13"/>
  <c r="N72" i="13" s="1"/>
  <c r="U68" i="13"/>
  <c r="V68" i="13" s="1"/>
  <c r="I67" i="13"/>
  <c r="M67" i="13" s="1"/>
  <c r="Q59" i="13"/>
  <c r="J42" i="13"/>
  <c r="M25" i="13"/>
  <c r="N25" i="13" s="1"/>
  <c r="I23" i="13"/>
  <c r="J23" i="13" s="1"/>
  <c r="M21" i="13"/>
  <c r="N21" i="13" s="1"/>
  <c r="R86" i="13"/>
  <c r="Q67" i="13"/>
  <c r="U62" i="13"/>
  <c r="V62" i="13" s="1"/>
  <c r="U58" i="13"/>
  <c r="V58" i="13" s="1"/>
  <c r="M57" i="13"/>
  <c r="N57" i="13" s="1"/>
  <c r="I35" i="13"/>
  <c r="M35" i="13" s="1"/>
  <c r="U35" i="13" s="1"/>
  <c r="V35" i="13" s="1"/>
  <c r="M32" i="13"/>
  <c r="U32" i="13" s="1"/>
  <c r="V32" i="13" s="1"/>
  <c r="M20" i="13"/>
  <c r="U14" i="13"/>
  <c r="V14" i="13" s="1"/>
  <c r="E79" i="13"/>
  <c r="M81" i="13"/>
  <c r="N81" i="13" s="1"/>
  <c r="M77" i="13"/>
  <c r="N77" i="13" s="1"/>
  <c r="J66" i="13"/>
  <c r="M61" i="13"/>
  <c r="M53" i="13"/>
  <c r="R43" i="13"/>
  <c r="M37" i="13"/>
  <c r="N37" i="13" s="1"/>
  <c r="R29" i="13"/>
  <c r="J20" i="13"/>
  <c r="B30" i="14"/>
  <c r="C40" i="14"/>
  <c r="C28" i="14"/>
  <c r="E26" i="14"/>
  <c r="C30" i="14"/>
  <c r="H72" i="1"/>
  <c r="H86" i="1"/>
  <c r="G149" i="1"/>
  <c r="H149" i="1" s="1"/>
  <c r="H110" i="1"/>
  <c r="G87" i="1"/>
  <c r="H87" i="1" s="1"/>
  <c r="H53" i="1"/>
  <c r="G42" i="1"/>
  <c r="X40" i="19"/>
  <c r="Z84" i="19"/>
  <c r="W83" i="18"/>
  <c r="Y83" i="18" s="1"/>
  <c r="BJ85" i="19"/>
  <c r="I40" i="19"/>
  <c r="BH60" i="19"/>
  <c r="S84" i="19"/>
  <c r="S40" i="19" s="1"/>
  <c r="S38" i="19" s="1"/>
  <c r="S42" i="19" s="1"/>
  <c r="AT44" i="19"/>
  <c r="AS84" i="19"/>
  <c r="AD44" i="19"/>
  <c r="AC84" i="19"/>
  <c r="N44" i="19"/>
  <c r="M84" i="19"/>
  <c r="X46" i="18"/>
  <c r="AZ84" i="19"/>
  <c r="AZ40" i="19" s="1"/>
  <c r="AZ38" i="19" s="1"/>
  <c r="AZ42" i="19" s="1"/>
  <c r="Y42" i="19"/>
  <c r="H84" i="19"/>
  <c r="BI60" i="19"/>
  <c r="X58" i="18" s="1"/>
  <c r="D38" i="19"/>
  <c r="BG52" i="19"/>
  <c r="V50" i="18" s="1"/>
  <c r="C84" i="19"/>
  <c r="BE40" i="19"/>
  <c r="BF84" i="19"/>
  <c r="AO40" i="19"/>
  <c r="AP84" i="19"/>
  <c r="AM42" i="19"/>
  <c r="AB42" i="19"/>
  <c r="BH22" i="19"/>
  <c r="W20" i="18" s="1"/>
  <c r="L42" i="19"/>
  <c r="W40" i="19"/>
  <c r="W38" i="19" s="1"/>
  <c r="W42" i="19" s="1"/>
  <c r="BH30" i="19"/>
  <c r="W58" i="18"/>
  <c r="W48" i="18"/>
  <c r="Y48" i="18" s="1"/>
  <c r="W44" i="18"/>
  <c r="Y44" i="18" s="1"/>
  <c r="BC42" i="19"/>
  <c r="AR42" i="19"/>
  <c r="X19" i="18"/>
  <c r="X9" i="18"/>
  <c r="G40" i="19"/>
  <c r="G38" i="19" s="1"/>
  <c r="G42" i="19" s="1"/>
  <c r="BA84" i="19"/>
  <c r="AW84" i="19"/>
  <c r="AK84" i="19"/>
  <c r="AG84" i="19"/>
  <c r="U84" i="19"/>
  <c r="Q84" i="19"/>
  <c r="E84" i="19"/>
  <c r="BI52" i="19"/>
  <c r="BJ52" i="19" s="1"/>
  <c r="Z52" i="19"/>
  <c r="J52" i="19"/>
  <c r="D36" i="18"/>
  <c r="T38" i="18"/>
  <c r="L36" i="18"/>
  <c r="U51" i="18"/>
  <c r="U33" i="18"/>
  <c r="X33" i="18"/>
  <c r="Y33" i="18" s="1"/>
  <c r="S8" i="18"/>
  <c r="W8" i="18" s="1"/>
  <c r="T82" i="18"/>
  <c r="C36" i="18"/>
  <c r="R38" i="18"/>
  <c r="X51" i="18"/>
  <c r="Y51" i="18" s="1"/>
  <c r="T47" i="18"/>
  <c r="W45" i="18"/>
  <c r="Y45" i="18" s="1"/>
  <c r="S43" i="18"/>
  <c r="R42" i="18"/>
  <c r="V42" i="18" s="1"/>
  <c r="S42" i="18"/>
  <c r="W42" i="18" s="1"/>
  <c r="U39" i="18"/>
  <c r="X39" i="18"/>
  <c r="Y39" i="18" s="1"/>
  <c r="Y35" i="18"/>
  <c r="Y34" i="18"/>
  <c r="Y23" i="18"/>
  <c r="U22" i="18"/>
  <c r="K82" i="18"/>
  <c r="G82" i="18"/>
  <c r="S82" i="18" s="1"/>
  <c r="U79" i="18"/>
  <c r="T56" i="18"/>
  <c r="Y54" i="18"/>
  <c r="Y53" i="18"/>
  <c r="R46" i="18"/>
  <c r="V46" i="18" s="1"/>
  <c r="T42" i="18"/>
  <c r="Q37" i="18"/>
  <c r="T37" i="18"/>
  <c r="U34" i="18"/>
  <c r="Y22" i="18"/>
  <c r="T8" i="18"/>
  <c r="X8" i="18" s="1"/>
  <c r="U23" i="18"/>
  <c r="L40" i="18"/>
  <c r="F40" i="18"/>
  <c r="R82" i="18"/>
  <c r="X57" i="18"/>
  <c r="Y57" i="18" s="1"/>
  <c r="Q55" i="18"/>
  <c r="T55" i="18"/>
  <c r="U53" i="18"/>
  <c r="Q51" i="18"/>
  <c r="S50" i="18"/>
  <c r="S46" i="18"/>
  <c r="W46" i="18" s="1"/>
  <c r="Q42" i="18"/>
  <c r="Q39" i="18"/>
  <c r="H36" i="18"/>
  <c r="T28" i="18"/>
  <c r="X28" i="18" s="1"/>
  <c r="S28" i="18"/>
  <c r="W28" i="18" s="1"/>
  <c r="Q23" i="18"/>
  <c r="U20" i="18"/>
  <c r="Q54" i="18"/>
  <c r="Q35" i="18"/>
  <c r="Q57" i="18"/>
  <c r="U54" i="18"/>
  <c r="Q53" i="18"/>
  <c r="U48" i="18"/>
  <c r="Q46" i="18"/>
  <c r="U35" i="18"/>
  <c r="Q34" i="18"/>
  <c r="AX36" i="17"/>
  <c r="AW40" i="17"/>
  <c r="AX40" i="17" s="1"/>
  <c r="AH36" i="17"/>
  <c r="AG40" i="17"/>
  <c r="AH40" i="17" s="1"/>
  <c r="R36" i="17"/>
  <c r="Q40" i="17"/>
  <c r="R40" i="17" s="1"/>
  <c r="C36" i="17"/>
  <c r="W38" i="17"/>
  <c r="W36" i="17" s="1"/>
  <c r="W40" i="17" s="1"/>
  <c r="BG82" i="17"/>
  <c r="AU82" i="17"/>
  <c r="AU38" i="17" s="1"/>
  <c r="AU36" i="17" s="1"/>
  <c r="AK82" i="17"/>
  <c r="U82" i="17"/>
  <c r="BH38" i="17"/>
  <c r="AU40" i="17"/>
  <c r="AE40" i="17"/>
  <c r="BG20" i="17"/>
  <c r="G40" i="17"/>
  <c r="BE82" i="17"/>
  <c r="AO82" i="17"/>
  <c r="Y82" i="17"/>
  <c r="I82" i="17"/>
  <c r="BI66" i="17"/>
  <c r="AY40" i="17"/>
  <c r="AI40" i="17"/>
  <c r="K40" i="17"/>
  <c r="BH50" i="17"/>
  <c r="BJ50" i="17" s="1"/>
  <c r="BA82" i="17"/>
  <c r="E82" i="17"/>
  <c r="BG50" i="17"/>
  <c r="AA40" i="17"/>
  <c r="BH20" i="17"/>
  <c r="BJ20" i="17" s="1"/>
  <c r="AX82" i="17"/>
  <c r="AS82" i="17"/>
  <c r="AH82" i="17"/>
  <c r="AC82" i="17"/>
  <c r="R82" i="17"/>
  <c r="M82" i="17"/>
  <c r="BJ68" i="17"/>
  <c r="BH66" i="17"/>
  <c r="AX66" i="17"/>
  <c r="AR82" i="17"/>
  <c r="AR38" i="17" s="1"/>
  <c r="AR36" i="17" s="1"/>
  <c r="AR40" i="17" s="1"/>
  <c r="AH66" i="17"/>
  <c r="AB82" i="17"/>
  <c r="AB38" i="17" s="1"/>
  <c r="AB36" i="17" s="1"/>
  <c r="AB40" i="17" s="1"/>
  <c r="R66" i="17"/>
  <c r="L82" i="17"/>
  <c r="L38" i="17" s="1"/>
  <c r="L36" i="17" s="1"/>
  <c r="BJ65" i="17"/>
  <c r="D36" i="17"/>
  <c r="BJ33" i="17"/>
  <c r="AM40" i="17"/>
  <c r="AJ40" i="17"/>
  <c r="L40" i="17"/>
  <c r="AX38" i="17"/>
  <c r="AH38" i="17"/>
  <c r="R38" i="17"/>
  <c r="BJ35" i="17"/>
  <c r="BJ23" i="17"/>
  <c r="AQ40" i="17"/>
  <c r="M38" i="16"/>
  <c r="L36" i="16"/>
  <c r="R38" i="16"/>
  <c r="C36" i="16"/>
  <c r="K40" i="16"/>
  <c r="O40" i="16"/>
  <c r="G40" i="16"/>
  <c r="H36" i="16"/>
  <c r="D38" i="16"/>
  <c r="U42" i="16"/>
  <c r="G82" i="16"/>
  <c r="G38" i="16" s="1"/>
  <c r="G36" i="16" s="1"/>
  <c r="S66" i="16"/>
  <c r="T50" i="16"/>
  <c r="U50" i="16" s="1"/>
  <c r="T68" i="16"/>
  <c r="U68" i="16" s="1"/>
  <c r="T54" i="16"/>
  <c r="U54" i="16" s="1"/>
  <c r="R82" i="16"/>
  <c r="Q20" i="16"/>
  <c r="M20" i="16"/>
  <c r="P66" i="16"/>
  <c r="M82" i="16"/>
  <c r="C18" i="14"/>
  <c r="R84" i="13"/>
  <c r="Q88" i="13"/>
  <c r="R88" i="13" s="1"/>
  <c r="J82" i="13"/>
  <c r="M82" i="13"/>
  <c r="N82" i="13" s="1"/>
  <c r="I79" i="13"/>
  <c r="R78" i="13"/>
  <c r="M65" i="13"/>
  <c r="N65" i="13" s="1"/>
  <c r="I63" i="13"/>
  <c r="M63" i="13" s="1"/>
  <c r="J65" i="13"/>
  <c r="R27" i="13"/>
  <c r="R23" i="13"/>
  <c r="J78" i="13"/>
  <c r="M78" i="13"/>
  <c r="N78" i="13" s="1"/>
  <c r="I75" i="13"/>
  <c r="R73" i="13"/>
  <c r="Q71" i="13"/>
  <c r="U69" i="13"/>
  <c r="V69" i="13" s="1"/>
  <c r="R49" i="13"/>
  <c r="Q47" i="13"/>
  <c r="Q44" i="13"/>
  <c r="R40" i="13"/>
  <c r="Q31" i="13"/>
  <c r="R33" i="13"/>
  <c r="M19" i="13"/>
  <c r="N19" i="13" s="1"/>
  <c r="J73" i="13"/>
  <c r="M73" i="13"/>
  <c r="N73" i="13" s="1"/>
  <c r="I71" i="13"/>
  <c r="N36" i="13"/>
  <c r="U36" i="13"/>
  <c r="V36" i="13" s="1"/>
  <c r="N90" i="13"/>
  <c r="I88" i="13"/>
  <c r="M88" i="13" s="1"/>
  <c r="R82" i="13"/>
  <c r="R67" i="13"/>
  <c r="R56" i="13"/>
  <c r="Q55" i="13"/>
  <c r="J49" i="13"/>
  <c r="M49" i="13"/>
  <c r="N49" i="13" s="1"/>
  <c r="I15" i="13"/>
  <c r="M15" i="13" s="1"/>
  <c r="J80" i="13"/>
  <c r="F77" i="13"/>
  <c r="J68" i="13"/>
  <c r="U64" i="13"/>
  <c r="V64" i="13" s="1"/>
  <c r="R59" i="13"/>
  <c r="R54" i="13"/>
  <c r="I44" i="13"/>
  <c r="J40" i="13"/>
  <c r="R35" i="13"/>
  <c r="R17" i="13"/>
  <c r="Q15" i="13"/>
  <c r="U17" i="13"/>
  <c r="V17" i="13" s="1"/>
  <c r="M12" i="13"/>
  <c r="U12" i="13" s="1"/>
  <c r="V12" i="13" s="1"/>
  <c r="I11" i="13"/>
  <c r="M11" i="13" s="1"/>
  <c r="Q79" i="13"/>
  <c r="Q75" i="13"/>
  <c r="Q63" i="13"/>
  <c r="J56" i="13"/>
  <c r="I55" i="13"/>
  <c r="M56" i="13"/>
  <c r="N56" i="13" s="1"/>
  <c r="J29" i="13"/>
  <c r="M29" i="13"/>
  <c r="U29" i="13" s="1"/>
  <c r="V29" i="13" s="1"/>
  <c r="I27" i="13"/>
  <c r="M27" i="13" s="1"/>
  <c r="U27" i="13" s="1"/>
  <c r="V27" i="13" s="1"/>
  <c r="J54" i="13"/>
  <c r="M54" i="13"/>
  <c r="N54" i="13" s="1"/>
  <c r="I47" i="13"/>
  <c r="J34" i="13"/>
  <c r="M34" i="13"/>
  <c r="U34" i="13" s="1"/>
  <c r="V34" i="13" s="1"/>
  <c r="U25" i="13"/>
  <c r="V25" i="13" s="1"/>
  <c r="F25" i="13"/>
  <c r="E23" i="13"/>
  <c r="F23" i="13" s="1"/>
  <c r="U22" i="13"/>
  <c r="V22" i="13" s="1"/>
  <c r="U21" i="13"/>
  <c r="V21" i="13" s="1"/>
  <c r="M60" i="13"/>
  <c r="N60" i="13" s="1"/>
  <c r="E59" i="13"/>
  <c r="M52" i="13"/>
  <c r="N52" i="13" s="1"/>
  <c r="Q51" i="13"/>
  <c r="I51" i="13"/>
  <c r="M50" i="13"/>
  <c r="N50" i="13" s="1"/>
  <c r="F49" i="13"/>
  <c r="E40" i="13"/>
  <c r="M38" i="13"/>
  <c r="N38" i="13" s="1"/>
  <c r="M33" i="13"/>
  <c r="U33" i="13" s="1"/>
  <c r="V33" i="13" s="1"/>
  <c r="I31" i="13"/>
  <c r="M31" i="13" s="1"/>
  <c r="M28" i="13"/>
  <c r="U28" i="13" s="1"/>
  <c r="V28" i="13" s="1"/>
  <c r="R25" i="13"/>
  <c r="M24" i="13"/>
  <c r="Q19" i="13"/>
  <c r="J60" i="13"/>
  <c r="F53" i="13"/>
  <c r="R38" i="13"/>
  <c r="J24" i="13"/>
  <c r="U43" i="13"/>
  <c r="M42" i="13"/>
  <c r="F18" i="12"/>
  <c r="F17" i="11"/>
  <c r="E45" i="11"/>
  <c r="F18" i="11"/>
  <c r="F9" i="11"/>
  <c r="E17" i="10"/>
  <c r="F17" i="10" s="1"/>
  <c r="E9" i="10"/>
  <c r="F54" i="10"/>
  <c r="E7" i="9"/>
  <c r="F7" i="9" s="1"/>
  <c r="F8" i="9"/>
  <c r="I51" i="2"/>
  <c r="E29" i="9"/>
  <c r="F29" i="9" s="1"/>
  <c r="E23" i="9"/>
  <c r="G10" i="8"/>
  <c r="G84" i="8"/>
  <c r="O11" i="7"/>
  <c r="I29" i="7"/>
  <c r="E29" i="7"/>
  <c r="H17" i="7"/>
  <c r="E32" i="2"/>
  <c r="D32" i="2" s="1"/>
  <c r="F34" i="2"/>
  <c r="E34" i="2" s="1"/>
  <c r="D69" i="2"/>
  <c r="E63" i="2"/>
  <c r="D47" i="2"/>
  <c r="D24" i="2"/>
  <c r="C34" i="2"/>
  <c r="D75" i="2"/>
  <c r="C63" i="2"/>
  <c r="D53" i="2"/>
  <c r="D33" i="2"/>
  <c r="E61" i="2"/>
  <c r="D61" i="2" s="1"/>
  <c r="F56" i="2"/>
  <c r="B34" i="2"/>
  <c r="B57" i="2" s="1"/>
  <c r="C78" i="2"/>
  <c r="B63" i="2"/>
  <c r="H69" i="1"/>
  <c r="H35" i="1"/>
  <c r="H100" i="1"/>
  <c r="H42" i="1"/>
  <c r="H104" i="1"/>
  <c r="H73" i="1"/>
  <c r="H89" i="1"/>
  <c r="H75" i="1"/>
  <c r="H47" i="1"/>
  <c r="H36" i="1"/>
  <c r="G29" i="1"/>
  <c r="G142" i="1"/>
  <c r="H142" i="1" s="1"/>
  <c r="G22" i="1"/>
  <c r="H105" i="1"/>
  <c r="H101" i="1"/>
  <c r="G10" i="1"/>
  <c r="G151" i="1"/>
  <c r="H151" i="1" s="1"/>
  <c r="H82" i="1"/>
  <c r="E39" i="13" l="1"/>
  <c r="U70" i="13"/>
  <c r="V70" i="13" s="1"/>
  <c r="U72" i="13"/>
  <c r="V72" i="13" s="1"/>
  <c r="U11" i="13"/>
  <c r="V11" i="13" s="1"/>
  <c r="F52" i="10"/>
  <c r="R11" i="13"/>
  <c r="U67" i="13"/>
  <c r="U74" i="13"/>
  <c r="V74" i="13" s="1"/>
  <c r="U26" i="13"/>
  <c r="V26" i="13" s="1"/>
  <c r="U48" i="13"/>
  <c r="V48" i="13" s="1"/>
  <c r="Y46" i="18"/>
  <c r="U21" i="18"/>
  <c r="W81" i="18"/>
  <c r="Y81" i="18" s="1"/>
  <c r="Y66" i="18"/>
  <c r="U70" i="18"/>
  <c r="X70" i="18"/>
  <c r="Y70" i="18" s="1"/>
  <c r="X63" i="18"/>
  <c r="Y63" i="18" s="1"/>
  <c r="U63" i="18"/>
  <c r="Y20" i="18"/>
  <c r="U72" i="18"/>
  <c r="X72" i="18"/>
  <c r="Y72" i="18" s="1"/>
  <c r="U69" i="18"/>
  <c r="U52" i="18"/>
  <c r="X52" i="18"/>
  <c r="Y52" i="18" s="1"/>
  <c r="U49" i="18"/>
  <c r="X49" i="18"/>
  <c r="Y49" i="18" s="1"/>
  <c r="G82" i="8"/>
  <c r="G73" i="8"/>
  <c r="F9" i="8"/>
  <c r="K15" i="14" s="1"/>
  <c r="K16" i="14" s="1"/>
  <c r="E18" i="14" s="1"/>
  <c r="G9" i="8"/>
  <c r="E28" i="14"/>
  <c r="E78" i="2"/>
  <c r="C56" i="2"/>
  <c r="D34" i="2"/>
  <c r="O29" i="7"/>
  <c r="E19" i="11"/>
  <c r="F19" i="11" s="1"/>
  <c r="U81" i="13"/>
  <c r="V81" i="13" s="1"/>
  <c r="U49" i="13"/>
  <c r="V49" i="13" s="1"/>
  <c r="U77" i="13"/>
  <c r="V77" i="13" s="1"/>
  <c r="U60" i="13"/>
  <c r="V60" i="13" s="1"/>
  <c r="U37" i="13"/>
  <c r="V37" i="13" s="1"/>
  <c r="U20" i="13"/>
  <c r="V20" i="13" s="1"/>
  <c r="N20" i="13"/>
  <c r="Q39" i="13"/>
  <c r="Q45" i="13" s="1"/>
  <c r="R45" i="13" s="1"/>
  <c r="U82" i="13"/>
  <c r="V82" i="13" s="1"/>
  <c r="N53" i="13"/>
  <c r="U53" i="13"/>
  <c r="V53" i="13" s="1"/>
  <c r="U57" i="13"/>
  <c r="V57" i="13" s="1"/>
  <c r="N61" i="13"/>
  <c r="U61" i="13"/>
  <c r="V61" i="13" s="1"/>
  <c r="N76" i="13"/>
  <c r="U76" i="13"/>
  <c r="V76" i="13" s="1"/>
  <c r="E38" i="14"/>
  <c r="G78" i="1"/>
  <c r="H78" i="1" s="1"/>
  <c r="E40" i="19"/>
  <c r="BI84" i="19"/>
  <c r="F84" i="19"/>
  <c r="C40" i="19"/>
  <c r="BG84" i="19"/>
  <c r="AC40" i="19"/>
  <c r="AD84" i="19"/>
  <c r="AW40" i="19"/>
  <c r="AX84" i="19"/>
  <c r="H40" i="19"/>
  <c r="BH84" i="19"/>
  <c r="U40" i="19"/>
  <c r="V84" i="19"/>
  <c r="BA40" i="19"/>
  <c r="BB84" i="19"/>
  <c r="X50" i="18"/>
  <c r="BE38" i="19"/>
  <c r="BF40" i="19"/>
  <c r="D42" i="19"/>
  <c r="M40" i="19"/>
  <c r="N84" i="19"/>
  <c r="AS40" i="19"/>
  <c r="AT84" i="19"/>
  <c r="J84" i="19"/>
  <c r="AK40" i="19"/>
  <c r="AL84" i="19"/>
  <c r="AO38" i="19"/>
  <c r="AP40" i="19"/>
  <c r="Q40" i="19"/>
  <c r="R84" i="19"/>
  <c r="V82" i="18"/>
  <c r="W82" i="18"/>
  <c r="AG40" i="19"/>
  <c r="AH84" i="19"/>
  <c r="I38" i="19"/>
  <c r="J40" i="19"/>
  <c r="X38" i="19"/>
  <c r="Z40" i="19"/>
  <c r="H40" i="18"/>
  <c r="W50" i="18"/>
  <c r="U50" i="18"/>
  <c r="K38" i="18"/>
  <c r="M82" i="18"/>
  <c r="U56" i="18"/>
  <c r="X56" i="18"/>
  <c r="Y56" i="18" s="1"/>
  <c r="R36" i="18"/>
  <c r="C40" i="18"/>
  <c r="X42" i="18"/>
  <c r="Y42" i="18" s="1"/>
  <c r="U42" i="18"/>
  <c r="X82" i="18"/>
  <c r="U82" i="18"/>
  <c r="U37" i="18"/>
  <c r="X37" i="18"/>
  <c r="Y37" i="18" s="1"/>
  <c r="U46" i="18"/>
  <c r="U47" i="18"/>
  <c r="X47" i="18"/>
  <c r="Y47" i="18" s="1"/>
  <c r="U55" i="18"/>
  <c r="X55" i="18"/>
  <c r="Y55" i="18" s="1"/>
  <c r="G38" i="18"/>
  <c r="I82" i="18"/>
  <c r="U43" i="18"/>
  <c r="W43" i="18"/>
  <c r="Y43" i="18" s="1"/>
  <c r="T36" i="18"/>
  <c r="D40" i="18"/>
  <c r="T40" i="18" s="1"/>
  <c r="D40" i="17"/>
  <c r="BH40" i="17" s="1"/>
  <c r="BH36" i="17"/>
  <c r="AC38" i="17"/>
  <c r="AD82" i="17"/>
  <c r="BH82" i="17"/>
  <c r="E38" i="17"/>
  <c r="BI82" i="17"/>
  <c r="BJ82" i="17" s="1"/>
  <c r="F82" i="17"/>
  <c r="Y38" i="17"/>
  <c r="Z82" i="17"/>
  <c r="U38" i="17"/>
  <c r="V82" i="17"/>
  <c r="BA38" i="17"/>
  <c r="BB82" i="17"/>
  <c r="AO38" i="17"/>
  <c r="AP82" i="17"/>
  <c r="AK38" i="17"/>
  <c r="AL82" i="17"/>
  <c r="BG38" i="17"/>
  <c r="I38" i="17"/>
  <c r="J82" i="17"/>
  <c r="M38" i="17"/>
  <c r="N82" i="17"/>
  <c r="AS38" i="17"/>
  <c r="AT82" i="17"/>
  <c r="BJ66" i="17"/>
  <c r="BE38" i="17"/>
  <c r="BF82" i="17"/>
  <c r="BG36" i="17"/>
  <c r="C40" i="17"/>
  <c r="BG40" i="17" s="1"/>
  <c r="Q66" i="16"/>
  <c r="P82" i="16"/>
  <c r="T66" i="16"/>
  <c r="U66" i="16" s="1"/>
  <c r="D36" i="16"/>
  <c r="S38" i="16"/>
  <c r="S82" i="16"/>
  <c r="I36" i="16"/>
  <c r="H40" i="16"/>
  <c r="I40" i="16" s="1"/>
  <c r="M36" i="16"/>
  <c r="L40" i="16"/>
  <c r="M40" i="16" s="1"/>
  <c r="I82" i="16"/>
  <c r="I38" i="16"/>
  <c r="R36" i="16"/>
  <c r="C40" i="16"/>
  <c r="S36" i="16"/>
  <c r="J55" i="13"/>
  <c r="M55" i="13"/>
  <c r="N55" i="13" s="1"/>
  <c r="V43" i="13"/>
  <c r="U40" i="13"/>
  <c r="V40" i="13" s="1"/>
  <c r="U38" i="13"/>
  <c r="V38" i="13" s="1"/>
  <c r="U50" i="13"/>
  <c r="V50" i="13" s="1"/>
  <c r="U52" i="13"/>
  <c r="V52" i="13" s="1"/>
  <c r="R79" i="13"/>
  <c r="R15" i="13"/>
  <c r="U15" i="13"/>
  <c r="V15" i="13" s="1"/>
  <c r="J44" i="13"/>
  <c r="U56" i="13"/>
  <c r="V56" i="13" s="1"/>
  <c r="U73" i="13"/>
  <c r="V73" i="13" s="1"/>
  <c r="U78" i="13"/>
  <c r="V78" i="13" s="1"/>
  <c r="U19" i="13"/>
  <c r="V19" i="13" s="1"/>
  <c r="R19" i="13"/>
  <c r="E44" i="13"/>
  <c r="F44" i="13" s="1"/>
  <c r="F40" i="13"/>
  <c r="M51" i="13"/>
  <c r="N51" i="13" s="1"/>
  <c r="J51" i="13"/>
  <c r="F59" i="13"/>
  <c r="E83" i="13"/>
  <c r="U65" i="13"/>
  <c r="V65" i="13" s="1"/>
  <c r="U54" i="13"/>
  <c r="V54" i="13" s="1"/>
  <c r="R55" i="13"/>
  <c r="U55" i="13"/>
  <c r="M59" i="13"/>
  <c r="R31" i="13"/>
  <c r="U31" i="13"/>
  <c r="V31" i="13" s="1"/>
  <c r="R44" i="13"/>
  <c r="U44" i="13"/>
  <c r="N42" i="13"/>
  <c r="U86" i="13"/>
  <c r="F39" i="13"/>
  <c r="R75" i="13"/>
  <c r="V67" i="13"/>
  <c r="U24" i="13"/>
  <c r="V24" i="13" s="1"/>
  <c r="N24" i="13"/>
  <c r="R51" i="13"/>
  <c r="J47" i="13"/>
  <c r="M47" i="13"/>
  <c r="N47" i="13" s="1"/>
  <c r="R63" i="13"/>
  <c r="U63" i="13"/>
  <c r="M23" i="13"/>
  <c r="M40" i="13"/>
  <c r="N40" i="13" s="1"/>
  <c r="J71" i="13"/>
  <c r="M71" i="13"/>
  <c r="N71" i="13" s="1"/>
  <c r="I39" i="13"/>
  <c r="R47" i="13"/>
  <c r="Q83" i="13"/>
  <c r="R71" i="13"/>
  <c r="M75" i="13"/>
  <c r="N75" i="13" s="1"/>
  <c r="J75" i="13"/>
  <c r="M79" i="13"/>
  <c r="U79" i="13" s="1"/>
  <c r="I83" i="13"/>
  <c r="F45" i="11"/>
  <c r="E61" i="11"/>
  <c r="F50" i="10"/>
  <c r="E8" i="10"/>
  <c r="F8" i="10" s="1"/>
  <c r="F9" i="10"/>
  <c r="G134" i="1"/>
  <c r="F23" i="9"/>
  <c r="E22" i="9"/>
  <c r="M51" i="2"/>
  <c r="M56" i="2" s="1"/>
  <c r="M57" i="2" s="1"/>
  <c r="M80" i="2" s="1"/>
  <c r="I56" i="2"/>
  <c r="I57" i="2" s="1"/>
  <c r="I80" i="2" s="1"/>
  <c r="F96" i="8"/>
  <c r="O17" i="7"/>
  <c r="D78" i="2"/>
  <c r="D63" i="2"/>
  <c r="C57" i="2"/>
  <c r="B80" i="2"/>
  <c r="F57" i="2"/>
  <c r="H22" i="1"/>
  <c r="G9" i="1"/>
  <c r="H10" i="1"/>
  <c r="G28" i="1"/>
  <c r="H29" i="1"/>
  <c r="E30" i="14" l="1"/>
  <c r="R39" i="13"/>
  <c r="M44" i="13"/>
  <c r="N44" i="13" s="1"/>
  <c r="E40" i="14"/>
  <c r="AH40" i="19"/>
  <c r="AG38" i="19"/>
  <c r="AX40" i="19"/>
  <c r="AW38" i="19"/>
  <c r="I42" i="19"/>
  <c r="M38" i="19"/>
  <c r="N40" i="19"/>
  <c r="BA38" i="19"/>
  <c r="BB40" i="19"/>
  <c r="H38" i="19"/>
  <c r="J38" i="19" s="1"/>
  <c r="BH40" i="19"/>
  <c r="AD40" i="19"/>
  <c r="AC38" i="19"/>
  <c r="BJ84" i="19"/>
  <c r="Z38" i="19"/>
  <c r="X42" i="19"/>
  <c r="Z42" i="19" s="1"/>
  <c r="R40" i="19"/>
  <c r="Q38" i="19"/>
  <c r="AS38" i="19"/>
  <c r="AT40" i="19"/>
  <c r="U38" i="19"/>
  <c r="V40" i="19"/>
  <c r="BG40" i="19"/>
  <c r="V38" i="18" s="1"/>
  <c r="C38" i="19"/>
  <c r="Y50" i="18"/>
  <c r="AL40" i="19"/>
  <c r="AK38" i="19"/>
  <c r="Y82" i="18"/>
  <c r="AP38" i="19"/>
  <c r="AO42" i="19"/>
  <c r="AP42" i="19" s="1"/>
  <c r="BF38" i="19"/>
  <c r="BE42" i="19"/>
  <c r="BF42" i="19" s="1"/>
  <c r="BI40" i="19"/>
  <c r="F40" i="19"/>
  <c r="E38" i="19"/>
  <c r="G36" i="18"/>
  <c r="I38" i="18"/>
  <c r="S38" i="18"/>
  <c r="R40" i="18"/>
  <c r="K36" i="18"/>
  <c r="M38" i="18"/>
  <c r="I36" i="17"/>
  <c r="J38" i="17"/>
  <c r="BE36" i="17"/>
  <c r="BF38" i="17"/>
  <c r="U36" i="17"/>
  <c r="V38" i="17"/>
  <c r="AC36" i="17"/>
  <c r="AD38" i="17"/>
  <c r="M36" i="17"/>
  <c r="N38" i="17"/>
  <c r="BI38" i="17"/>
  <c r="BJ38" i="17" s="1"/>
  <c r="E36" i="17"/>
  <c r="F38" i="17"/>
  <c r="AS36" i="17"/>
  <c r="AT38" i="17"/>
  <c r="AO36" i="17"/>
  <c r="AP38" i="17"/>
  <c r="AK36" i="17"/>
  <c r="AL38" i="17"/>
  <c r="BA36" i="17"/>
  <c r="BB38" i="17"/>
  <c r="Y36" i="17"/>
  <c r="Z38" i="17"/>
  <c r="S40" i="16"/>
  <c r="R40" i="16"/>
  <c r="P38" i="16"/>
  <c r="Q82" i="16"/>
  <c r="T82" i="16"/>
  <c r="U82" i="16" s="1"/>
  <c r="D40" i="16"/>
  <c r="V79" i="13"/>
  <c r="V44" i="13"/>
  <c r="U47" i="13"/>
  <c r="U51" i="13"/>
  <c r="E45" i="13"/>
  <c r="F45" i="13" s="1"/>
  <c r="V55" i="13"/>
  <c r="F83" i="13"/>
  <c r="E89" i="13"/>
  <c r="F89" i="13" s="1"/>
  <c r="R83" i="13"/>
  <c r="Q89" i="13"/>
  <c r="V63" i="13"/>
  <c r="N59" i="13"/>
  <c r="U59" i="13"/>
  <c r="V86" i="13"/>
  <c r="U84" i="13"/>
  <c r="M83" i="13"/>
  <c r="N83" i="13" s="1"/>
  <c r="I89" i="13"/>
  <c r="J83" i="13"/>
  <c r="U71" i="13"/>
  <c r="M39" i="13"/>
  <c r="I45" i="13"/>
  <c r="J39" i="13"/>
  <c r="N23" i="13"/>
  <c r="U23" i="13"/>
  <c r="V23" i="13" s="1"/>
  <c r="U75" i="13"/>
  <c r="F61" i="11"/>
  <c r="E62" i="11"/>
  <c r="E67" i="10"/>
  <c r="G138" i="1"/>
  <c r="H134" i="1"/>
  <c r="E51" i="2"/>
  <c r="D51" i="2" s="1"/>
  <c r="F22" i="9"/>
  <c r="E35" i="9"/>
  <c r="E56" i="2"/>
  <c r="D56" i="2" s="1"/>
  <c r="G96" i="8"/>
  <c r="F99" i="8"/>
  <c r="C80" i="2"/>
  <c r="E57" i="2"/>
  <c r="D57" i="2" s="1"/>
  <c r="F80" i="2"/>
  <c r="H28" i="1"/>
  <c r="H9" i="1"/>
  <c r="G77" i="1"/>
  <c r="G116" i="1"/>
  <c r="F38" i="19" l="1"/>
  <c r="E42" i="19"/>
  <c r="BI38" i="19"/>
  <c r="BG38" i="19"/>
  <c r="V36" i="18" s="1"/>
  <c r="C42" i="19"/>
  <c r="BG42" i="19" s="1"/>
  <c r="V40" i="18" s="1"/>
  <c r="BB38" i="19"/>
  <c r="BA42" i="19"/>
  <c r="BB42" i="19" s="1"/>
  <c r="AH38" i="19"/>
  <c r="AG42" i="19"/>
  <c r="AH42" i="19" s="1"/>
  <c r="BJ40" i="19"/>
  <c r="X38" i="18"/>
  <c r="R38" i="19"/>
  <c r="Q42" i="19"/>
  <c r="R42" i="19" s="1"/>
  <c r="H42" i="19"/>
  <c r="BH42" i="19" s="1"/>
  <c r="BH38" i="19"/>
  <c r="N38" i="19"/>
  <c r="M42" i="19"/>
  <c r="N42" i="19" s="1"/>
  <c r="V38" i="19"/>
  <c r="U42" i="19"/>
  <c r="V42" i="19" s="1"/>
  <c r="AD38" i="19"/>
  <c r="AC42" i="19"/>
  <c r="AD42" i="19" s="1"/>
  <c r="AL38" i="19"/>
  <c r="AK42" i="19"/>
  <c r="AL42" i="19" s="1"/>
  <c r="AT38" i="19"/>
  <c r="AS42" i="19"/>
  <c r="AT42" i="19" s="1"/>
  <c r="AX38" i="19"/>
  <c r="AW42" i="19"/>
  <c r="AX42" i="19" s="1"/>
  <c r="G40" i="18"/>
  <c r="I36" i="18"/>
  <c r="S36" i="18"/>
  <c r="K40" i="18"/>
  <c r="M40" i="18" s="1"/>
  <c r="M36" i="18"/>
  <c r="W38" i="18"/>
  <c r="U38" i="18"/>
  <c r="BB36" i="17"/>
  <c r="BA40" i="17"/>
  <c r="BB40" i="17" s="1"/>
  <c r="F36" i="17"/>
  <c r="BI36" i="17"/>
  <c r="BJ36" i="17" s="1"/>
  <c r="E40" i="17"/>
  <c r="AD36" i="17"/>
  <c r="AC40" i="17"/>
  <c r="AD40" i="17" s="1"/>
  <c r="BF36" i="17"/>
  <c r="BE40" i="17"/>
  <c r="BF40" i="17" s="1"/>
  <c r="Z36" i="17"/>
  <c r="Y40" i="17"/>
  <c r="Z40" i="17" s="1"/>
  <c r="AL36" i="17"/>
  <c r="AK40" i="17"/>
  <c r="AL40" i="17" s="1"/>
  <c r="AT36" i="17"/>
  <c r="AS40" i="17"/>
  <c r="AT40" i="17" s="1"/>
  <c r="AP36" i="17"/>
  <c r="AO40" i="17"/>
  <c r="AP40" i="17" s="1"/>
  <c r="N36" i="17"/>
  <c r="M40" i="17"/>
  <c r="N40" i="17" s="1"/>
  <c r="V36" i="17"/>
  <c r="U40" i="17"/>
  <c r="V40" i="17" s="1"/>
  <c r="J36" i="17"/>
  <c r="I40" i="17"/>
  <c r="J40" i="17" s="1"/>
  <c r="P36" i="16"/>
  <c r="Q38" i="16"/>
  <c r="T38" i="16"/>
  <c r="U38" i="16" s="1"/>
  <c r="V71" i="13"/>
  <c r="J89" i="13"/>
  <c r="M89" i="13"/>
  <c r="V59" i="13"/>
  <c r="R89" i="13"/>
  <c r="V51" i="13"/>
  <c r="V84" i="13"/>
  <c r="U88" i="13"/>
  <c r="V88" i="13" s="1"/>
  <c r="V75" i="13"/>
  <c r="M45" i="13"/>
  <c r="N45" i="13" s="1"/>
  <c r="J45" i="13"/>
  <c r="N39" i="13"/>
  <c r="U39" i="13"/>
  <c r="U83" i="13"/>
  <c r="V47" i="13"/>
  <c r="F62" i="11"/>
  <c r="H138" i="1"/>
  <c r="G129" i="1"/>
  <c r="F67" i="10"/>
  <c r="F35" i="9"/>
  <c r="E80" i="2"/>
  <c r="G122" i="1"/>
  <c r="H116" i="1"/>
  <c r="G97" i="1"/>
  <c r="H77" i="1"/>
  <c r="Y38" i="18" l="1"/>
  <c r="F42" i="19"/>
  <c r="BI42" i="19"/>
  <c r="J42" i="19"/>
  <c r="BJ38" i="19"/>
  <c r="X36" i="18"/>
  <c r="W36" i="18"/>
  <c r="U36" i="18"/>
  <c r="I40" i="18"/>
  <c r="S40" i="18"/>
  <c r="F40" i="17"/>
  <c r="BI40" i="17"/>
  <c r="BJ40" i="17" s="1"/>
  <c r="Q36" i="16"/>
  <c r="P40" i="16"/>
  <c r="T36" i="16"/>
  <c r="U36" i="16" s="1"/>
  <c r="V39" i="13"/>
  <c r="U45" i="13"/>
  <c r="V83" i="13"/>
  <c r="U89" i="13"/>
  <c r="N89" i="13"/>
  <c r="H129" i="1"/>
  <c r="G150" i="1"/>
  <c r="D80" i="2"/>
  <c r="H122" i="1"/>
  <c r="H97" i="1"/>
  <c r="Y36" i="18" l="1"/>
  <c r="BJ42" i="19"/>
  <c r="X40" i="18"/>
  <c r="W40" i="18"/>
  <c r="Y40" i="18" s="1"/>
  <c r="U40" i="18"/>
  <c r="Q40" i="16"/>
  <c r="T40" i="16"/>
  <c r="U40" i="16" s="1"/>
  <c r="V45" i="13"/>
  <c r="U91" i="13"/>
  <c r="V89" i="13"/>
  <c r="G161" i="1"/>
  <c r="H150" i="1"/>
  <c r="G162" i="1" l="1"/>
  <c r="H161" i="1"/>
  <c r="H162" i="1" l="1"/>
</calcChain>
</file>

<file path=xl/comments1.xml><?xml version="1.0" encoding="utf-8"?>
<comments xmlns="http://schemas.openxmlformats.org/spreadsheetml/2006/main">
  <authors>
    <author>Katona-Berényiné Ferencz Krisztina</author>
  </authors>
  <commentList>
    <comment ref="K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KLKS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KLKS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7" authorId="0">
      <text>
        <r>
          <rPr>
            <b/>
            <sz val="9"/>
            <color indexed="81"/>
            <rFont val="Tahoma"/>
            <family val="2"/>
            <charset val="238"/>
          </rPr>
          <t>lakás tám.,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KLKS, adomány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gyermekétkeztetés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<sst xmlns="http://schemas.openxmlformats.org/spreadsheetml/2006/main" count="1851" uniqueCount="879">
  <si>
    <t>Intézményfinanszírozás</t>
  </si>
  <si>
    <t xml:space="preserve">Tájékoztató jelleggel </t>
  </si>
  <si>
    <t>többlet/ hiány</t>
  </si>
  <si>
    <t>KÖLTSÉGVETÉSI ÉS FINANSZÍROZÁSI KIADÁSOK ÖSSZESEN (D. (I-IX)+E./X)</t>
  </si>
  <si>
    <t>F.</t>
  </si>
  <si>
    <t>Pénzeszközök betétként elhelyezése</t>
  </si>
  <si>
    <t>Befektetési célú értékpapírok beváltása</t>
  </si>
  <si>
    <t>Befektetési célú értékpapírok vásárlása</t>
  </si>
  <si>
    <t>Forgatási célú  értékpapírok beváltása</t>
  </si>
  <si>
    <t>Forgatási célú értékpapírok vásárlása</t>
  </si>
  <si>
    <t>Rövid lejáratú hitelek, kölcsönök törlesztése</t>
  </si>
  <si>
    <t xml:space="preserve">Likviditási célú hitelek, kölcsönök törlesztése </t>
  </si>
  <si>
    <t>Hitel-, kölcsöntörlesztés</t>
  </si>
  <si>
    <t xml:space="preserve"> - 2021. évi államháztartáson belüli megelőlegezés visszafizetése</t>
  </si>
  <si>
    <t>Finanszírozási kiadások összesen</t>
  </si>
  <si>
    <t>K9</t>
  </si>
  <si>
    <t>E./X.</t>
  </si>
  <si>
    <t>Költségvetési kiadások összesen  ( I-IX.)</t>
  </si>
  <si>
    <t>D.</t>
  </si>
  <si>
    <t>Egyéb felhalmozási célú támogatások államháztartáson kívülre</t>
  </si>
  <si>
    <t>Felhalmozási célú visszatérítendő támogatások, kölcsönök nyújtása államháztartáson kívülre</t>
  </si>
  <si>
    <t>Felhalmozási célú garancia- és kezességvállalásból származó kifizetés államháztartáson kívülre</t>
  </si>
  <si>
    <t>Egyéb felhalmozási célú támogatások államháztartáson belülre</t>
  </si>
  <si>
    <t>Felhalmozási célú visszatérítendő támogatások, kölcsönök törlesztése államháztartáson belülre</t>
  </si>
  <si>
    <t>Felhalmozási célú visszatérítendő támogatások, kölcsönök nyújtása államháztartáson belülre</t>
  </si>
  <si>
    <t>Felhalmozási célú garancia- és kezességvállalásból származó kifizetés államháztartáson belülre</t>
  </si>
  <si>
    <t>Egyéb felhalmozási célú kiadások</t>
  </si>
  <si>
    <t>K8</t>
  </si>
  <si>
    <t>IX.</t>
  </si>
  <si>
    <t>Felújítások</t>
  </si>
  <si>
    <t>K71</t>
  </si>
  <si>
    <t>VIII.</t>
  </si>
  <si>
    <t>Beruházások</t>
  </si>
  <si>
    <t>K61</t>
  </si>
  <si>
    <t>VII.</t>
  </si>
  <si>
    <t>Tartalékok</t>
  </si>
  <si>
    <t>K513</t>
  </si>
  <si>
    <t>VI.</t>
  </si>
  <si>
    <t>Egyéb működési célú támogatások államháztartáson kívülre</t>
  </si>
  <si>
    <t>Kamattámogatások</t>
  </si>
  <si>
    <t>Működési célú visszatérítendő támogatások, kölcsönök nyújtása államháztartáson kívülre</t>
  </si>
  <si>
    <t>Működési célú garancia- és kezességvállalásból származó kifizetés államháztartáson kívülre</t>
  </si>
  <si>
    <t>Egyéb működési célú támogatások államháztartáson belülre</t>
  </si>
  <si>
    <t>Működési célú visszatérítendő támogatások, kölcsönök törlesztése államháztartáson belülre</t>
  </si>
  <si>
    <t>Működési célú visszatérítendő támogatások, kölcsönök nyújtása államháztartáson belülre</t>
  </si>
  <si>
    <t>Működési célú garancia- és kezességvállalásból származó kifizetés államháztartáson belülre</t>
  </si>
  <si>
    <t>Elvonások és befizetések</t>
  </si>
  <si>
    <t>Egyéb működési célú kiadások</t>
  </si>
  <si>
    <t>K5</t>
  </si>
  <si>
    <t>V.</t>
  </si>
  <si>
    <t>Ellátottak pénzbeli juttatásai</t>
  </si>
  <si>
    <t>K4</t>
  </si>
  <si>
    <t>IV.</t>
  </si>
  <si>
    <t>Dologi kiadások</t>
  </si>
  <si>
    <t>K3</t>
  </si>
  <si>
    <t>III.</t>
  </si>
  <si>
    <t>Munkaadókat terhelő járulékok és szociális hozzájárulási adó</t>
  </si>
  <si>
    <t>K2</t>
  </si>
  <si>
    <t>II.</t>
  </si>
  <si>
    <t>Személyi juttatások</t>
  </si>
  <si>
    <t>K1</t>
  </si>
  <si>
    <t>I.</t>
  </si>
  <si>
    <t>KIADÁSOK</t>
  </si>
  <si>
    <t>BEVÉTELEK ÉS FINANSZÍROZÁSI MŰVELETEK  ÖSSZESEN</t>
  </si>
  <si>
    <t>A.</t>
  </si>
  <si>
    <t>Fejlesztési célú hitel felvétele</t>
  </si>
  <si>
    <t>4.</t>
  </si>
  <si>
    <t>Fejlesztési  célú kötvény kibocsátás</t>
  </si>
  <si>
    <t xml:space="preserve">3. </t>
  </si>
  <si>
    <t>Forgatási célú értékpapír bevétele</t>
  </si>
  <si>
    <t>2.</t>
  </si>
  <si>
    <t>Működési célú hitel felvétele</t>
  </si>
  <si>
    <t>1.</t>
  </si>
  <si>
    <t>FINANSZÍROZÁSI MŰVELETEK</t>
  </si>
  <si>
    <t>BEVÉTELEK ÖSSZESEN</t>
  </si>
  <si>
    <t>Előző évek költségvetési tartalékának igénybevétele</t>
  </si>
  <si>
    <t>Előző évi tervezett pénzmaradvány igénybevétele</t>
  </si>
  <si>
    <t>Pénzforgalom nélküli bevételek</t>
  </si>
  <si>
    <t>Támogatási kölcsönök visszatérülése, igénybevétele, (munk. tám., helyi tám.)</t>
  </si>
  <si>
    <t>Felhalmozási célú pénzeszköz átvétel</t>
  </si>
  <si>
    <t>Működési célú pénzeszköz átvétel</t>
  </si>
  <si>
    <t>Véglegesen átvett pénzeszközök (Államháztartáson kívülről)</t>
  </si>
  <si>
    <t>TB Alaptól átvett pénzeszköz</t>
  </si>
  <si>
    <t>2.b</t>
  </si>
  <si>
    <t>Támogatásértékű felhalmozási bevétel</t>
  </si>
  <si>
    <t>2.a</t>
  </si>
  <si>
    <t>1.b</t>
  </si>
  <si>
    <t xml:space="preserve">Támogatásértékű működési bevétel </t>
  </si>
  <si>
    <t>1.a</t>
  </si>
  <si>
    <t>Támogatásértékű bevétel (Átvett pe. államháztartáson belülről)</t>
  </si>
  <si>
    <t xml:space="preserve">            c.)  Pénzügyi befektetések bevételei</t>
  </si>
  <si>
    <t>3.</t>
  </si>
  <si>
    <t xml:space="preserve">            b.)  Önkormányzatok sajátos felhalmozási és tőkebevételei</t>
  </si>
  <si>
    <t>Ebből: a.) Tárgyi eszközök és immateriális javak értékesítése</t>
  </si>
  <si>
    <t>Felhalmozási és tőke jellegű bevételek</t>
  </si>
  <si>
    <t>KÖLTSÉGVETÉSI ÉS FINANSZÍROZÁSI BEVÉTELEK  ÖSSZESEN ( A+B)</t>
  </si>
  <si>
    <t>C.</t>
  </si>
  <si>
    <t xml:space="preserve"> - TÖOSZ-től kapott támogatás Állatmentő Liga tevékenységének továbbfejlesztésére</t>
  </si>
  <si>
    <t xml:space="preserve">  - Pocityf "Okos Város"</t>
  </si>
  <si>
    <t xml:space="preserve"> - Önkormányzati étkeztetési fejlesztések támogatása - "Homoktővis Bölcsőde konyhafelújítás"</t>
  </si>
  <si>
    <t xml:space="preserve"> - 2021. évi államháztartáson belüli megelőlegezés</t>
  </si>
  <si>
    <t xml:space="preserve">  - Egészséges Budapest Program - eszközbeszerzés</t>
  </si>
  <si>
    <t xml:space="preserve"> - Egészséges Budapest Program</t>
  </si>
  <si>
    <t xml:space="preserve"> - Szabad maradvány igénybevétel</t>
  </si>
  <si>
    <t xml:space="preserve"> - MÁK pályázati számlák egyenlegének igénybevétele</t>
  </si>
  <si>
    <t>Betétek megszüntetése</t>
  </si>
  <si>
    <t>Maradvány igénybevétele</t>
  </si>
  <si>
    <t>1B813</t>
  </si>
  <si>
    <t>B813</t>
  </si>
  <si>
    <t xml:space="preserve"> ebből: Áthúzódó kötelezettségvállalások miatt forgatási célú 
    értékpapír igénybevétele</t>
  </si>
  <si>
    <t>Befektetési célú belföldi értékpapírok kibocsátása</t>
  </si>
  <si>
    <t>Befektetési célú értékpapírok beváltása, értékesítése</t>
  </si>
  <si>
    <t>Forgatási célú értékpapírok kibocsátása</t>
  </si>
  <si>
    <t>Forgatási célú értékpapírok beváltása, értékesítése</t>
  </si>
  <si>
    <t>Rövid lejáratú hitelek, kölcsönök felvétele</t>
  </si>
  <si>
    <t xml:space="preserve">Likviditási célú hitelek, kölcsönök felvétele </t>
  </si>
  <si>
    <t>Hitel-, kölcsönfelvétel államháztartáson kívülről</t>
  </si>
  <si>
    <t>Finanszírozási bevételek összesen (I.+II.)</t>
  </si>
  <si>
    <t>B8</t>
  </si>
  <si>
    <t>B.</t>
  </si>
  <si>
    <t>Költségvetési bevételek összesen (I-VII)</t>
  </si>
  <si>
    <t>Egyéb felhalmozási célú átvett pénzeszközök</t>
  </si>
  <si>
    <t>1B75</t>
  </si>
  <si>
    <t>B75</t>
  </si>
  <si>
    <t xml:space="preserve">Felhalmozási célú visszatérítendő támogatások, kölcsönök visszatérülése </t>
  </si>
  <si>
    <t>1B72-1B74</t>
  </si>
  <si>
    <t>B72-B74</t>
  </si>
  <si>
    <t xml:space="preserve">Felhalmozási célú garancia- és kezességvállalásból származó megtérülések </t>
  </si>
  <si>
    <t>1B71</t>
  </si>
  <si>
    <t>B71</t>
  </si>
  <si>
    <t>Felhalmozási célú átvett pénzeszközök</t>
  </si>
  <si>
    <t>B7</t>
  </si>
  <si>
    <t>Egyéb működési célú átvett pénzeszközök</t>
  </si>
  <si>
    <t>1B61-1B65</t>
  </si>
  <si>
    <t>B61-B65</t>
  </si>
  <si>
    <t xml:space="preserve">Működési célú visszatérítendő támogatások, kölcsönök visszatérülése </t>
  </si>
  <si>
    <t xml:space="preserve">Működési célú garancia- és kezességvállalásból származó megtérülések </t>
  </si>
  <si>
    <t>Működési célú átvett pénzeszközök</t>
  </si>
  <si>
    <t>B6</t>
  </si>
  <si>
    <t>Részesedések megszűnéséhez kapcsolódó bevételek</t>
  </si>
  <si>
    <t>1B54</t>
  </si>
  <si>
    <t>B54</t>
  </si>
  <si>
    <t>Részesedések értékesítése</t>
  </si>
  <si>
    <t>1B53</t>
  </si>
  <si>
    <t>B53</t>
  </si>
  <si>
    <t>Egyéb tárgyi eszközök értékesítése</t>
  </si>
  <si>
    <t>1B52</t>
  </si>
  <si>
    <t>B52</t>
  </si>
  <si>
    <t>Ingatlanok értékesítése</t>
  </si>
  <si>
    <t>1B51</t>
  </si>
  <si>
    <t>B51</t>
  </si>
  <si>
    <t>Immateriális javak értékesítése</t>
  </si>
  <si>
    <t>Felhalmozási bevételek</t>
  </si>
  <si>
    <t>B5</t>
  </si>
  <si>
    <t>Egyéb működési bevételek</t>
  </si>
  <si>
    <t>1B411</t>
  </si>
  <si>
    <t>B411</t>
  </si>
  <si>
    <t>Biztosító által fizetett kártérítés</t>
  </si>
  <si>
    <t>1B410</t>
  </si>
  <si>
    <t>B410</t>
  </si>
  <si>
    <t>Egyéb pénzügyi műveletek bevételei</t>
  </si>
  <si>
    <t>1B409</t>
  </si>
  <si>
    <t>B409</t>
  </si>
  <si>
    <t>Kamatbevételek</t>
  </si>
  <si>
    <t>1B408</t>
  </si>
  <si>
    <t>B408</t>
  </si>
  <si>
    <t>Általános forgalmi adó visszatérítése</t>
  </si>
  <si>
    <t>1B407</t>
  </si>
  <si>
    <t>B407</t>
  </si>
  <si>
    <t>Kiszámlázott általános forgalmi adó</t>
  </si>
  <si>
    <t>1B406</t>
  </si>
  <si>
    <t>B406</t>
  </si>
  <si>
    <t>Ellátási díjak</t>
  </si>
  <si>
    <t>1B405</t>
  </si>
  <si>
    <t>B405</t>
  </si>
  <si>
    <t>Tulajdonosi bevételek</t>
  </si>
  <si>
    <t>1B404</t>
  </si>
  <si>
    <t>B404</t>
  </si>
  <si>
    <t>Közvetített szolgáltatások ellenértéke</t>
  </si>
  <si>
    <t>1B403</t>
  </si>
  <si>
    <t>B403</t>
  </si>
  <si>
    <t>Szolgáltatások ellenértéke</t>
  </si>
  <si>
    <t>1B402</t>
  </si>
  <si>
    <t>B402</t>
  </si>
  <si>
    <t>Készletértékesítés ellenértéke</t>
  </si>
  <si>
    <t>1B401</t>
  </si>
  <si>
    <t>B401</t>
  </si>
  <si>
    <t>Működési bevételek</t>
  </si>
  <si>
    <t>B4</t>
  </si>
  <si>
    <t>Egyéb bírságokat</t>
  </si>
  <si>
    <t>Önkormányzat által beszedett talajterhelési díj</t>
  </si>
  <si>
    <t>Helyi adópótlék, adóbírság</t>
  </si>
  <si>
    <t>Szabálysértési pénz- és helyszíni bírság és a közlekedési szabályszegések után kiszabott közigazgatási bírság</t>
  </si>
  <si>
    <t>Építésügyi bírság</t>
  </si>
  <si>
    <t>Egyéb települési adó</t>
  </si>
  <si>
    <t>Környezetvédelmi bírság</t>
  </si>
  <si>
    <t>Igazgatási szolgáltatási díj</t>
  </si>
  <si>
    <t>Egyéb közhatalmi bevételek</t>
  </si>
  <si>
    <t>1B36</t>
  </si>
  <si>
    <t>B36</t>
  </si>
  <si>
    <t>5.</t>
  </si>
  <si>
    <t>Tartózkodás után fizetett idegenforgalmi adó</t>
  </si>
  <si>
    <t>Egyéb áruhasználati és szolgáltatási adók</t>
  </si>
  <si>
    <t>1B355</t>
  </si>
  <si>
    <t>B355</t>
  </si>
  <si>
    <t>Gépjárműadó</t>
  </si>
  <si>
    <t>1B354</t>
  </si>
  <si>
    <t>B354</t>
  </si>
  <si>
    <t xml:space="preserve">         Ebből elhalasztott feltöltés</t>
  </si>
  <si>
    <t>Jövedéki adó</t>
  </si>
  <si>
    <t>B352</t>
  </si>
  <si>
    <t>Állandó jelleggel végzett iparűzési tevékenység után fizetett helyi iparűzési adó</t>
  </si>
  <si>
    <t>Értékesítési és forgalmi adók (iparűzési adó)</t>
  </si>
  <si>
    <t>1B351</t>
  </si>
  <si>
    <t>B351</t>
  </si>
  <si>
    <t>Luxusadó</t>
  </si>
  <si>
    <t xml:space="preserve">Magánszemélyek kommunális adója </t>
  </si>
  <si>
    <t>B 34116</t>
  </si>
  <si>
    <t>Telekadó</t>
  </si>
  <si>
    <t>B 34111</t>
  </si>
  <si>
    <t>Épület után fizetett idegenforgalmi adó</t>
  </si>
  <si>
    <t>Építményadó</t>
  </si>
  <si>
    <t>Vagyoni típusú adók</t>
  </si>
  <si>
    <t>1B34</t>
  </si>
  <si>
    <t>B34</t>
  </si>
  <si>
    <t>Közhatalmi bevételek</t>
  </si>
  <si>
    <t>B3</t>
  </si>
  <si>
    <t xml:space="preserve">Egyéb felhalmozási célú támogatások bevételei </t>
  </si>
  <si>
    <t>1B21-1B25</t>
  </si>
  <si>
    <t>B21-B25</t>
  </si>
  <si>
    <t xml:space="preserve">Felhalmozási célú visszatérítendő támogatások, kölcsönök igénybevétele </t>
  </si>
  <si>
    <t>Felhalmozási célú önkormányzati támogatások</t>
  </si>
  <si>
    <t>Felhalmozási célú támogatások államháztartáson belülről</t>
  </si>
  <si>
    <t>B2</t>
  </si>
  <si>
    <t xml:space="preserve">Egyéb működési célú támogatások bevételei </t>
  </si>
  <si>
    <t>1B13-1B16</t>
  </si>
  <si>
    <t>B13-B16</t>
  </si>
  <si>
    <t xml:space="preserve">Működési célú visszatérítendő támogatások, kölcsönök igénybevétele </t>
  </si>
  <si>
    <t>Elvonások és befizetések bevételei</t>
  </si>
  <si>
    <t>1B12</t>
  </si>
  <si>
    <t>B12</t>
  </si>
  <si>
    <t>Elszámolásból származó bevételek</t>
  </si>
  <si>
    <t>1B116</t>
  </si>
  <si>
    <t>B116</t>
  </si>
  <si>
    <t>1.6</t>
  </si>
  <si>
    <t>Működési célú költségvetési támogatások és kiegészítő támogatások</t>
  </si>
  <si>
    <t>1B115</t>
  </si>
  <si>
    <t>B115</t>
  </si>
  <si>
    <t>1.5</t>
  </si>
  <si>
    <t>Települési önkormányzatok kulturális feladatainak támogatása</t>
  </si>
  <si>
    <t>1B114</t>
  </si>
  <si>
    <t>B114</t>
  </si>
  <si>
    <t>1.4</t>
  </si>
  <si>
    <t>Települési önkormányzatok szociális, gyermekjóléti és gyermekétkeztetési feladatainak támogatása</t>
  </si>
  <si>
    <t>1B113</t>
  </si>
  <si>
    <t>B113</t>
  </si>
  <si>
    <t>1.3</t>
  </si>
  <si>
    <t>Települési önkormányzatok egyes köznevelési feladatainak támogatása</t>
  </si>
  <si>
    <t>1B112</t>
  </si>
  <si>
    <t>B112</t>
  </si>
  <si>
    <t>1.2</t>
  </si>
  <si>
    <t>Helyi önkormányzatok működésének általános támogatása</t>
  </si>
  <si>
    <t>1B111</t>
  </si>
  <si>
    <t>B111</t>
  </si>
  <si>
    <t>1.1</t>
  </si>
  <si>
    <t>Önkormányzatok működési támogatásai</t>
  </si>
  <si>
    <t>B11</t>
  </si>
  <si>
    <t>Működési célú támogatások áht-n belülről</t>
  </si>
  <si>
    <t>B1</t>
  </si>
  <si>
    <t>BEVÉTELEK</t>
  </si>
  <si>
    <t xml:space="preserve">1. </t>
  </si>
  <si>
    <t>Index (4/3)</t>
  </si>
  <si>
    <t>2021. évi I. mód.</t>
  </si>
  <si>
    <t>2021. évi eredeti</t>
  </si>
  <si>
    <t>2020. terv</t>
  </si>
  <si>
    <t>Megnevezés</t>
  </si>
  <si>
    <t>Sorszám</t>
  </si>
  <si>
    <t>adatok ezer forintban</t>
  </si>
  <si>
    <t xml:space="preserve">1.a számú melléklet </t>
  </si>
  <si>
    <t>Kerület összesen(I+II+III)</t>
  </si>
  <si>
    <t xml:space="preserve"> III.) Gazdasági Intézmény és a hozzá kapcsolódó költségvetési szervek összesen (A+B+C+D)</t>
  </si>
  <si>
    <t xml:space="preserve"> - önként vállalt feladatok:</t>
  </si>
  <si>
    <t xml:space="preserve"> - kötelező feladatok:</t>
  </si>
  <si>
    <t>D.) Gazdasági Intézmény Központ</t>
  </si>
  <si>
    <t>C.) Bölcsődei ellátás</t>
  </si>
  <si>
    <t>B.) Szociális ellátás</t>
  </si>
  <si>
    <t>A.) Óvodai ellátás</t>
  </si>
  <si>
    <t>Gazdasági Intézmény</t>
  </si>
  <si>
    <t xml:space="preserve"> II.) Polgármesteri Hivatal összesen (A+B+C)</t>
  </si>
  <si>
    <t xml:space="preserve"> C.) Pol.Hiv.önként vállalt feladatai</t>
  </si>
  <si>
    <t xml:space="preserve"> B.) Polg.Hiv.kötelező feladatai </t>
  </si>
  <si>
    <t xml:space="preserve"> A.) Polg.Hiv.államigazgatási feladatai</t>
  </si>
  <si>
    <t xml:space="preserve">Polgármesteri Hivatal </t>
  </si>
  <si>
    <t xml:space="preserve"> I.) Önkormányzat feladatai összesen (A+B)</t>
  </si>
  <si>
    <t xml:space="preserve"> B) Önként vállalt feladatok összesen:</t>
  </si>
  <si>
    <t>Áthúzodó kötelezettségvállalások</t>
  </si>
  <si>
    <t xml:space="preserve">     - Újpesti Pályázati Projektmenedzser Zrt.</t>
  </si>
  <si>
    <t xml:space="preserve">     - Újpesti Sajtó Szolgátató és Nonprofit Kft. </t>
  </si>
  <si>
    <t>Gazdasági szervezetek:</t>
  </si>
  <si>
    <t>Pályázatok</t>
  </si>
  <si>
    <t>Egyéb és ágazati tartlékok</t>
  </si>
  <si>
    <t>Csapadékvíz elvezetés</t>
  </si>
  <si>
    <t>Járóbeteg ellátás fejlesztése</t>
  </si>
  <si>
    <t>Támogatások, ösztöndíjak díjak</t>
  </si>
  <si>
    <t>Önk-i egyéb önként vállalt feladatok</t>
  </si>
  <si>
    <t>Szennyvízelvezetés és -kezelés</t>
  </si>
  <si>
    <t>Települési vízellátás</t>
  </si>
  <si>
    <t xml:space="preserve">Közvilágítás </t>
  </si>
  <si>
    <t>Erdőgazdálkodás</t>
  </si>
  <si>
    <t>Sportlétesítmény működtetése</t>
  </si>
  <si>
    <t>Sport és szabadidősport, kulturális rendezvények</t>
  </si>
  <si>
    <t>Média tevékenység (újság, honlap)</t>
  </si>
  <si>
    <t>Hulladékgazdálkodás és környezetvédelem</t>
  </si>
  <si>
    <t xml:space="preserve">Önként vállalt feladatok </t>
  </si>
  <si>
    <t xml:space="preserve"> A) Kötelező feladatok összesen:</t>
  </si>
  <si>
    <t>Újpesti Városgondnokság</t>
  </si>
  <si>
    <t>Újpesti Vagyonkezelő Zrt.</t>
  </si>
  <si>
    <t>Újpesti Eü.Szolg.Nonprofit Kft.</t>
  </si>
  <si>
    <t>Újpesti Kulturális Központ Nonprofit Kft.</t>
  </si>
  <si>
    <t>Államháztartáson belüli megelőlegezés visszafizetése</t>
  </si>
  <si>
    <t>Szolidaritási hozzájárulás</t>
  </si>
  <si>
    <t>Hosszabb időtart.közfogl.</t>
  </si>
  <si>
    <t>Önk-i egyéb vagyonnal való gazdálkodás</t>
  </si>
  <si>
    <t>Egyéb, jogszab.alapján kötelező feladat, üzemeltetési faladatok</t>
  </si>
  <si>
    <t>Nemzetiségek támogatása</t>
  </si>
  <si>
    <t xml:space="preserve">Sport és szabadidősport </t>
  </si>
  <si>
    <t>Saját tul.lakás- és helyiséggazdálkodás</t>
  </si>
  <si>
    <t>Hajléktalanná vált személyek ellátásának és rehabilitációjának, valamint a hajléktalanná válás megelőzésének biztosítása</t>
  </si>
  <si>
    <t>Szociális és gyermekjóléti szolgáltatások és ellátások</t>
  </si>
  <si>
    <t>Egészségügyi alapellátás, az egészséges életmód segítését célzó szolgáltatások</t>
  </si>
  <si>
    <t>Településrendezés, településfejlesztés</t>
  </si>
  <si>
    <t>Közterület-felügyelet</t>
  </si>
  <si>
    <t>Parkoltatás</t>
  </si>
  <si>
    <t>Helyi közutak, közterek és parkok kezelése, fejlesztése és üzemeltetése</t>
  </si>
  <si>
    <t xml:space="preserve">Kötelező feladatok </t>
  </si>
  <si>
    <t xml:space="preserve"> Önkormányzat</t>
  </si>
  <si>
    <t>Felhalm. célú</t>
  </si>
  <si>
    <t>Műk. célú</t>
  </si>
  <si>
    <t>Felhal. célú</t>
  </si>
  <si>
    <t>Felhalm. Bev.</t>
  </si>
  <si>
    <t>Előző évi mar. igénybev.</t>
  </si>
  <si>
    <t>Átvett pénzeszköz</t>
  </si>
  <si>
    <t>Támogatás Áht-n belülről</t>
  </si>
  <si>
    <t>Működési bevétel</t>
  </si>
  <si>
    <t>Összesen</t>
  </si>
  <si>
    <t>Különbözet ami kell még</t>
  </si>
  <si>
    <t>Költségvetési bevételi előirányzat</t>
  </si>
  <si>
    <t>2021 évi kiadási előirnyzat</t>
  </si>
  <si>
    <t>Kötelező feladatok
(Mötv. 23. § (5) bekezdés alapján)</t>
  </si>
  <si>
    <t>11. számú melléklet</t>
  </si>
  <si>
    <t xml:space="preserve"> </t>
  </si>
  <si>
    <t>2021. évi költségvetésének kiadási előirányzatai feladatonként</t>
  </si>
  <si>
    <t xml:space="preserve">     Összesen:</t>
  </si>
  <si>
    <t xml:space="preserve">Elektromos töltőállomások kialakítása </t>
  </si>
  <si>
    <t>Egyházak, civil szervezetek támogatása</t>
  </si>
  <si>
    <t>Társasházak felújítása</t>
  </si>
  <si>
    <t>Faültetés</t>
  </si>
  <si>
    <t>Járdák, játszóterek, parkok felújítása</t>
  </si>
  <si>
    <t>Szociális bérlakások, Fecske lakások felújítása</t>
  </si>
  <si>
    <t>Intézmények ( Óvodák, Bölcsödék, Szociális Intézmény) karbantartása</t>
  </si>
  <si>
    <t xml:space="preserve">Intézmények ( Óvodák, Bölcsödék, Szociális Intézmény) energetikai és egyéb felújításai </t>
  </si>
  <si>
    <t>Városüzemeltetési feladatok (kátyúzás, fasorok gondozása stb…)</t>
  </si>
  <si>
    <t>Nyugdíjasok támogatása</t>
  </si>
  <si>
    <t>Önkormányzati dolgozók évvégi jutalma</t>
  </si>
  <si>
    <t>Összeg</t>
  </si>
  <si>
    <t>Tervezett feladatok megnevezése</t>
  </si>
  <si>
    <t>12. számú melléklet</t>
  </si>
  <si>
    <t>Felújítási kiadások</t>
  </si>
  <si>
    <t>Beruházási kiadások</t>
  </si>
  <si>
    <t xml:space="preserve">Munkaadókat terhelő járulékok </t>
  </si>
  <si>
    <t>Kiadások</t>
  </si>
  <si>
    <t>Finanszírozási bevétel (elöző évi maradvány)</t>
  </si>
  <si>
    <t>Támogatás államháztartáson belülről - felhalmozási</t>
  </si>
  <si>
    <t>Saját forrás</t>
  </si>
  <si>
    <t>Bevétel</t>
  </si>
  <si>
    <t xml:space="preserve">  ebből önkormányzati hozzájárulás</t>
  </si>
  <si>
    <t>Munkaadókat terhelő járulékok</t>
  </si>
  <si>
    <t>Támogatás államháztartáson belülről -felhalmozási</t>
  </si>
  <si>
    <t>Klímatudatosság erősítése Újpesten
KEHOP-1.2.1-18-2018-00010</t>
  </si>
  <si>
    <t>Újpest kapuja térségmegújítási és városrehabilitációs projekt 
VEKOP-6.2.1-15-2016-00001</t>
  </si>
  <si>
    <t xml:space="preserve">   ebből önkormányzati hozzájárulás</t>
  </si>
  <si>
    <t>Kerékpárosbarát infrastrukturális fejlesztések 
VEKOP 5.3.1-15-2016-00008</t>
  </si>
  <si>
    <t>Következő évek előirányzata</t>
  </si>
  <si>
    <t>2021. évi előirányzat</t>
  </si>
  <si>
    <t>Tervezett költségvetési adatok</t>
  </si>
  <si>
    <t>Sorsz.</t>
  </si>
  <si>
    <t>10. számú melléklet</t>
  </si>
  <si>
    <t>Saját bevétel 50%-a:</t>
  </si>
  <si>
    <t>Kezességvállalásból eredő fizetési kötelezettségek</t>
  </si>
  <si>
    <t>Szerződésben kapott, legalább 365 nap időtartamú halasztott fizetés, részletfizetés, és a még ki nem fizetett ellenérték</t>
  </si>
  <si>
    <t>Visszavásárlási kötelezettség kikötésével megkötött adásvételi szerződés eladói félként történő megkötése a visszavásárlásig és a kikötött visszavásárlási ár</t>
  </si>
  <si>
    <t>Pénzügyi lízing lízingbevevői félként történő megkötése a futamidő alatt, és a szerződésben kikötött tőkerész hátralévő összege</t>
  </si>
  <si>
    <t>Váltó kibocsátása a beváltás napjáig</t>
  </si>
  <si>
    <t>Hitelviszonyt megtestesítő értékpapír forgalomba hazatala a beváltás napjáig, kamatozó érékkpapír esetén annak névértéke egyéb érékpapír esetén vételára</t>
  </si>
  <si>
    <t>Hitel, kölcsön felvétele, átvállalása a folyósítás napjától a végtörlesztés napjáig, és annak aktuális tőketartozása</t>
  </si>
  <si>
    <t>Adósságot keletkeztető ügyleteiből eredő fizetési kötelezettségei</t>
  </si>
  <si>
    <t>-</t>
  </si>
  <si>
    <t>Kezességvállalással kapcsolatos megtérülések</t>
  </si>
  <si>
    <t>Bírság, pótlék és díjbevétel</t>
  </si>
  <si>
    <t>Tárgyi eszköz és immateriális jószág, részvény, részesedés értékesítéséből származó bevétel</t>
  </si>
  <si>
    <t>Osztalék , koncessziós díj, hozambevétel</t>
  </si>
  <si>
    <t>Önkormányzati vagyon és vagyonértékű jog értékesítéséből és hasznosításából származó bevétel</t>
  </si>
  <si>
    <t>Helyi adóból származó bevétel</t>
  </si>
  <si>
    <t>2024. év várható 
terv szám</t>
  </si>
  <si>
    <t>2023.év várható 
terv szám</t>
  </si>
  <si>
    <t>2022. év várható 
terv szám</t>
  </si>
  <si>
    <t xml:space="preserve">2021. év </t>
  </si>
  <si>
    <t>Saját bevételek</t>
  </si>
  <si>
    <t>9. számú melléklet</t>
  </si>
  <si>
    <t>Székesdűlő útépítés</t>
  </si>
  <si>
    <t>UV Újpesti Vagyonkezelő Zrt.</t>
  </si>
  <si>
    <t>Társasház felújítási pályázatok</t>
  </si>
  <si>
    <t>Széleskörű aktív ellátást nyújtó esetlegesen súlyponti újpesti kórház létesítéséhez saját forrás biztosítása</t>
  </si>
  <si>
    <t xml:space="preserve">8.  számú melléklet </t>
  </si>
  <si>
    <t>KIADÁSOK ÖSSZESEN: (1+...+10)</t>
  </si>
  <si>
    <t>Finanszírozási kiadások</t>
  </si>
  <si>
    <t>10.</t>
  </si>
  <si>
    <t>9.</t>
  </si>
  <si>
    <t>8.</t>
  </si>
  <si>
    <t>7.</t>
  </si>
  <si>
    <t>6.</t>
  </si>
  <si>
    <t>K I A D Á S O K</t>
  </si>
  <si>
    <t>BEVÉTELEK ÖSSZESEN: (1+...+ 8)</t>
  </si>
  <si>
    <t>Finanszírozási bevételek</t>
  </si>
  <si>
    <t>B E V É T E L E K</t>
  </si>
  <si>
    <t>Mindösszesen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</si>
  <si>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</si>
  <si>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</si>
  <si>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</si>
  <si>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</si>
  <si>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</si>
  <si>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</si>
  <si>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</si>
  <si>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</si>
  <si>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</si>
  <si>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</si>
  <si>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</si>
  <si>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</si>
  <si>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Intézmény</t>
  </si>
  <si>
    <t>7.sz. melléklet</t>
  </si>
  <si>
    <t>ell.</t>
  </si>
  <si>
    <t>Tartalékok mindösszesen (A+B+C)</t>
  </si>
  <si>
    <t>1027/10045</t>
  </si>
  <si>
    <t>Újpesti Kulturális Központ Nonprofit Kft. tartalék kerete közszolgáltatási szerződés alapján</t>
  </si>
  <si>
    <t>1016/30023</t>
  </si>
  <si>
    <t>Intézményi felhalmozási tartalék</t>
  </si>
  <si>
    <t>1016/30021</t>
  </si>
  <si>
    <t>Káposztásmegyeri Családsegítő Központ</t>
  </si>
  <si>
    <t>1016/30022</t>
  </si>
  <si>
    <t>Káposztásmegyeri parkerdő I. ütem</t>
  </si>
  <si>
    <t>1018/30020</t>
  </si>
  <si>
    <t xml:space="preserve">Újpesti kórház létesítéséhez saját forrás </t>
  </si>
  <si>
    <t>1017/30018</t>
  </si>
  <si>
    <t>Egészséges Budapest Program</t>
  </si>
  <si>
    <t>1025/30003</t>
  </si>
  <si>
    <t>TRÖK Farkaserdő rendbetétele</t>
  </si>
  <si>
    <t>1003/30006</t>
  </si>
  <si>
    <t>Informatikai tartalék és pályázati önrészek</t>
  </si>
  <si>
    <t>1027/30005</t>
  </si>
  <si>
    <t>Szobor és emléktábla állítás</t>
  </si>
  <si>
    <t>1018/30004</t>
  </si>
  <si>
    <t>Helyi védett ingatlanok</t>
  </si>
  <si>
    <t xml:space="preserve">                 - Egyéb beruházási és felújítási tartalék</t>
  </si>
  <si>
    <t xml:space="preserve">   Ebből:  - Intézményi beruházási és felújítási tartalék</t>
  </si>
  <si>
    <t>1016/30001</t>
  </si>
  <si>
    <t>Beruházási és felújítási céltartalék</t>
  </si>
  <si>
    <t>Fejlesztési tartalékok (1+…+4)</t>
  </si>
  <si>
    <t>1005/1003308</t>
  </si>
  <si>
    <t xml:space="preserve">                  - Sport Alap</t>
  </si>
  <si>
    <t>1005/1003307</t>
  </si>
  <si>
    <t xml:space="preserve">                  - Civil keret</t>
  </si>
  <si>
    <t>1005/10036</t>
  </si>
  <si>
    <t xml:space="preserve">                  - Tehetséggondozási keret</t>
  </si>
  <si>
    <t>1026/1003306</t>
  </si>
  <si>
    <t xml:space="preserve">                  - Nemzetiségi keret</t>
  </si>
  <si>
    <t>1027/1003305</t>
  </si>
  <si>
    <t xml:space="preserve">                  - Közművelődési érdekeltségnővelő pályázat önrész</t>
  </si>
  <si>
    <t>1005/1003304</t>
  </si>
  <si>
    <t xml:space="preserve">                  - Nyári tábor és erdei iskolák támogatása</t>
  </si>
  <si>
    <t>1005/1003302</t>
  </si>
  <si>
    <t xml:space="preserve">                  - Gyermekvédelmi keret</t>
  </si>
  <si>
    <t>1005/1003301</t>
  </si>
  <si>
    <t xml:space="preserve">     Ebből: - DÖK támogatás</t>
  </si>
  <si>
    <t>Közművelődési, Oktatási Bizottsági céltartalék</t>
  </si>
  <si>
    <t>1005/10032</t>
  </si>
  <si>
    <t xml:space="preserve">TRÖK rendezvények </t>
  </si>
  <si>
    <t>1025/10031</t>
  </si>
  <si>
    <t>TRÖK keret</t>
  </si>
  <si>
    <t>1016/10051</t>
  </si>
  <si>
    <t>Pénzügyi és Költségvetési Bizottság kerete</t>
  </si>
  <si>
    <t>1026/10050</t>
  </si>
  <si>
    <t>Közbiztonsági Bizottság kerete</t>
  </si>
  <si>
    <t>1027/10049</t>
  </si>
  <si>
    <t>Közművelődési, Oktatási Bizottság kerete</t>
  </si>
  <si>
    <t>1014/10052</t>
  </si>
  <si>
    <t>Klíma-ésKörnyezetvédelmi Bizottság kerete</t>
  </si>
  <si>
    <t>1017/10027</t>
  </si>
  <si>
    <t>Népjóléti és Lakásügyi Bizottság kerete</t>
  </si>
  <si>
    <t>1016/10026</t>
  </si>
  <si>
    <t>Gazdasági és Tulajdonosi Bizottság  kerete</t>
  </si>
  <si>
    <t>1026/10025</t>
  </si>
  <si>
    <t>Városüzemeltetési és Városfejlesztési Bizottság kerete</t>
  </si>
  <si>
    <t>Bizottsági tartalékok (1+…+3)</t>
  </si>
  <si>
    <t>1016/10060</t>
  </si>
  <si>
    <t>Zárolt, egyensúlyi tartalék</t>
  </si>
  <si>
    <t>1014/10059</t>
  </si>
  <si>
    <t>Parkolási hatástanulmány készíttetése</t>
  </si>
  <si>
    <t>1026/10003</t>
  </si>
  <si>
    <t>Vis maior alap</t>
  </si>
  <si>
    <t xml:space="preserve">Koronavírus járvány megelőzésére tett intézkedések </t>
  </si>
  <si>
    <t>Polgármesteri hatáskör ellátásának tartalékkerete</t>
  </si>
  <si>
    <t>1014/10058</t>
  </si>
  <si>
    <t>Ez a Minimum program végrehajtása</t>
  </si>
  <si>
    <t>1026/10055</t>
  </si>
  <si>
    <t>Rendőrség, Tűzőrség, Mentőszolgálat kiváló dolgozóinak elimerése</t>
  </si>
  <si>
    <t>Közbiztonsági ágazati tartalék</t>
  </si>
  <si>
    <t>Lisztérzékenyek Érdekképviseletének Országos Egyesülete  támogatása</t>
  </si>
  <si>
    <t>Pocity - Okos város</t>
  </si>
  <si>
    <t>1017/10047</t>
  </si>
  <si>
    <t>Károlyi Kórház Semmelweis napi jutalom</t>
  </si>
  <si>
    <t>1016/10053</t>
  </si>
  <si>
    <t>NYÁRVÁRÓ PLUSZ - jutalom</t>
  </si>
  <si>
    <t>1017/10046</t>
  </si>
  <si>
    <t>Idősek számítástechnikai oktatása</t>
  </si>
  <si>
    <t>1017/10048</t>
  </si>
  <si>
    <t>Oltás támogatása</t>
  </si>
  <si>
    <t>1017/10057</t>
  </si>
  <si>
    <t>Szociális, egészségügyi ágazati monitoring</t>
  </si>
  <si>
    <t>1016/10052</t>
  </si>
  <si>
    <t>MEGBECSÜLÉS PLUSZ - nyugdíjasok támogatása</t>
  </si>
  <si>
    <t>1017/10001</t>
  </si>
  <si>
    <t>Egészségügyi és szociális ágazati tartalék</t>
  </si>
  <si>
    <t>1016/10014</t>
  </si>
  <si>
    <t>DHK díjtartozás</t>
  </si>
  <si>
    <t>1027/10013</t>
  </si>
  <si>
    <t>Könyvkiadás támogatása</t>
  </si>
  <si>
    <t>1005/30026</t>
  </si>
  <si>
    <t>UTE támogatás (utánpótlás+versenysport)</t>
  </si>
  <si>
    <t>1027/10007</t>
  </si>
  <si>
    <t>Sport támogatási keret</t>
  </si>
  <si>
    <t>1005/10023</t>
  </si>
  <si>
    <t>Tanoda Program támogatása</t>
  </si>
  <si>
    <t>Pótvizsga felkészítés</t>
  </si>
  <si>
    <t>Nyári napközis tábor helyszín biztosításának költségei</t>
  </si>
  <si>
    <t>1005/10021</t>
  </si>
  <si>
    <t>Nyári napközis tábor</t>
  </si>
  <si>
    <t>1005/10038</t>
  </si>
  <si>
    <t>Ovi - Sport Program</t>
  </si>
  <si>
    <t>1005/10011</t>
  </si>
  <si>
    <t>Diákcsere program</t>
  </si>
  <si>
    <t>1005/10039</t>
  </si>
  <si>
    <t>Testvértelepülési diáktábor</t>
  </si>
  <si>
    <t>1027/10035</t>
  </si>
  <si>
    <t>Bajnok terasz</t>
  </si>
  <si>
    <t>1027/10041</t>
  </si>
  <si>
    <t>Trianoni emlékév</t>
  </si>
  <si>
    <t>1027/10056</t>
  </si>
  <si>
    <t>Társadalmi párbeszéd</t>
  </si>
  <si>
    <t>1026/108052</t>
  </si>
  <si>
    <t>Testvérvárosi Kapcsolatok</t>
  </si>
  <si>
    <t>1017/10028</t>
  </si>
  <si>
    <t>Idősek hónapja</t>
  </si>
  <si>
    <t>1017/10030</t>
  </si>
  <si>
    <t>Szociális munka díj</t>
  </si>
  <si>
    <t>1017/10006</t>
  </si>
  <si>
    <t>Újpest Egészségéért Díj</t>
  </si>
  <si>
    <t>1027/10009</t>
  </si>
  <si>
    <t>Újpestért cím, díszpolgári cím</t>
  </si>
  <si>
    <t>Újpest gyermekeiért díj</t>
  </si>
  <si>
    <t>1027/10008</t>
  </si>
  <si>
    <t>Újpest kiváló tanulója</t>
  </si>
  <si>
    <t>1027/10019</t>
  </si>
  <si>
    <t>Karácsonyi vásár, szilveszter</t>
  </si>
  <si>
    <t>Családi Nap a Főtéren</t>
  </si>
  <si>
    <t>Borvíkend</t>
  </si>
  <si>
    <t>1027/10004</t>
  </si>
  <si>
    <t>Újpesti Városnapok</t>
  </si>
  <si>
    <t>Nevelési, oktatási intézmény ágazati tartaléka (kettős kifizetés, szabadságmegváltás, továbbképzés)</t>
  </si>
  <si>
    <t>1005/10002</t>
  </si>
  <si>
    <t xml:space="preserve">Intézményvezetők , pedagógusok továbbképzése és Újpesti óvopedagógiai nap </t>
  </si>
  <si>
    <t>1027/10043</t>
  </si>
  <si>
    <t>Kulturális ágazati tartalék keret (rendezvényre)</t>
  </si>
  <si>
    <t>1027/10010</t>
  </si>
  <si>
    <t>Kiemelt kulturális és oktatási tevékenység</t>
  </si>
  <si>
    <t>Újpesti Pályázati Projektmenedzser Zrt.tartalék kerete közszolgálatási szerződés alapján</t>
  </si>
  <si>
    <t>Újpesti Egészségügyi Szolgáltató Nonprofit Kft. Tartalék kerete</t>
  </si>
  <si>
    <t>1027/10044</t>
  </si>
  <si>
    <t>1027/10042</t>
  </si>
  <si>
    <t xml:space="preserve">Újpesti Sajtó Szolgátató és Nonprofit Kft. tartalék kerete </t>
  </si>
  <si>
    <t>10616/10054</t>
  </si>
  <si>
    <t>Újpesti Vagyonkezelő Zrt. tartalék kerete közszolgáltatási szerződés alapján</t>
  </si>
  <si>
    <t>1011/30025</t>
  </si>
  <si>
    <t>Újpesti Városgondnokság tartalék kerete  közszolgáltatási szerződés alapján</t>
  </si>
  <si>
    <t>Egyéb működési tartalék ( 1+….+42)</t>
  </si>
  <si>
    <t xml:space="preserve">I. </t>
  </si>
  <si>
    <t>Működési céltartalék ( I.+II.)</t>
  </si>
  <si>
    <t>1016/2000</t>
  </si>
  <si>
    <t>Általános tartalék</t>
  </si>
  <si>
    <t>Index</t>
  </si>
  <si>
    <t>2020. évi terv</t>
  </si>
  <si>
    <t>Kódok</t>
  </si>
  <si>
    <t>I.-II. Mindösszesen</t>
  </si>
  <si>
    <t>UV ZRt. 2019. évi előleg  visszatérítése</t>
  </si>
  <si>
    <t>Hárompontos Sport Kft. visszatérítendő támogatás visszafizetése (Követelés fenntartva)</t>
  </si>
  <si>
    <t>KLKS Basketball Kft. visszatérítendő támogatás visszafizetése</t>
  </si>
  <si>
    <t>Adomány Szakrendelő eszközbeszerzésére</t>
  </si>
  <si>
    <t>Dolgozóknak adott lakásvásárlási, lakásépítési kölcsönök visszatérülése</t>
  </si>
  <si>
    <t>Felhalmozási célú átvett pénzeszközök (1+….+3)</t>
  </si>
  <si>
    <t>VEKOP-6.2.1-15-2016-00001: "Újpest kapuja térségmegújítási és városrehabilitációs projekt”</t>
  </si>
  <si>
    <t>Kerékpárosbarát infrastrukturális fejlesztések - VEKOP 5.3.-1-15-2016-00008 - tartalékkeret</t>
  </si>
  <si>
    <t xml:space="preserve">Egészséges Budapest Program </t>
  </si>
  <si>
    <t>Térköz pályázat:" Innovatív közösségerősítés és életminőség javítás a Szilas Park komplex fejlesztésével"</t>
  </si>
  <si>
    <t>Térköz pályázat: "Találkozzunk többször új közösségi terek kialakítása a Szent István tér rehabilitációja során"</t>
  </si>
  <si>
    <t>Felhalmozási célú támogatások ÁH-n belülről (1+….+4)</t>
  </si>
  <si>
    <t>Felhalmozási célú bevételek (A.+B.)</t>
  </si>
  <si>
    <t>UV Újpesti Vagyonkezelő Zrt. - kompenzáció visszafizetése</t>
  </si>
  <si>
    <t>UKK Kft. - 2020. évi túlkompenzáció visszafizetése</t>
  </si>
  <si>
    <t>Újpesti Városgondnokság - előző évek kompenzációja</t>
  </si>
  <si>
    <t>Cseriti adományok</t>
  </si>
  <si>
    <t xml:space="preserve">Működési célú átvett pénzeszközök </t>
  </si>
  <si>
    <t>Bolgár Nemzetiségi Önkormányzatnak nyújtott támogatás visszafizetése</t>
  </si>
  <si>
    <t>Szerb Nemzetiségi Önkormányzatnak nyújtott támogatás visszafizetése</t>
  </si>
  <si>
    <t>Újpesti Görög Nemzetiségi Önkormányzatnak nyújtott támogatás visszafizetése</t>
  </si>
  <si>
    <t>Újpesti Német Nemzetiségi Önkormányzatnak nyújtott támogatás visszafizetése</t>
  </si>
  <si>
    <t>Újpesti Lengyel Nemzetiségi Önkormányzatnak nyújtott támogatás visszafizetése</t>
  </si>
  <si>
    <t>Klímatudatosság erősítése Újpesten -KEHOP-1.2.1-18-2018-00010</t>
  </si>
  <si>
    <t>Közhasznú foglalkoztatás</t>
  </si>
  <si>
    <t>Működési célú támogatások ÁH-n belülről (1+…8)</t>
  </si>
  <si>
    <t>Működési célú bevételek (A.+B.)</t>
  </si>
  <si>
    <t xml:space="preserve">5.b  számú melléklet </t>
  </si>
  <si>
    <t>Fővárosi Szabó Ervin Könyvtár támogatás</t>
  </si>
  <si>
    <t xml:space="preserve">Önkormányzati lakások felújítása </t>
  </si>
  <si>
    <t>Templomok felújítási keret</t>
  </si>
  <si>
    <t xml:space="preserve">Nyár Óvoda Ovi- Sport Pálya áttelepítése </t>
  </si>
  <si>
    <t>Bethlen Gábor Alapítvány támogatása</t>
  </si>
  <si>
    <t>Közvilágítás fejlesztések (BDK)</t>
  </si>
  <si>
    <t xml:space="preserve">Társasházak energetikai korszerűsítésének támogatása </t>
  </si>
  <si>
    <t>Újpesti Sajtó Nonprofit Kft. támogatása</t>
  </si>
  <si>
    <t>Újpesti Városgondnokság Kft. közszolgáltatási szerződés</t>
  </si>
  <si>
    <t>UV Zrt. Lekötött tartalékba befizetés</t>
  </si>
  <si>
    <t>UV Zrt. közszolgáltatási szerződés</t>
  </si>
  <si>
    <t>Dolgozóknak adott lakásvásárlási, lakásépítési kölcsönök</t>
  </si>
  <si>
    <t xml:space="preserve">Fiatal házasok lakáshoz jutási támogatás végleges jelleggel </t>
  </si>
  <si>
    <t>Önkormányzati lakásért fizetett pénzbeli térítés</t>
  </si>
  <si>
    <t>Egyéb felhalmozási célú kiadások ÁH-n kívülre (1+……+11)</t>
  </si>
  <si>
    <t>Egyéb felhalmozási célú kiadások ÁH-n belülre</t>
  </si>
  <si>
    <t>Egyéb felhalmozási célú kiadások (A.+B.)</t>
  </si>
  <si>
    <t>Víztorony pályázat díjazása</t>
  </si>
  <si>
    <t>Egyházak működési támogatása</t>
  </si>
  <si>
    <t>Járókelő közhasznú Egyesület</t>
  </si>
  <si>
    <t>Csibészek Fiatalokat Támogató Alapítvány támogatása</t>
  </si>
  <si>
    <t>UTE versenysport támogatása</t>
  </si>
  <si>
    <t>Kereskedelmi és Iparkamara támogatása</t>
  </si>
  <si>
    <t>Közterületi kamerarendszer magánterületen elhelyezett kameráinak üzemeltetéséhez nyújtott támogatás</t>
  </si>
  <si>
    <t>TÖOSZ-től kapott támogatás Állatmentő Liga tevékenységének támogatása</t>
  </si>
  <si>
    <t>Állatmentő Liga (állatmentő és természetvédelmi őrszolgálat) támogatása</t>
  </si>
  <si>
    <t>Kerületi komposztálási mintaprogram</t>
  </si>
  <si>
    <t>Twist Olivér Alapítvány (hajléktalanok nappali ellátása)</t>
  </si>
  <si>
    <t>Polgárőr szervezetek támogatása</t>
  </si>
  <si>
    <t>Rex Alapítvány támogatása</t>
  </si>
  <si>
    <t>Heureka Music Szimfonikusok támogatása</t>
  </si>
  <si>
    <t>MÁV Szimfonikusok támogatása</t>
  </si>
  <si>
    <t>Lepke Múzeum támogatása</t>
  </si>
  <si>
    <t>Helytörténeti Értesítő támogatása</t>
  </si>
  <si>
    <t>BEM Néptáncegyüttes támogatása</t>
  </si>
  <si>
    <t>Madárfészek Ökölvívó Akadémia Alapítvány támogatása</t>
  </si>
  <si>
    <t xml:space="preserve">ÚSC Városi Sportiskola támogatása </t>
  </si>
  <si>
    <t>Fővárosi Vízművek SK támogatása</t>
  </si>
  <si>
    <t>Újpesti Haladás FC támogatása</t>
  </si>
  <si>
    <t>Újpest-Megyeri Tigrisek Kosárlabda Klub támogatása</t>
  </si>
  <si>
    <t>Újpesti Pályázati Projektmenedzser Zrt. Közszolgáltatási szerződés</t>
  </si>
  <si>
    <t>Újpesti Egészségügyi Szolgáltató Nonprofit Kft. tám.</t>
  </si>
  <si>
    <t>UKK Nonprofit Kft. közszolgáltatási szerződés</t>
  </si>
  <si>
    <t>Egyéb működési célú kiadások ÁH-n kívülre (1+….+26)</t>
  </si>
  <si>
    <t>Bursa Hungarica -ösztöndíjak</t>
  </si>
  <si>
    <t>Károlyi Sándor Kórház támogatása</t>
  </si>
  <si>
    <t>Tűzőrség támogatása</t>
  </si>
  <si>
    <t>Rendőrség támogatása</t>
  </si>
  <si>
    <t xml:space="preserve">     - ebből: TANODA program</t>
  </si>
  <si>
    <t>1.1.</t>
  </si>
  <si>
    <t>Nemzetiségi Önkormányzatok támogatása</t>
  </si>
  <si>
    <t>Egyéb működési célú kiadások ÁH-n belülre (1+…+4)</t>
  </si>
  <si>
    <t>Egyéb működési célú kiadások (A.+B.)</t>
  </si>
  <si>
    <t xml:space="preserve">5.a  számú melléklet </t>
  </si>
  <si>
    <t>Beruházások mindösszesen: (A.+B.)</t>
  </si>
  <si>
    <t>Önkormányzat beruházási kiadásai összesen (1+…+20)</t>
  </si>
  <si>
    <t>Önkormányzati étkeztetési fejlesztések támogatás - Homoktővis Bölcsőde konyhafelújítás</t>
  </si>
  <si>
    <t>Okmányiroda (Budapest IV., István utca 15) hűtés szivattyú cseréje</t>
  </si>
  <si>
    <t>Káposztásmegyeri lakótelep KÉSZ módosítás 1.0-2.0</t>
  </si>
  <si>
    <t>Városközpont városnegyed KÉSZ módosítás 1.0</t>
  </si>
  <si>
    <t>Digitális ortofotó készítése Újpest közigazgatási területére</t>
  </si>
  <si>
    <t>Sportpálya építés, kültéri edzőeszközök telepítése</t>
  </si>
  <si>
    <t>Egészséges Budapest Program - eszközbeszerzés</t>
  </si>
  <si>
    <t xml:space="preserve">        b) Egyéb áthúzodó kötelezettségvállalások</t>
  </si>
  <si>
    <t>19.2</t>
  </si>
  <si>
    <t xml:space="preserve">                            -  projekt</t>
  </si>
  <si>
    <t>19.1.5</t>
  </si>
  <si>
    <t xml:space="preserve">                             - Bontás</t>
  </si>
  <si>
    <t>19.1.4</t>
  </si>
  <si>
    <t xml:space="preserve">                             -  Parképítés kiviteli tervek</t>
  </si>
  <si>
    <t>19.1.3</t>
  </si>
  <si>
    <t xml:space="preserve">                             - Energetikai tanusítványok, hatósági díjak</t>
  </si>
  <si>
    <t>19.1.2</t>
  </si>
  <si>
    <t xml:space="preserve">                              -  Kamerarendszer</t>
  </si>
  <si>
    <t>19.1.1</t>
  </si>
  <si>
    <t xml:space="preserve">         a)  VEKOP-6.2.1-15-2016-00001: "Újpest kapuja térségmegújítási és városrehabilitációs 
               projekt”</t>
  </si>
  <si>
    <t>19.1</t>
  </si>
  <si>
    <t>Kerékpárosbarát infrastrukturális fejlesztések - VEKOP 5.3.-1-15-2016-00008</t>
  </si>
  <si>
    <r>
      <t xml:space="preserve">TÉRKÖZ: Szent István tér rehabilitációja, "Találkozzunk többször új közösségi terek kialakítása a Szent István tér rehabilitációja során" pályázat megvalósítása - </t>
    </r>
    <r>
      <rPr>
        <i/>
        <sz val="11"/>
        <rFont val="Times New Roman"/>
        <family val="1"/>
        <charset val="238"/>
      </rPr>
      <t>Épület beruházás</t>
    </r>
  </si>
  <si>
    <r>
      <t xml:space="preserve">TÉRKÖZ: Szent István tér rehabilitációja, "Találkozzunk többször új közösségi terek kialakítása a Szent István tér rehabilitációja során" pályázat megvalósítása - </t>
    </r>
    <r>
      <rPr>
        <i/>
        <sz val="11"/>
        <rFont val="Times New Roman"/>
        <family val="1"/>
        <charset val="238"/>
      </rPr>
      <t>Parképítés</t>
    </r>
  </si>
  <si>
    <t>Szilágyi utcai sportfejlesztés - NFM</t>
  </si>
  <si>
    <t>Kutyafuttató építése</t>
  </si>
  <si>
    <t xml:space="preserve">Bontási munkák </t>
  </si>
  <si>
    <t>Polgármesteri Hivatal rekonstrukciója</t>
  </si>
  <si>
    <t>Nagyértékű eszközök beszerzése, tetőszerkezet javítása  közhasznú foglalkoztatottak részére</t>
  </si>
  <si>
    <t>Közterületi öntözőkutak építése</t>
  </si>
  <si>
    <t>Játszótéri és közterületi ivókutak</t>
  </si>
  <si>
    <t>Forgalomtechnika, Okos zebra, fekvőrendőrök építése</t>
  </si>
  <si>
    <t>Közvilágítás</t>
  </si>
  <si>
    <t>Parkoló építése</t>
  </si>
  <si>
    <t>Közműépítés</t>
  </si>
  <si>
    <t xml:space="preserve">                         - VEKOP-6.2.1-15-2016-00001: "Újpest kapuja térségmegújítási és  
                            városrehabilitációs projekt” - Parképítés</t>
  </si>
  <si>
    <t>4.7</t>
  </si>
  <si>
    <t xml:space="preserve">                         - Egyéb</t>
  </si>
  <si>
    <t>4.6</t>
  </si>
  <si>
    <t xml:space="preserve">                         - Árnyékoló, zöldfalak</t>
  </si>
  <si>
    <t>4.5</t>
  </si>
  <si>
    <t xml:space="preserve">                         - Óvoda udvar</t>
  </si>
  <si>
    <t>4.4</t>
  </si>
  <si>
    <t xml:space="preserve">                         - Faültetés</t>
  </si>
  <si>
    <t>4.3</t>
  </si>
  <si>
    <t xml:space="preserve">                         - TÉRKÖZ: Szilas park Multi Sportbázis</t>
  </si>
  <si>
    <t>4.2</t>
  </si>
  <si>
    <t xml:space="preserve">                         - Biodiverz zöldfelület kialakítása</t>
  </si>
  <si>
    <t>4.1</t>
  </si>
  <si>
    <t>Parképítés, fasor rehabilitáció</t>
  </si>
  <si>
    <t>Játszótéri eszközök beszerzése</t>
  </si>
  <si>
    <t>Járda és útépítés</t>
  </si>
  <si>
    <t>Tervezési díjak, műszaki ellenőrzések</t>
  </si>
  <si>
    <t>Inzézményi beruházás összesen ( I. + II.)</t>
  </si>
  <si>
    <t>Gazdasági Intézmény és intézményei beruházási keret</t>
  </si>
  <si>
    <t>Gazdasági Intézmény mindösszesen</t>
  </si>
  <si>
    <t>Meghibásodott térfigyelő kamera cseréje</t>
  </si>
  <si>
    <t>Fénymásolók, tervszerű selejtezéséből és új igényekből adódó vásárlás</t>
  </si>
  <si>
    <t xml:space="preserve">Számítógépek és monitorok  tervszerű selejtezéséből és új igényekből adódó vásárlás </t>
  </si>
  <si>
    <t>Szoftver vásárlás, fejlesztés</t>
  </si>
  <si>
    <t>Kisértékű, egyéb eszközök beszerzése</t>
  </si>
  <si>
    <t>Kisértékű informatikai eszközök beszerzése</t>
  </si>
  <si>
    <t>Hálózati rendszer fejlesztés</t>
  </si>
  <si>
    <t>Informatikai eszközök beszerzése</t>
  </si>
  <si>
    <t>Polgármesteri Hivatal összesen (1…+8)</t>
  </si>
  <si>
    <t xml:space="preserve">A   /2020. (II. ) önkormányzati rendelethez Budapest Főváros IV. kerület Újpest Önkormányzatának és önállóan működő és gazdálkodó intézményeinek beruházási kiadásai feladatonként </t>
  </si>
  <si>
    <t>2020. évi 
eredeti előirányzat</t>
  </si>
  <si>
    <t>4.számú melléklet</t>
  </si>
  <si>
    <t>Felújítások mindösszesen (A+B):</t>
  </si>
  <si>
    <t>Önkormányzati felújítás összesen (1+…+6)</t>
  </si>
  <si>
    <t>2020. évről áthúzodó kötelezettségvállalások</t>
  </si>
  <si>
    <t>Székesdűlő sor felújítása (tervezés)</t>
  </si>
  <si>
    <t>VEKOP-6.2.1-15-2016-00001: "Újpest kapuja térségmegújítási és városrehabilitációs projekt” - Aradi utcai Közösségi Ház felújítása</t>
  </si>
  <si>
    <t>VEKOP-6.2.1-15-2016-00001: "Újpest kapuja térségmegújítási és városrehabilitációs projekt” - Lakásfelújítás</t>
  </si>
  <si>
    <t>Utak és járdák felújítása</t>
  </si>
  <si>
    <t>Intézményi felújítás összesen (1+2)</t>
  </si>
  <si>
    <t>Polgármesteri Hivatal</t>
  </si>
  <si>
    <t xml:space="preserve">3. számú melléklet </t>
  </si>
  <si>
    <t>Költségvetési létszámkeret</t>
  </si>
  <si>
    <t>KIADÁSOK ÖSSZESEN: (B./I+B./II.)</t>
  </si>
  <si>
    <t>B./II</t>
  </si>
  <si>
    <t xml:space="preserve">    - önként vállalt feladatok</t>
  </si>
  <si>
    <t xml:space="preserve">    - kötelező feladat</t>
  </si>
  <si>
    <t xml:space="preserve">    - állami feladat</t>
  </si>
  <si>
    <t>Költségvetési kiadások összesen (1+2……+8)</t>
  </si>
  <si>
    <t>B./I</t>
  </si>
  <si>
    <t>BEVÉTELEK ÖSSZESEN: (A./I+A./II)</t>
  </si>
  <si>
    <t>Finanszírozási bevételek összesen</t>
  </si>
  <si>
    <t>A./II</t>
  </si>
  <si>
    <t>Költségvetési bevételek összesen (1+2……+7)</t>
  </si>
  <si>
    <t>A./I</t>
  </si>
  <si>
    <t>2020. évi eredeti</t>
  </si>
  <si>
    <t>Rovat megnevezése</t>
  </si>
  <si>
    <t>Kerületi szintű konszolidált főösszegek</t>
  </si>
  <si>
    <t>Intézmények összesen</t>
  </si>
  <si>
    <t>Gazdasági Intézmény és  intézményei</t>
  </si>
  <si>
    <t xml:space="preserve">2. számú melléklet </t>
  </si>
  <si>
    <t>Finanszírozási egyenleg</t>
  </si>
  <si>
    <t>Finanszírozási kiadások összesen:</t>
  </si>
  <si>
    <t>Finanszírozási bevételek összesen:</t>
  </si>
  <si>
    <t>Pénzeszközök, lekötött bankbetétként való elhelyezése</t>
  </si>
  <si>
    <t>Finanszírozási kiadások felhalmozási</t>
  </si>
  <si>
    <t>Finanszírozási bevételek felhalmozási</t>
  </si>
  <si>
    <t>Finanszírozási kiadások működési</t>
  </si>
  <si>
    <t>Finanszírozási bevételek működési</t>
  </si>
  <si>
    <t xml:space="preserve">Finanszírozási kiadások </t>
  </si>
  <si>
    <t xml:space="preserve">Finanszírozási bevételek </t>
  </si>
  <si>
    <t>Költségvetési egyenleg</t>
  </si>
  <si>
    <t>Felhalmozási egyenleg</t>
  </si>
  <si>
    <t>Felhalmozási kiadások összesen:</t>
  </si>
  <si>
    <t>Felhalmozási bevételek összesen:</t>
  </si>
  <si>
    <t>Felhalmozási tartalék</t>
  </si>
  <si>
    <t>Felhalmozási célú átvett pénzeszköz</t>
  </si>
  <si>
    <t>Felhalmozási célú támogatások Áh-n belülről</t>
  </si>
  <si>
    <t>Felhalmozási kiadások</t>
  </si>
  <si>
    <t>Működési egyenleg</t>
  </si>
  <si>
    <t>Működési kiadások összesen:</t>
  </si>
  <si>
    <t>Működési bevételek összesen:</t>
  </si>
  <si>
    <t>Működési tartalékok</t>
  </si>
  <si>
    <t>Működési célú átvett pénzeszköz</t>
  </si>
  <si>
    <t xml:space="preserve">Működési bevételek </t>
  </si>
  <si>
    <t>Működési célú támogatások</t>
  </si>
  <si>
    <t>2020. évi várható teljesítés</t>
  </si>
  <si>
    <t>2019. évi tényadat</t>
  </si>
  <si>
    <t>Feladat megnevezése</t>
  </si>
  <si>
    <t>Működési kiadások</t>
  </si>
  <si>
    <t>1.b számú melléket</t>
  </si>
  <si>
    <t>Egyéb  intézmények összesen</t>
  </si>
  <si>
    <t>Újpesti Bölcsődék Intézménye</t>
  </si>
  <si>
    <t>Szociális Intézmény</t>
  </si>
  <si>
    <t>Újpesti Piac és Vásárcsarnok</t>
  </si>
  <si>
    <t>Óvodák összesen</t>
  </si>
  <si>
    <t>Virág Óvoda</t>
  </si>
  <si>
    <t>Viola Óvoda</t>
  </si>
  <si>
    <t>Park Óvoda-Lakkozó Tagóvoda</t>
  </si>
  <si>
    <t>Nyár Óvoda</t>
  </si>
  <si>
    <t>Liget Óvoda-Királykerti Tagóvoda</t>
  </si>
  <si>
    <t xml:space="preserve">Karinthy Frigyes Óvoda </t>
  </si>
  <si>
    <t>JMK Óvoda</t>
  </si>
  <si>
    <t>Homoktövis Óvoda</t>
  </si>
  <si>
    <t>Deák Óvoda</t>
  </si>
  <si>
    <t>Dalos Ovi Óvoda</t>
  </si>
  <si>
    <t>Bőrfestő Óvoda</t>
  </si>
  <si>
    <t>Aranyalma Óvoda-Kertvárosi Tagóvoda</t>
  </si>
  <si>
    <t>Aradi Óvoda-Csányi és Pozsonyi Tagóvoda</t>
  </si>
  <si>
    <t>Ambrus Óvoda Vörösmarty Tagóvoda</t>
  </si>
  <si>
    <t>Járulék</t>
  </si>
  <si>
    <t>Személyi juttatás</t>
  </si>
  <si>
    <t>2021. I. mód</t>
  </si>
  <si>
    <t>2021. évi terv</t>
  </si>
  <si>
    <t xml:space="preserve">Intézmény </t>
  </si>
  <si>
    <t xml:space="preserve">          önkéntes feladat</t>
  </si>
  <si>
    <t xml:space="preserve">          kötelező feladat</t>
  </si>
  <si>
    <t>ebből: állami feladat</t>
  </si>
  <si>
    <t xml:space="preserve">Index % </t>
  </si>
  <si>
    <t>2019. évi eredeti</t>
  </si>
  <si>
    <t>GI-hez tartozó egyéb int. összesen</t>
  </si>
  <si>
    <t>Gazdasági Intézmény Központ</t>
  </si>
  <si>
    <t>Újpesti Bölcsödék Intézménye</t>
  </si>
  <si>
    <t>Piac és Vásárcsarnok</t>
  </si>
  <si>
    <t>2021. I. mód.</t>
  </si>
  <si>
    <t>Park Óvoda Lakkozó Tagóvoda</t>
  </si>
  <si>
    <t>Liget Óvoda Királykerti Tagóvoda</t>
  </si>
  <si>
    <t>Karinthy Frigyes Óvoda</t>
  </si>
  <si>
    <t xml:space="preserve">Bőrfestő Óvoda </t>
  </si>
  <si>
    <t>Aranyalma Óvoda Kertvárosi Tagóvoda</t>
  </si>
  <si>
    <t>Aradi Óvoda Csányi és Pozsonyi Tagóvoda</t>
  </si>
  <si>
    <t>2019. évi terv</t>
  </si>
  <si>
    <t>2018. évi eredeti</t>
  </si>
  <si>
    <t xml:space="preserve">            technikai létszámkeret</t>
  </si>
  <si>
    <t>ebből: óvodapedagógus létszámkeret</t>
  </si>
  <si>
    <t xml:space="preserve">Index %  </t>
  </si>
  <si>
    <t xml:space="preserve">2.b. számú melléklet </t>
  </si>
  <si>
    <t xml:space="preserve"> 6. számú melléklet</t>
  </si>
  <si>
    <t>2.a.2.2. melléklet</t>
  </si>
  <si>
    <t>2.a.2.1. melléklet</t>
  </si>
  <si>
    <t>2.a.2 melléklet</t>
  </si>
  <si>
    <t>2.a.1. melléklet</t>
  </si>
  <si>
    <t xml:space="preserve">A 9/2021. (II.16.) önkormányzati rendelethez Budapest Főváros IV. kerület Újpest Önkormányzatának bevételeiről és kiadásairól  </t>
  </si>
  <si>
    <t>A 9/2021  (II.16.) önkormányzati rendelethez Újpest Önkormányzat Gazdasági Intézményéhez tartozó önállóan működő intézmények 2021. évi felhasználási engedélyhez kötött előirányzatairól</t>
  </si>
  <si>
    <t xml:space="preserve">A 9/2021. (II.16.) önkormányzati rendelethez Budapest Főváros IV. kerület Újpest Önkormányzatának és önállóan működő és gazdálkodó intézményeinek felújítási kiadásai feladatonként </t>
  </si>
  <si>
    <t xml:space="preserve">A   9/2021. (II.16.) önkormányzati rendelethez Budapest Főváros IV. kerület Újpest Önkormányzatának és önállóan működő és gazdálkodó intézményeinek beruházási kiadásai feladatonként </t>
  </si>
  <si>
    <t xml:space="preserve">A 9/2021. (II.16.) önkormányzati rendelethez Budapest Főváros IV. kerület Újpest Önkormányzatának egyéb működési és felhalmozási célú kiadásai feladatonként </t>
  </si>
  <si>
    <t>A 9/2021. (II.16. ) önkormányzati rendelethez Budapest Főváros IV. kerület Újpest Önkormányzatának egyéb működési és felhalmozási célú bevételei feladatonként</t>
  </si>
  <si>
    <t>A  9/2021. (II.16.) önkormányzati rendelethez Budapest Főváros Újpest Önkormányzatának 
tartalék előirányzatai feladatonként</t>
  </si>
  <si>
    <t>A   9/2021. (II.16.) önkormányzati rendelethez Budapest Főváros Újpest Önkormányzat 2021. évi előirányzat felhasználási terve</t>
  </si>
  <si>
    <t xml:space="preserve">A 9/2021. (II.16.) önkormányzati rendelethez Budapest Főváros IV. kerület Újpest Önkormányzatának 
többéves kihatással járó kötelezettségei évenkénti bontásban és összesítve  </t>
  </si>
  <si>
    <t>A 9/2021. (II.16.) önkormányzati rendelethez Budapest Főváros IV. kerület Újpest Önkormányzatának saját bevételeinek, valamint a stabilitási tv. 8. § (2) bekezdése szerinti adósságot keletkeztető ügyleteiből eredő fizetési kötelezettségeinek a költségvetési évet követő három évre várható összege</t>
  </si>
  <si>
    <t>A 9/2021. (II.16.) önkormányzati rendelethez Budapest Főváros IV. kerület Újpest Önkormányzat Európai Unió-s forrásokkal támogatott fejlesztései</t>
  </si>
  <si>
    <t xml:space="preserve">A 9/2021. (II.16.) önkormányzati rendelethez Budapest Főváros IV. kerület Újpest Önkormányzat </t>
  </si>
  <si>
    <t>KIMUTATÁS
A 9/2021. (II.16.) önkormányzati rendelethez Budapest Főváros IV. kerület Újpest Önkormányzat
Esetleges gazdaságvédelmi programok előirányzatból, és/vagy a rendkívüli kormányzati intézkedésekre szolgáló tartalékból kapott támogatás felhasználásáról</t>
  </si>
  <si>
    <t>A 9/2021.(II.16.) Budapest Főváros IV. kerület Újpest Önkormányzatának bevételei és kiadásai mérlegszerűen</t>
  </si>
  <si>
    <t>A 9/2021. (II.16.) önkormányzati rendelethez Budapest Főváros IV. kerület Újpest Önkormányzat költségvetési intézményeinek 
bevételei és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</si>
</sst>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F_t_-;\-* #,##0\ _F_t_-;_-* &quot;-&quot;\ _F_t_-;_-@_-"/>
    <numFmt numFmtId="43" formatCode="_-* #,##0.00\ _F_t_-;\-* #,##0.00\ _F_t_-;_-* &quot;-&quot;??\ _F_t_-;_-@_-"/>
    <numFmt numFmtId="164" formatCode="_-* #,##0.00_-;\-* #,##0.00_-;_-* &quot;-&quot;??_-;_-@_-"/>
    <numFmt numFmtId="165" formatCode="0.0%"/>
    <numFmt numFmtId="166" formatCode="_-* #,##0\ _F_t_-;\-* #,##0\ _F_t_-;_-* &quot;-&quot;??\ _F_t_-;_-@_-"/>
    <numFmt numFmtId="167" formatCode="_-* #,##0.00\ _F_t_-;\-* #,##0.00\ _F_t_-;_-* \-??\ _F_t_-;_-@_-"/>
    <numFmt numFmtId="168" formatCode="#,##0_ ;\-#,##0\ "/>
    <numFmt numFmtId="169" formatCode="0_ ;\-0\ "/>
  </numFmts>
  <fonts count="83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i/>
      <sz val="11"/>
      <name val="Calibri"/>
      <family val="2"/>
      <charset val="238"/>
    </font>
    <font>
      <i/>
      <sz val="9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1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Helv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9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i/>
      <sz val="10"/>
      <color indexed="8"/>
      <name val="Times New Roman"/>
      <family val="1"/>
      <charset val="238"/>
    </font>
    <font>
      <i/>
      <u/>
      <sz val="1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slantDashDot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slantDashDot">
        <color indexed="64"/>
      </bottom>
      <diagonal/>
    </border>
    <border>
      <left/>
      <right/>
      <top style="double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1" fillId="0" borderId="0"/>
    <xf numFmtId="0" fontId="36" fillId="0" borderId="0"/>
    <xf numFmtId="0" fontId="1" fillId="0" borderId="0"/>
    <xf numFmtId="164" fontId="1" fillId="0" borderId="0" applyFont="0" applyFill="0" applyBorder="0" applyAlignment="0" applyProtection="0"/>
    <xf numFmtId="0" fontId="40" fillId="0" borderId="0"/>
    <xf numFmtId="0" fontId="18" fillId="0" borderId="0"/>
    <xf numFmtId="167" fontId="18" fillId="0" borderId="0" applyBorder="0" applyProtection="0"/>
    <xf numFmtId="0" fontId="2" fillId="0" borderId="0"/>
    <xf numFmtId="0" fontId="36" fillId="0" borderId="0"/>
    <xf numFmtId="43" fontId="2" fillId="0" borderId="0" applyFont="0" applyFill="0" applyBorder="0" applyAlignment="0" applyProtection="0"/>
    <xf numFmtId="0" fontId="67" fillId="0" borderId="0"/>
    <xf numFmtId="0" fontId="72" fillId="0" borderId="0"/>
    <xf numFmtId="0" fontId="36" fillId="0" borderId="0"/>
    <xf numFmtId="0" fontId="67" fillId="0" borderId="0"/>
    <xf numFmtId="0" fontId="18" fillId="0" borderId="0"/>
    <xf numFmtId="0" fontId="2" fillId="0" borderId="0"/>
  </cellStyleXfs>
  <cellXfs count="1441">
    <xf numFmtId="0" fontId="0" fillId="0" borderId="0" xfId="0"/>
    <xf numFmtId="0" fontId="3" fillId="0" borderId="0" xfId="0" applyFont="1"/>
    <xf numFmtId="165" fontId="3" fillId="0" borderId="0" xfId="0" applyNumberFormat="1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9" fontId="3" fillId="0" borderId="1" xfId="1" applyNumberFormat="1" applyFont="1" applyBorder="1" applyAlignment="1" applyProtection="1">
      <alignment horizontal="right" vertical="center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2" xfId="3" applyNumberFormat="1" applyFont="1" applyBorder="1" applyAlignment="1" applyProtection="1">
      <alignment horizontal="right" vertical="center"/>
    </xf>
    <xf numFmtId="0" fontId="3" fillId="0" borderId="2" xfId="0" applyFont="1" applyFill="1" applyBorder="1" applyAlignment="1">
      <alignment vertical="distributed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9" fontId="3" fillId="0" borderId="5" xfId="1" applyNumberFormat="1" applyFont="1" applyBorder="1" applyAlignment="1" applyProtection="1">
      <alignment horizontal="right" vertical="center"/>
    </xf>
    <xf numFmtId="3" fontId="3" fillId="0" borderId="6" xfId="1" applyNumberFormat="1" applyFont="1" applyBorder="1" applyAlignment="1" applyProtection="1">
      <alignment horizontal="right" vertical="center"/>
    </xf>
    <xf numFmtId="3" fontId="3" fillId="0" borderId="6" xfId="3" applyNumberFormat="1" applyFont="1" applyBorder="1" applyAlignment="1" applyProtection="1">
      <alignment horizontal="right" vertical="center"/>
    </xf>
    <xf numFmtId="9" fontId="5" fillId="0" borderId="10" xfId="1" applyNumberFormat="1" applyFont="1" applyBorder="1" applyAlignment="1" applyProtection="1">
      <alignment horizontal="right" vertical="center"/>
    </xf>
    <xf numFmtId="3" fontId="5" fillId="0" borderId="11" xfId="1" applyNumberFormat="1" applyFont="1" applyBorder="1" applyAlignment="1" applyProtection="1">
      <alignment horizontal="right" vertical="center"/>
    </xf>
    <xf numFmtId="3" fontId="5" fillId="0" borderId="11" xfId="3" applyNumberFormat="1" applyFont="1" applyBorder="1" applyAlignment="1" applyProtection="1">
      <alignment horizontal="right" vertical="center"/>
    </xf>
    <xf numFmtId="0" fontId="5" fillId="0" borderId="12" xfId="0" applyFont="1" applyFill="1" applyBorder="1" applyAlignment="1">
      <alignment vertical="distributed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9" fontId="6" fillId="2" borderId="10" xfId="1" applyNumberFormat="1" applyFont="1" applyFill="1" applyBorder="1" applyAlignment="1" applyProtection="1">
      <alignment horizontal="right" vertical="center"/>
    </xf>
    <xf numFmtId="3" fontId="6" fillId="2" borderId="15" xfId="1" applyNumberFormat="1" applyFont="1" applyFill="1" applyBorder="1" applyAlignment="1" applyProtection="1">
      <alignment horizontal="right" vertical="center"/>
    </xf>
    <xf numFmtId="3" fontId="6" fillId="2" borderId="15" xfId="3" applyNumberFormat="1" applyFont="1" applyFill="1" applyBorder="1" applyAlignment="1" applyProtection="1">
      <alignment horizontal="right" vertical="center"/>
    </xf>
    <xf numFmtId="0" fontId="6" fillId="2" borderId="1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9" fontId="3" fillId="0" borderId="17" xfId="1" applyNumberFormat="1" applyFont="1" applyBorder="1" applyAlignment="1" applyProtection="1">
      <alignment horizontal="right" vertical="center"/>
    </xf>
    <xf numFmtId="3" fontId="3" fillId="0" borderId="18" xfId="1" applyNumberFormat="1" applyFont="1" applyBorder="1" applyAlignment="1" applyProtection="1">
      <alignment horizontal="right" vertical="center"/>
    </xf>
    <xf numFmtId="3" fontId="3" fillId="0" borderId="18" xfId="3" applyNumberFormat="1" applyFont="1" applyBorder="1" applyAlignment="1" applyProtection="1">
      <alignment horizontal="right" vertical="center"/>
    </xf>
    <xf numFmtId="0" fontId="3" fillId="3" borderId="19" xfId="0" applyFont="1" applyFill="1" applyBorder="1" applyAlignment="1">
      <alignment vertical="distributed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9" fontId="3" fillId="0" borderId="22" xfId="1" applyNumberFormat="1" applyFont="1" applyBorder="1" applyAlignment="1" applyProtection="1">
      <alignment horizontal="right" vertical="center"/>
    </xf>
    <xf numFmtId="3" fontId="3" fillId="0" borderId="23" xfId="1" applyNumberFormat="1" applyFont="1" applyBorder="1" applyAlignment="1" applyProtection="1">
      <alignment horizontal="right" vertical="center"/>
    </xf>
    <xf numFmtId="3" fontId="3" fillId="0" borderId="23" xfId="3" applyNumberFormat="1" applyFont="1" applyBorder="1" applyAlignment="1" applyProtection="1">
      <alignment horizontal="right" vertical="center"/>
    </xf>
    <xf numFmtId="0" fontId="3" fillId="3" borderId="24" xfId="0" applyFont="1" applyFill="1" applyBorder="1" applyAlignment="1">
      <alignment vertical="distributed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3" borderId="24" xfId="0" applyFont="1" applyFill="1" applyBorder="1" applyAlignment="1">
      <alignment vertical="center" wrapText="1"/>
    </xf>
    <xf numFmtId="9" fontId="7" fillId="0" borderId="28" xfId="1" applyNumberFormat="1" applyFont="1" applyBorder="1" applyAlignment="1" applyProtection="1">
      <alignment horizontal="right" vertical="center"/>
    </xf>
    <xf numFmtId="3" fontId="7" fillId="0" borderId="29" xfId="1" applyNumberFormat="1" applyFont="1" applyBorder="1" applyAlignment="1" applyProtection="1">
      <alignment horizontal="right" vertical="center"/>
    </xf>
    <xf numFmtId="3" fontId="7" fillId="0" borderId="29" xfId="3" applyNumberFormat="1" applyFont="1" applyBorder="1" applyAlignment="1" applyProtection="1">
      <alignment horizontal="right" vertical="center"/>
    </xf>
    <xf numFmtId="0" fontId="6" fillId="3" borderId="30" xfId="0" applyFont="1" applyFill="1" applyBorder="1" applyAlignment="1">
      <alignment vertical="distributed" wrapText="1"/>
    </xf>
    <xf numFmtId="0" fontId="8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9" fontId="7" fillId="0" borderId="10" xfId="1" applyNumberFormat="1" applyFont="1" applyBorder="1" applyAlignment="1" applyProtection="1">
      <alignment horizontal="right" vertical="center"/>
    </xf>
    <xf numFmtId="3" fontId="7" fillId="0" borderId="15" xfId="1" applyNumberFormat="1" applyFont="1" applyBorder="1" applyAlignment="1" applyProtection="1">
      <alignment horizontal="right" vertical="center"/>
    </xf>
    <xf numFmtId="3" fontId="7" fillId="0" borderId="15" xfId="3" applyNumberFormat="1" applyFont="1" applyBorder="1" applyAlignment="1" applyProtection="1">
      <alignment horizontal="right" vertical="center"/>
    </xf>
    <xf numFmtId="43" fontId="6" fillId="0" borderId="15" xfId="1" applyFont="1" applyFill="1" applyBorder="1" applyAlignment="1">
      <alignment vertical="distributed" wrapText="1"/>
    </xf>
    <xf numFmtId="0" fontId="8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9" fontId="6" fillId="0" borderId="22" xfId="1" applyNumberFormat="1" applyFont="1" applyBorder="1" applyAlignment="1" applyProtection="1">
      <alignment horizontal="right" vertical="center"/>
    </xf>
    <xf numFmtId="3" fontId="6" fillId="0" borderId="23" xfId="1" applyNumberFormat="1" applyFont="1" applyBorder="1" applyAlignment="1" applyProtection="1">
      <alignment horizontal="right" vertical="center"/>
    </xf>
    <xf numFmtId="3" fontId="6" fillId="0" borderId="23" xfId="3" applyNumberFormat="1" applyFont="1" applyBorder="1" applyAlignment="1" applyProtection="1">
      <alignment horizontal="right" vertical="center"/>
    </xf>
    <xf numFmtId="0" fontId="6" fillId="3" borderId="24" xfId="0" applyFont="1" applyFill="1" applyBorder="1" applyAlignment="1">
      <alignment vertical="distributed" wrapText="1"/>
    </xf>
    <xf numFmtId="9" fontId="3" fillId="0" borderId="22" xfId="1" applyNumberFormat="1" applyFont="1" applyFill="1" applyBorder="1" applyAlignment="1" applyProtection="1">
      <alignment horizontal="right" vertical="center"/>
    </xf>
    <xf numFmtId="3" fontId="3" fillId="0" borderId="23" xfId="1" applyNumberFormat="1" applyFont="1" applyFill="1" applyBorder="1" applyAlignment="1" applyProtection="1">
      <alignment horizontal="right" vertical="center"/>
    </xf>
    <xf numFmtId="9" fontId="9" fillId="0" borderId="5" xfId="1" applyNumberFormat="1" applyFont="1" applyBorder="1" applyAlignment="1" applyProtection="1">
      <alignment horizontal="right" vertical="center"/>
    </xf>
    <xf numFmtId="3" fontId="9" fillId="0" borderId="6" xfId="1" applyNumberFormat="1" applyFont="1" applyBorder="1" applyAlignment="1" applyProtection="1">
      <alignment horizontal="right" vertical="center"/>
    </xf>
    <xf numFmtId="3" fontId="9" fillId="0" borderId="6" xfId="3" applyNumberFormat="1" applyFont="1" applyBorder="1" applyAlignment="1" applyProtection="1">
      <alignment horizontal="right" vertical="center"/>
    </xf>
    <xf numFmtId="0" fontId="5" fillId="3" borderId="33" xfId="0" applyFont="1" applyFill="1" applyBorder="1" applyAlignment="1">
      <alignment vertical="distributed" wrapText="1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9" fontId="4" fillId="4" borderId="1" xfId="1" applyNumberFormat="1" applyFont="1" applyFill="1" applyBorder="1" applyAlignment="1" applyProtection="1">
      <alignment horizontal="right" vertical="center"/>
    </xf>
    <xf numFmtId="3" fontId="4" fillId="4" borderId="34" xfId="1" applyNumberFormat="1" applyFont="1" applyFill="1" applyBorder="1" applyAlignment="1" applyProtection="1">
      <alignment horizontal="right" vertical="center"/>
    </xf>
    <xf numFmtId="3" fontId="4" fillId="4" borderId="34" xfId="3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vertical="distributed" wrapText="1"/>
    </xf>
    <xf numFmtId="0" fontId="4" fillId="4" borderId="3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9" fillId="0" borderId="0" xfId="0" applyFont="1"/>
    <xf numFmtId="9" fontId="9" fillId="0" borderId="35" xfId="1" applyNumberFormat="1" applyFont="1" applyFill="1" applyBorder="1" applyAlignment="1">
      <alignment horizontal="right" vertical="center" wrapText="1"/>
    </xf>
    <xf numFmtId="3" fontId="9" fillId="0" borderId="36" xfId="1" applyNumberFormat="1" applyFont="1" applyFill="1" applyBorder="1" applyAlignment="1">
      <alignment horizontal="right" vertical="center" wrapText="1"/>
    </xf>
    <xf numFmtId="3" fontId="9" fillId="0" borderId="36" xfId="3" applyNumberFormat="1" applyFont="1" applyFill="1" applyBorder="1" applyAlignment="1">
      <alignment horizontal="right" vertical="center" wrapText="1"/>
    </xf>
    <xf numFmtId="0" fontId="9" fillId="0" borderId="36" xfId="0" applyFont="1" applyBorder="1" applyAlignment="1">
      <alignment vertical="distributed" wrapText="1"/>
    </xf>
    <xf numFmtId="0" fontId="9" fillId="0" borderId="37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9" fontId="4" fillId="0" borderId="35" xfId="1" applyNumberFormat="1" applyFont="1" applyBorder="1" applyAlignment="1" applyProtection="1">
      <alignment horizontal="right" vertical="center"/>
    </xf>
    <xf numFmtId="3" fontId="4" fillId="0" borderId="38" xfId="1" applyNumberFormat="1" applyFont="1" applyBorder="1" applyAlignment="1" applyProtection="1">
      <alignment horizontal="right" vertical="center"/>
    </xf>
    <xf numFmtId="3" fontId="4" fillId="0" borderId="38" xfId="3" applyNumberFormat="1" applyFont="1" applyBorder="1" applyAlignment="1" applyProtection="1">
      <alignment horizontal="right" vertical="center"/>
    </xf>
    <xf numFmtId="3" fontId="4" fillId="0" borderId="36" xfId="1" applyNumberFormat="1" applyFont="1" applyFill="1" applyBorder="1" applyAlignment="1">
      <alignment vertical="distributed"/>
    </xf>
    <xf numFmtId="0" fontId="4" fillId="0" borderId="37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vertical="distributed" wrapText="1"/>
    </xf>
    <xf numFmtId="9" fontId="9" fillId="0" borderId="35" xfId="1" applyNumberFormat="1" applyFont="1" applyBorder="1" applyAlignment="1" applyProtection="1">
      <alignment horizontal="right" vertical="center"/>
    </xf>
    <xf numFmtId="3" fontId="9" fillId="0" borderId="38" xfId="1" applyNumberFormat="1" applyFont="1" applyBorder="1" applyAlignment="1" applyProtection="1">
      <alignment horizontal="right" vertical="center"/>
    </xf>
    <xf numFmtId="3" fontId="9" fillId="0" borderId="38" xfId="3" applyNumberFormat="1" applyFont="1" applyBorder="1" applyAlignment="1" applyProtection="1">
      <alignment horizontal="right" vertical="center"/>
    </xf>
    <xf numFmtId="3" fontId="9" fillId="0" borderId="36" xfId="1" applyNumberFormat="1" applyFont="1" applyBorder="1" applyAlignment="1" applyProtection="1">
      <alignment horizontal="right" vertical="center"/>
    </xf>
    <xf numFmtId="3" fontId="9" fillId="0" borderId="36" xfId="3" applyNumberFormat="1" applyFont="1" applyBorder="1" applyAlignment="1" applyProtection="1">
      <alignment horizontal="right" vertical="center"/>
    </xf>
    <xf numFmtId="49" fontId="9" fillId="0" borderId="36" xfId="0" applyNumberFormat="1" applyFont="1" applyBorder="1" applyAlignment="1">
      <alignment vertical="distributed" wrapText="1"/>
    </xf>
    <xf numFmtId="9" fontId="9" fillId="0" borderId="39" xfId="1" applyNumberFormat="1" applyFont="1" applyBorder="1" applyAlignment="1" applyProtection="1">
      <alignment horizontal="right" vertical="center"/>
    </xf>
    <xf numFmtId="3" fontId="9" fillId="0" borderId="40" xfId="1" applyNumberFormat="1" applyFont="1" applyBorder="1" applyAlignment="1" applyProtection="1">
      <alignment horizontal="right" vertical="center"/>
    </xf>
    <xf numFmtId="3" fontId="9" fillId="0" borderId="40" xfId="3" applyNumberFormat="1" applyFont="1" applyBorder="1" applyAlignment="1" applyProtection="1">
      <alignment horizontal="right" vertical="center"/>
    </xf>
    <xf numFmtId="0" fontId="9" fillId="0" borderId="40" xfId="0" applyFont="1" applyBorder="1" applyAlignment="1">
      <alignment horizontal="left" vertical="distributed" wrapText="1"/>
    </xf>
    <xf numFmtId="0" fontId="9" fillId="0" borderId="4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9" fontId="3" fillId="0" borderId="35" xfId="1" applyNumberFormat="1" applyFont="1" applyBorder="1" applyAlignment="1" applyProtection="1">
      <alignment horizontal="right" vertical="center"/>
    </xf>
    <xf numFmtId="3" fontId="3" fillId="0" borderId="38" xfId="1" applyNumberFormat="1" applyFont="1" applyBorder="1" applyAlignment="1" applyProtection="1">
      <alignment horizontal="right" vertical="center"/>
    </xf>
    <xf numFmtId="3" fontId="3" fillId="0" borderId="38" xfId="3" applyNumberFormat="1" applyFont="1" applyBorder="1" applyAlignment="1" applyProtection="1">
      <alignment horizontal="right" vertical="center"/>
    </xf>
    <xf numFmtId="43" fontId="3" fillId="0" borderId="36" xfId="1" applyFont="1" applyFill="1" applyBorder="1" applyAlignment="1">
      <alignment vertical="distributed" wrapText="1"/>
    </xf>
    <xf numFmtId="0" fontId="3" fillId="0" borderId="37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43" fontId="3" fillId="0" borderId="24" xfId="1" applyFont="1" applyFill="1" applyBorder="1" applyAlignment="1">
      <alignment vertical="distributed" wrapText="1"/>
    </xf>
    <xf numFmtId="0" fontId="3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9" fontId="6" fillId="2" borderId="10" xfId="1" applyNumberFormat="1" applyFont="1" applyFill="1" applyBorder="1" applyAlignment="1">
      <alignment horizontal="right" vertical="center" wrapText="1"/>
    </xf>
    <xf numFmtId="3" fontId="6" fillId="2" borderId="15" xfId="1" applyNumberFormat="1" applyFont="1" applyFill="1" applyBorder="1" applyAlignment="1">
      <alignment horizontal="right" vertical="center" wrapText="1"/>
    </xf>
    <xf numFmtId="3" fontId="6" fillId="2" borderId="15" xfId="3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/>
    </xf>
    <xf numFmtId="9" fontId="10" fillId="0" borderId="17" xfId="1" applyNumberFormat="1" applyFont="1" applyBorder="1" applyAlignment="1" applyProtection="1">
      <alignment horizontal="right" vertical="center"/>
    </xf>
    <xf numFmtId="3" fontId="10" fillId="0" borderId="18" xfId="1" applyNumberFormat="1" applyFont="1" applyBorder="1" applyAlignment="1" applyProtection="1">
      <alignment horizontal="right" vertical="center"/>
    </xf>
    <xf numFmtId="3" fontId="11" fillId="0" borderId="18" xfId="3" applyNumberFormat="1" applyFont="1" applyBorder="1" applyAlignment="1" applyProtection="1">
      <alignment horizontal="right" vertical="center"/>
    </xf>
    <xf numFmtId="43" fontId="11" fillId="0" borderId="19" xfId="1" applyFont="1" applyFill="1" applyBorder="1" applyAlignment="1">
      <alignment vertical="center" wrapText="1"/>
    </xf>
    <xf numFmtId="0" fontId="3" fillId="0" borderId="20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9" fontId="10" fillId="0" borderId="35" xfId="1" applyNumberFormat="1" applyFont="1" applyBorder="1" applyAlignment="1" applyProtection="1">
      <alignment horizontal="right" vertical="center"/>
    </xf>
    <xf numFmtId="3" fontId="10" fillId="0" borderId="38" xfId="1" applyNumberFormat="1" applyFont="1" applyBorder="1" applyAlignment="1" applyProtection="1">
      <alignment horizontal="right" vertical="center"/>
    </xf>
    <xf numFmtId="3" fontId="11" fillId="0" borderId="38" xfId="3" applyNumberFormat="1" applyFont="1" applyBorder="1" applyAlignment="1" applyProtection="1">
      <alignment horizontal="right" vertical="center"/>
    </xf>
    <xf numFmtId="43" fontId="11" fillId="0" borderId="36" xfId="1" applyFont="1" applyFill="1" applyBorder="1" applyAlignment="1">
      <alignment vertical="distributed" wrapText="1"/>
    </xf>
    <xf numFmtId="9" fontId="10" fillId="0" borderId="35" xfId="1" applyNumberFormat="1" applyFont="1" applyBorder="1" applyAlignment="1" applyProtection="1">
      <alignment vertical="center"/>
    </xf>
    <xf numFmtId="3" fontId="10" fillId="0" borderId="36" xfId="1" applyNumberFormat="1" applyFont="1" applyBorder="1" applyAlignment="1" applyProtection="1">
      <alignment vertical="center"/>
    </xf>
    <xf numFmtId="3" fontId="11" fillId="0" borderId="36" xfId="3" applyNumberFormat="1" applyFont="1" applyBorder="1" applyAlignment="1" applyProtection="1">
      <alignment horizontal="right" vertical="center"/>
    </xf>
    <xf numFmtId="0" fontId="3" fillId="0" borderId="36" xfId="0" applyFont="1" applyBorder="1" applyAlignment="1">
      <alignment horizontal="center"/>
    </xf>
    <xf numFmtId="9" fontId="3" fillId="0" borderId="39" xfId="1" applyNumberFormat="1" applyFont="1" applyBorder="1" applyAlignment="1" applyProtection="1">
      <alignment horizontal="right" vertical="center"/>
    </xf>
    <xf numFmtId="3" fontId="3" fillId="0" borderId="43" xfId="1" applyNumberFormat="1" applyFont="1" applyBorder="1" applyAlignment="1" applyProtection="1">
      <alignment horizontal="right" vertical="center"/>
    </xf>
    <xf numFmtId="3" fontId="3" fillId="0" borderId="43" xfId="3" applyNumberFormat="1" applyFont="1" applyBorder="1" applyAlignment="1" applyProtection="1">
      <alignment horizontal="right" vertical="center"/>
    </xf>
    <xf numFmtId="43" fontId="3" fillId="0" borderId="40" xfId="1" applyFont="1" applyFill="1" applyBorder="1" applyAlignment="1">
      <alignment vertical="distributed" wrapText="1"/>
    </xf>
    <xf numFmtId="0" fontId="3" fillId="0" borderId="4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9" fontId="12" fillId="0" borderId="35" xfId="1" applyNumberFormat="1" applyFont="1" applyBorder="1" applyAlignment="1" applyProtection="1">
      <alignment horizontal="right" vertical="center"/>
    </xf>
    <xf numFmtId="3" fontId="12" fillId="0" borderId="38" xfId="1" applyNumberFormat="1" applyFont="1" applyBorder="1" applyAlignment="1" applyProtection="1">
      <alignment horizontal="right" vertical="center"/>
    </xf>
    <xf numFmtId="3" fontId="7" fillId="0" borderId="11" xfId="1" applyNumberFormat="1" applyFont="1" applyBorder="1" applyAlignment="1" applyProtection="1">
      <alignment horizontal="right" vertical="center"/>
    </xf>
    <xf numFmtId="3" fontId="7" fillId="0" borderId="11" xfId="3" applyNumberFormat="1" applyFont="1" applyBorder="1" applyAlignment="1" applyProtection="1">
      <alignment horizontal="right" vertical="center"/>
    </xf>
    <xf numFmtId="0" fontId="5" fillId="0" borderId="12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9" fontId="6" fillId="0" borderId="35" xfId="1" applyNumberFormat="1" applyFont="1" applyBorder="1" applyAlignment="1" applyProtection="1">
      <alignment horizontal="right" vertical="center"/>
    </xf>
    <xf numFmtId="3" fontId="6" fillId="0" borderId="38" xfId="1" applyNumberFormat="1" applyFont="1" applyBorder="1" applyAlignment="1" applyProtection="1">
      <alignment horizontal="right" vertical="center"/>
    </xf>
    <xf numFmtId="3" fontId="6" fillId="0" borderId="38" xfId="3" applyNumberFormat="1" applyFont="1" applyBorder="1" applyAlignment="1" applyProtection="1">
      <alignment horizontal="right" vertical="center"/>
    </xf>
    <xf numFmtId="43" fontId="6" fillId="0" borderId="36" xfId="1" applyFont="1" applyFill="1" applyBorder="1" applyAlignment="1">
      <alignment vertical="distributed" wrapText="1"/>
    </xf>
    <xf numFmtId="9" fontId="6" fillId="0" borderId="35" xfId="1" applyNumberFormat="1" applyFont="1" applyFill="1" applyBorder="1" applyAlignment="1" applyProtection="1">
      <alignment horizontal="right" vertical="center"/>
    </xf>
    <xf numFmtId="3" fontId="6" fillId="0" borderId="38" xfId="1" applyNumberFormat="1" applyFont="1" applyFill="1" applyBorder="1" applyAlignment="1" applyProtection="1">
      <alignment horizontal="right" vertical="center"/>
    </xf>
    <xf numFmtId="3" fontId="6" fillId="0" borderId="38" xfId="3" applyNumberFormat="1" applyFont="1" applyFill="1" applyBorder="1" applyAlignment="1" applyProtection="1">
      <alignment horizontal="right" vertical="center"/>
    </xf>
    <xf numFmtId="9" fontId="3" fillId="0" borderId="35" xfId="1" applyNumberFormat="1" applyFont="1" applyFill="1" applyBorder="1" applyAlignment="1" applyProtection="1">
      <alignment horizontal="right" vertical="center"/>
    </xf>
    <xf numFmtId="3" fontId="3" fillId="0" borderId="38" xfId="1" applyNumberFormat="1" applyFont="1" applyFill="1" applyBorder="1" applyAlignment="1" applyProtection="1">
      <alignment horizontal="right" vertical="center"/>
    </xf>
    <xf numFmtId="3" fontId="3" fillId="0" borderId="38" xfId="3" applyNumberFormat="1" applyFont="1" applyFill="1" applyBorder="1" applyAlignment="1" applyProtection="1">
      <alignment horizontal="right" vertical="center"/>
    </xf>
    <xf numFmtId="0" fontId="7" fillId="0" borderId="37" xfId="0" applyFont="1" applyBorder="1" applyAlignment="1">
      <alignment horizontal="center"/>
    </xf>
    <xf numFmtId="0" fontId="14" fillId="0" borderId="0" xfId="0" applyFont="1"/>
    <xf numFmtId="43" fontId="3" fillId="0" borderId="38" xfId="1" applyFont="1" applyFill="1" applyBorder="1" applyAlignment="1">
      <alignment vertical="center" wrapText="1"/>
    </xf>
    <xf numFmtId="0" fontId="11" fillId="0" borderId="0" xfId="0" applyFont="1"/>
    <xf numFmtId="9" fontId="7" fillId="0" borderId="35" xfId="1" applyNumberFormat="1" applyFont="1" applyBorder="1" applyAlignment="1" applyProtection="1">
      <alignment horizontal="right" vertical="center"/>
    </xf>
    <xf numFmtId="3" fontId="7" fillId="0" borderId="36" xfId="1" applyNumberFormat="1" applyFont="1" applyBorder="1" applyAlignment="1" applyProtection="1">
      <alignment horizontal="right" vertical="center"/>
    </xf>
    <xf numFmtId="3" fontId="7" fillId="0" borderId="36" xfId="3" applyNumberFormat="1" applyFont="1" applyBorder="1" applyAlignment="1" applyProtection="1">
      <alignment horizontal="right" vertical="center"/>
    </xf>
    <xf numFmtId="43" fontId="7" fillId="0" borderId="36" xfId="1" applyFont="1" applyFill="1" applyBorder="1" applyAlignment="1">
      <alignment vertical="distributed" wrapText="1"/>
    </xf>
    <xf numFmtId="0" fontId="7" fillId="0" borderId="26" xfId="0" applyFont="1" applyBorder="1" applyAlignment="1">
      <alignment horizontal="center" vertical="center"/>
    </xf>
    <xf numFmtId="0" fontId="7" fillId="0" borderId="0" xfId="0" applyFont="1"/>
    <xf numFmtId="3" fontId="7" fillId="0" borderId="0" xfId="0" applyNumberFormat="1" applyFont="1"/>
    <xf numFmtId="3" fontId="7" fillId="0" borderId="38" xfId="1" applyNumberFormat="1" applyFont="1" applyBorder="1" applyAlignment="1" applyProtection="1">
      <alignment horizontal="right" vertical="center"/>
    </xf>
    <xf numFmtId="3" fontId="7" fillId="0" borderId="38" xfId="3" applyNumberFormat="1" applyFont="1" applyBorder="1" applyAlignment="1" applyProtection="1">
      <alignment horizontal="right" vertical="center"/>
    </xf>
    <xf numFmtId="0" fontId="16" fillId="0" borderId="0" xfId="0" applyFont="1"/>
    <xf numFmtId="9" fontId="16" fillId="0" borderId="35" xfId="1" applyNumberFormat="1" applyFont="1" applyBorder="1" applyAlignment="1" applyProtection="1">
      <alignment horizontal="right" vertical="center"/>
    </xf>
    <xf numFmtId="3" fontId="16" fillId="0" borderId="38" xfId="1" applyNumberFormat="1" applyFont="1" applyBorder="1" applyAlignment="1" applyProtection="1">
      <alignment horizontal="right" vertical="center"/>
    </xf>
    <xf numFmtId="3" fontId="16" fillId="0" borderId="38" xfId="3" applyNumberFormat="1" applyFont="1" applyBorder="1" applyAlignment="1" applyProtection="1">
      <alignment horizontal="right" vertical="center"/>
    </xf>
    <xf numFmtId="43" fontId="16" fillId="0" borderId="36" xfId="1" applyFont="1" applyFill="1" applyBorder="1" applyAlignment="1">
      <alignment vertical="distributed" wrapText="1"/>
    </xf>
    <xf numFmtId="0" fontId="16" fillId="0" borderId="37" xfId="0" applyFont="1" applyBorder="1" applyAlignment="1">
      <alignment horizontal="center"/>
    </xf>
    <xf numFmtId="0" fontId="16" fillId="0" borderId="26" xfId="0" applyFont="1" applyBorder="1" applyAlignment="1">
      <alignment horizontal="center" vertical="center"/>
    </xf>
    <xf numFmtId="9" fontId="14" fillId="0" borderId="35" xfId="1" applyNumberFormat="1" applyFont="1" applyBorder="1" applyAlignment="1" applyProtection="1">
      <alignment horizontal="right" vertical="center"/>
    </xf>
    <xf numFmtId="3" fontId="14" fillId="0" borderId="38" xfId="1" applyNumberFormat="1" applyFont="1" applyBorder="1" applyAlignment="1" applyProtection="1">
      <alignment horizontal="right" vertical="center"/>
    </xf>
    <xf numFmtId="3" fontId="14" fillId="0" borderId="38" xfId="3" applyNumberFormat="1" applyFont="1" applyBorder="1" applyAlignment="1" applyProtection="1">
      <alignment horizontal="right" vertical="center"/>
    </xf>
    <xf numFmtId="43" fontId="14" fillId="0" borderId="36" xfId="1" applyFont="1" applyFill="1" applyBorder="1" applyAlignment="1">
      <alignment vertical="distributed" wrapText="1"/>
    </xf>
    <xf numFmtId="0" fontId="15" fillId="0" borderId="37" xfId="0" applyFont="1" applyBorder="1" applyAlignment="1">
      <alignment horizontal="center"/>
    </xf>
    <xf numFmtId="0" fontId="15" fillId="0" borderId="26" xfId="0" applyFont="1" applyBorder="1" applyAlignment="1">
      <alignment horizontal="center" vertical="center"/>
    </xf>
    <xf numFmtId="9" fontId="8" fillId="0" borderId="35" xfId="1" applyNumberFormat="1" applyFont="1" applyBorder="1" applyAlignment="1" applyProtection="1">
      <alignment horizontal="right" vertical="center"/>
    </xf>
    <xf numFmtId="3" fontId="8" fillId="0" borderId="38" xfId="1" applyNumberFormat="1" applyFont="1" applyBorder="1" applyAlignment="1" applyProtection="1">
      <alignment horizontal="right" vertical="center"/>
    </xf>
    <xf numFmtId="3" fontId="8" fillId="0" borderId="38" xfId="3" applyNumberFormat="1" applyFont="1" applyBorder="1" applyAlignment="1" applyProtection="1">
      <alignment horizontal="right" vertical="center"/>
    </xf>
    <xf numFmtId="0" fontId="8" fillId="0" borderId="36" xfId="0" applyFont="1" applyBorder="1" applyAlignment="1">
      <alignment vertical="distributed" wrapText="1"/>
    </xf>
    <xf numFmtId="43" fontId="7" fillId="0" borderId="36" xfId="1" applyFont="1" applyFill="1" applyBorder="1" applyAlignment="1">
      <alignment wrapText="1"/>
    </xf>
    <xf numFmtId="3" fontId="3" fillId="0" borderId="36" xfId="1" applyNumberFormat="1" applyFont="1" applyBorder="1" applyAlignment="1" applyProtection="1">
      <alignment horizontal="right" vertical="center"/>
    </xf>
    <xf numFmtId="43" fontId="7" fillId="0" borderId="38" xfId="1" applyFont="1" applyFill="1" applyBorder="1" applyAlignment="1">
      <alignment vertical="distributed" wrapText="1"/>
    </xf>
    <xf numFmtId="0" fontId="5" fillId="0" borderId="0" xfId="0" applyFont="1"/>
    <xf numFmtId="9" fontId="5" fillId="0" borderId="35" xfId="1" applyNumberFormat="1" applyFont="1" applyBorder="1" applyAlignment="1" applyProtection="1">
      <alignment horizontal="right" vertical="center"/>
    </xf>
    <xf numFmtId="3" fontId="5" fillId="0" borderId="36" xfId="1" applyNumberFormat="1" applyFont="1" applyBorder="1" applyAlignment="1" applyProtection="1">
      <alignment horizontal="right" vertical="center"/>
    </xf>
    <xf numFmtId="3" fontId="5" fillId="0" borderId="38" xfId="3" applyNumberFormat="1" applyFont="1" applyBorder="1" applyAlignment="1" applyProtection="1">
      <alignment horizontal="right" vertical="center"/>
    </xf>
    <xf numFmtId="3" fontId="3" fillId="0" borderId="36" xfId="1" applyNumberFormat="1" applyFont="1" applyFill="1" applyBorder="1" applyAlignment="1" applyProtection="1">
      <alignment horizontal="right" vertical="center"/>
    </xf>
    <xf numFmtId="43" fontId="3" fillId="0" borderId="38" xfId="1" applyFont="1" applyFill="1" applyBorder="1" applyAlignment="1">
      <alignment vertical="distributed" wrapText="1"/>
    </xf>
    <xf numFmtId="0" fontId="7" fillId="0" borderId="38" xfId="0" applyFont="1" applyBorder="1" applyAlignment="1">
      <alignment vertical="distributed" wrapText="1"/>
    </xf>
    <xf numFmtId="3" fontId="8" fillId="0" borderId="36" xfId="1" applyNumberFormat="1" applyFont="1" applyBorder="1" applyAlignment="1" applyProtection="1">
      <alignment horizontal="right" vertical="center"/>
    </xf>
    <xf numFmtId="0" fontId="8" fillId="0" borderId="38" xfId="0" applyFont="1" applyBorder="1" applyAlignment="1">
      <alignment vertical="distributed" wrapText="1"/>
    </xf>
    <xf numFmtId="166" fontId="5" fillId="0" borderId="44" xfId="1" applyNumberFormat="1" applyFont="1" applyBorder="1" applyAlignment="1">
      <alignment horizontal="right"/>
    </xf>
    <xf numFmtId="166" fontId="5" fillId="0" borderId="24" xfId="1" applyNumberFormat="1" applyFont="1" applyBorder="1" applyAlignment="1">
      <alignment horizontal="right"/>
    </xf>
    <xf numFmtId="0" fontId="5" fillId="3" borderId="23" xfId="0" applyFont="1" applyFill="1" applyBorder="1" applyAlignment="1">
      <alignment vertical="distributed" wrapText="1"/>
    </xf>
    <xf numFmtId="0" fontId="6" fillId="0" borderId="27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1" fillId="0" borderId="51" xfId="0" applyFont="1" applyBorder="1" applyAlignment="1">
      <alignment horizontal="right"/>
    </xf>
    <xf numFmtId="0" fontId="3" fillId="0" borderId="51" xfId="0" applyFont="1" applyBorder="1"/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4" applyFont="1"/>
    <xf numFmtId="0" fontId="3" fillId="5" borderId="0" xfId="4" applyFont="1" applyFill="1"/>
    <xf numFmtId="0" fontId="19" fillId="6" borderId="0" xfId="4" applyFont="1" applyFill="1"/>
    <xf numFmtId="0" fontId="20" fillId="0" borderId="0" xfId="4" applyFont="1"/>
    <xf numFmtId="3" fontId="3" fillId="0" borderId="0" xfId="4" applyNumberFormat="1" applyFont="1"/>
    <xf numFmtId="0" fontId="21" fillId="8" borderId="0" xfId="4" applyFont="1" applyFill="1"/>
    <xf numFmtId="3" fontId="21" fillId="8" borderId="1" xfId="4" applyNumberFormat="1" applyFont="1" applyFill="1" applyBorder="1" applyAlignment="1">
      <alignment vertical="center"/>
    </xf>
    <xf numFmtId="3" fontId="21" fillId="8" borderId="2" xfId="4" applyNumberFormat="1" applyFont="1" applyFill="1" applyBorder="1" applyAlignment="1">
      <alignment vertical="center"/>
    </xf>
    <xf numFmtId="3" fontId="23" fillId="8" borderId="3" xfId="4" applyNumberFormat="1" applyFont="1" applyFill="1" applyBorder="1" applyAlignment="1">
      <alignment vertical="center"/>
    </xf>
    <xf numFmtId="3" fontId="21" fillId="8" borderId="52" xfId="4" applyNumberFormat="1" applyFont="1" applyFill="1" applyBorder="1" applyAlignment="1">
      <alignment vertical="center"/>
    </xf>
    <xf numFmtId="3" fontId="21" fillId="8" borderId="34" xfId="4" applyNumberFormat="1" applyFont="1" applyFill="1" applyBorder="1" applyAlignment="1">
      <alignment vertical="center"/>
    </xf>
    <xf numFmtId="0" fontId="21" fillId="9" borderId="4" xfId="5" applyFont="1" applyFill="1" applyBorder="1" applyAlignment="1">
      <alignment horizontal="left" vertical="center" indent="3"/>
    </xf>
    <xf numFmtId="3" fontId="24" fillId="0" borderId="35" xfId="4" applyNumberFormat="1" applyFont="1" applyBorder="1" applyAlignment="1">
      <alignment vertical="center"/>
    </xf>
    <xf numFmtId="3" fontId="25" fillId="0" borderId="36" xfId="4" applyNumberFormat="1" applyFont="1" applyBorder="1" applyAlignment="1">
      <alignment vertical="center"/>
    </xf>
    <xf numFmtId="3" fontId="24" fillId="0" borderId="36" xfId="4" applyNumberFormat="1" applyFont="1" applyBorder="1" applyAlignment="1">
      <alignment vertical="center"/>
    </xf>
    <xf numFmtId="3" fontId="24" fillId="5" borderId="36" xfId="4" applyNumberFormat="1" applyFont="1" applyFill="1" applyBorder="1" applyAlignment="1">
      <alignment vertical="center"/>
    </xf>
    <xf numFmtId="3" fontId="25" fillId="5" borderId="36" xfId="4" applyNumberFormat="1" applyFont="1" applyFill="1" applyBorder="1" applyAlignment="1">
      <alignment vertical="center"/>
    </xf>
    <xf numFmtId="3" fontId="19" fillId="6" borderId="36" xfId="4" applyNumberFormat="1" applyFont="1" applyFill="1" applyBorder="1" applyAlignment="1">
      <alignment vertical="center"/>
    </xf>
    <xf numFmtId="3" fontId="22" fillId="7" borderId="37" xfId="4" applyNumberFormat="1" applyFont="1" applyFill="1" applyBorder="1" applyAlignment="1">
      <alignment vertical="center"/>
    </xf>
    <xf numFmtId="3" fontId="8" fillId="7" borderId="53" xfId="4" applyNumberFormat="1" applyFont="1" applyFill="1" applyBorder="1" applyAlignment="1">
      <alignment vertical="center"/>
    </xf>
    <xf numFmtId="3" fontId="8" fillId="5" borderId="38" xfId="4" applyNumberFormat="1" applyFont="1" applyFill="1" applyBorder="1" applyAlignment="1">
      <alignment vertical="center"/>
    </xf>
    <xf numFmtId="0" fontId="20" fillId="10" borderId="26" xfId="5" applyFont="1" applyFill="1" applyBorder="1" applyAlignment="1">
      <alignment horizontal="left" vertical="center" indent="3"/>
    </xf>
    <xf numFmtId="0" fontId="21" fillId="11" borderId="0" xfId="4" applyFont="1" applyFill="1"/>
    <xf numFmtId="3" fontId="21" fillId="11" borderId="35" xfId="4" applyNumberFormat="1" applyFont="1" applyFill="1" applyBorder="1" applyAlignment="1">
      <alignment vertical="center"/>
    </xf>
    <xf numFmtId="3" fontId="21" fillId="11" borderId="36" xfId="4" applyNumberFormat="1" applyFont="1" applyFill="1" applyBorder="1" applyAlignment="1">
      <alignment vertical="center"/>
    </xf>
    <xf numFmtId="3" fontId="23" fillId="11" borderId="37" xfId="4" applyNumberFormat="1" applyFont="1" applyFill="1" applyBorder="1" applyAlignment="1">
      <alignment vertical="center"/>
    </xf>
    <xf numFmtId="3" fontId="21" fillId="11" borderId="53" xfId="4" applyNumberFormat="1" applyFont="1" applyFill="1" applyBorder="1" applyAlignment="1">
      <alignment vertical="center"/>
    </xf>
    <xf numFmtId="3" fontId="21" fillId="11" borderId="38" xfId="4" applyNumberFormat="1" applyFont="1" applyFill="1" applyBorder="1" applyAlignment="1">
      <alignment vertical="center"/>
    </xf>
    <xf numFmtId="0" fontId="21" fillId="12" borderId="26" xfId="5" applyFont="1" applyFill="1" applyBorder="1" applyAlignment="1">
      <alignment horizontal="left" vertical="center" wrapText="1"/>
    </xf>
    <xf numFmtId="3" fontId="13" fillId="0" borderId="35" xfId="4" applyNumberFormat="1" applyFont="1" applyBorder="1" applyAlignment="1">
      <alignment vertical="center"/>
    </xf>
    <xf numFmtId="3" fontId="13" fillId="0" borderId="36" xfId="4" applyNumberFormat="1" applyFont="1" applyBorder="1" applyAlignment="1">
      <alignment vertical="center"/>
    </xf>
    <xf numFmtId="3" fontId="13" fillId="5" borderId="36" xfId="4" applyNumberFormat="1" applyFont="1" applyFill="1" applyBorder="1" applyAlignment="1">
      <alignment vertical="center"/>
    </xf>
    <xf numFmtId="3" fontId="20" fillId="7" borderId="37" xfId="4" applyNumberFormat="1" applyFont="1" applyFill="1" applyBorder="1" applyAlignment="1">
      <alignment vertical="center"/>
    </xf>
    <xf numFmtId="3" fontId="20" fillId="5" borderId="53" xfId="4" applyNumberFormat="1" applyFont="1" applyFill="1" applyBorder="1" applyAlignment="1">
      <alignment vertical="center"/>
    </xf>
    <xf numFmtId="3" fontId="20" fillId="5" borderId="38" xfId="4" applyNumberFormat="1" applyFont="1" applyFill="1" applyBorder="1" applyAlignment="1">
      <alignment vertical="center"/>
    </xf>
    <xf numFmtId="0" fontId="26" fillId="10" borderId="26" xfId="5" applyFont="1" applyFill="1" applyBorder="1" applyAlignment="1">
      <alignment horizontal="left" vertical="center" wrapText="1" indent="3"/>
    </xf>
    <xf numFmtId="0" fontId="5" fillId="0" borderId="0" xfId="4" applyFont="1"/>
    <xf numFmtId="3" fontId="27" fillId="0" borderId="35" xfId="4" applyNumberFormat="1" applyFont="1" applyBorder="1" applyAlignment="1">
      <alignment vertical="center"/>
    </xf>
    <xf numFmtId="3" fontId="27" fillId="0" borderId="36" xfId="4" applyNumberFormat="1" applyFont="1" applyBorder="1" applyAlignment="1">
      <alignment vertical="center"/>
    </xf>
    <xf numFmtId="3" fontId="27" fillId="5" borderId="36" xfId="4" applyNumberFormat="1" applyFont="1" applyFill="1" applyBorder="1" applyAlignment="1">
      <alignment vertical="center"/>
    </xf>
    <xf numFmtId="3" fontId="19" fillId="7" borderId="37" xfId="4" applyNumberFormat="1" applyFont="1" applyFill="1" applyBorder="1" applyAlignment="1">
      <alignment vertical="center"/>
    </xf>
    <xf numFmtId="3" fontId="19" fillId="5" borderId="53" xfId="4" applyNumberFormat="1" applyFont="1" applyFill="1" applyBorder="1" applyAlignment="1">
      <alignment vertical="center"/>
    </xf>
    <xf numFmtId="3" fontId="19" fillId="5" borderId="38" xfId="4" applyNumberFormat="1" applyFont="1" applyFill="1" applyBorder="1" applyAlignment="1">
      <alignment vertical="center"/>
    </xf>
    <xf numFmtId="0" fontId="28" fillId="10" borderId="26" xfId="5" applyFont="1" applyFill="1" applyBorder="1" applyAlignment="1">
      <alignment horizontal="left" vertical="center" wrapText="1" indent="1"/>
    </xf>
    <xf numFmtId="3" fontId="19" fillId="7" borderId="53" xfId="4" applyNumberFormat="1" applyFont="1" applyFill="1" applyBorder="1" applyAlignment="1">
      <alignment vertical="center"/>
    </xf>
    <xf numFmtId="0" fontId="21" fillId="10" borderId="26" xfId="5" applyFont="1" applyFill="1" applyBorder="1" applyAlignment="1">
      <alignment horizontal="left" vertical="center" wrapText="1"/>
    </xf>
    <xf numFmtId="0" fontId="29" fillId="5" borderId="0" xfId="4" applyFont="1" applyFill="1"/>
    <xf numFmtId="3" fontId="19" fillId="5" borderId="35" xfId="4" applyNumberFormat="1" applyFont="1" applyFill="1" applyBorder="1" applyAlignment="1">
      <alignment vertical="center"/>
    </xf>
    <xf numFmtId="3" fontId="19" fillId="5" borderId="36" xfId="4" applyNumberFormat="1" applyFont="1" applyFill="1" applyBorder="1" applyAlignment="1">
      <alignment vertical="center"/>
    </xf>
    <xf numFmtId="0" fontId="19" fillId="13" borderId="26" xfId="5" applyFont="1" applyFill="1" applyBorder="1" applyAlignment="1">
      <alignment horizontal="left" vertical="center" indent="3"/>
    </xf>
    <xf numFmtId="0" fontId="21" fillId="12" borderId="26" xfId="5" applyFont="1" applyFill="1" applyBorder="1" applyAlignment="1">
      <alignment horizontal="left" vertical="center"/>
    </xf>
    <xf numFmtId="0" fontId="26" fillId="10" borderId="26" xfId="5" applyFont="1" applyFill="1" applyBorder="1" applyAlignment="1">
      <alignment horizontal="left" vertical="center" indent="1"/>
    </xf>
    <xf numFmtId="3" fontId="29" fillId="5" borderId="35" xfId="4" applyNumberFormat="1" applyFont="1" applyFill="1" applyBorder="1" applyAlignment="1">
      <alignment vertical="center"/>
    </xf>
    <xf numFmtId="3" fontId="29" fillId="5" borderId="36" xfId="4" applyNumberFormat="1" applyFont="1" applyFill="1" applyBorder="1" applyAlignment="1">
      <alignment vertical="center"/>
    </xf>
    <xf numFmtId="3" fontId="22" fillId="5" borderId="37" xfId="4" applyNumberFormat="1" applyFont="1" applyFill="1" applyBorder="1" applyAlignment="1">
      <alignment vertical="center"/>
    </xf>
    <xf numFmtId="3" fontId="29" fillId="5" borderId="53" xfId="4" applyNumberFormat="1" applyFont="1" applyFill="1" applyBorder="1" applyAlignment="1">
      <alignment vertical="center"/>
    </xf>
    <xf numFmtId="3" fontId="29" fillId="5" borderId="38" xfId="4" applyNumberFormat="1" applyFont="1" applyFill="1" applyBorder="1" applyAlignment="1">
      <alignment vertical="center"/>
    </xf>
    <xf numFmtId="0" fontId="5" fillId="14" borderId="0" xfId="4" applyFont="1" applyFill="1"/>
    <xf numFmtId="3" fontId="8" fillId="14" borderId="35" xfId="4" applyNumberFormat="1" applyFont="1" applyFill="1" applyBorder="1" applyAlignment="1">
      <alignment vertical="center"/>
    </xf>
    <xf numFmtId="3" fontId="8" fillId="14" borderId="36" xfId="4" applyNumberFormat="1" applyFont="1" applyFill="1" applyBorder="1" applyAlignment="1">
      <alignment vertical="center"/>
    </xf>
    <xf numFmtId="3" fontId="19" fillId="14" borderId="36" xfId="4" applyNumberFormat="1" applyFont="1" applyFill="1" applyBorder="1" applyAlignment="1">
      <alignment vertical="center"/>
    </xf>
    <xf numFmtId="3" fontId="22" fillId="14" borderId="37" xfId="4" applyNumberFormat="1" applyFont="1" applyFill="1" applyBorder="1" applyAlignment="1">
      <alignment vertical="center"/>
    </xf>
    <xf numFmtId="3" fontId="8" fillId="14" borderId="53" xfId="4" applyNumberFormat="1" applyFont="1" applyFill="1" applyBorder="1" applyAlignment="1">
      <alignment vertical="center"/>
    </xf>
    <xf numFmtId="3" fontId="8" fillId="14" borderId="38" xfId="4" applyNumberFormat="1" applyFont="1" applyFill="1" applyBorder="1" applyAlignment="1">
      <alignment vertical="center"/>
    </xf>
    <xf numFmtId="0" fontId="19" fillId="14" borderId="26" xfId="5" applyFont="1" applyFill="1" applyBorder="1" applyAlignment="1">
      <alignment horizontal="left" indent="1"/>
    </xf>
    <xf numFmtId="0" fontId="26" fillId="0" borderId="26" xfId="5" applyFont="1" applyBorder="1" applyAlignment="1">
      <alignment horizontal="left" indent="3"/>
    </xf>
    <xf numFmtId="0" fontId="20" fillId="0" borderId="36" xfId="4" applyFont="1" applyBorder="1"/>
    <xf numFmtId="0" fontId="20" fillId="5" borderId="36" xfId="4" applyFont="1" applyFill="1" applyBorder="1"/>
    <xf numFmtId="3" fontId="19" fillId="7" borderId="36" xfId="4" applyNumberFormat="1" applyFont="1" applyFill="1" applyBorder="1" applyAlignment="1">
      <alignment vertical="center"/>
    </xf>
    <xf numFmtId="0" fontId="26" fillId="10" borderId="26" xfId="5" applyFont="1" applyFill="1" applyBorder="1" applyAlignment="1">
      <alignment horizontal="left" indent="3"/>
    </xf>
    <xf numFmtId="3" fontId="22" fillId="5" borderId="53" xfId="4" applyNumberFormat="1" applyFont="1" applyFill="1" applyBorder="1" applyAlignment="1">
      <alignment vertical="center"/>
    </xf>
    <xf numFmtId="3" fontId="22" fillId="5" borderId="38" xfId="4" applyNumberFormat="1" applyFont="1" applyFill="1" applyBorder="1" applyAlignment="1">
      <alignment vertical="center"/>
    </xf>
    <xf numFmtId="0" fontId="29" fillId="0" borderId="0" xfId="4" applyFont="1"/>
    <xf numFmtId="3" fontId="30" fillId="0" borderId="35" xfId="4" applyNumberFormat="1" applyFont="1" applyBorder="1" applyAlignment="1">
      <alignment vertical="center"/>
    </xf>
    <xf numFmtId="3" fontId="30" fillId="0" borderId="36" xfId="4" applyNumberFormat="1" applyFont="1" applyBorder="1" applyAlignment="1">
      <alignment vertical="center"/>
    </xf>
    <xf numFmtId="3" fontId="30" fillId="5" borderId="36" xfId="4" applyNumberFormat="1" applyFont="1" applyFill="1" applyBorder="1" applyAlignment="1">
      <alignment vertical="center"/>
    </xf>
    <xf numFmtId="3" fontId="29" fillId="7" borderId="53" xfId="4" applyNumberFormat="1" applyFont="1" applyFill="1" applyBorder="1" applyAlignment="1">
      <alignment vertical="center"/>
    </xf>
    <xf numFmtId="0" fontId="31" fillId="10" borderId="26" xfId="5" applyFont="1" applyFill="1" applyBorder="1" applyAlignment="1">
      <alignment horizontal="center" vertical="center"/>
    </xf>
    <xf numFmtId="0" fontId="20" fillId="0" borderId="26" xfId="5" applyFont="1" applyBorder="1" applyAlignment="1">
      <alignment horizontal="left" indent="3"/>
    </xf>
    <xf numFmtId="0" fontId="31" fillId="14" borderId="26" xfId="5" applyFont="1" applyFill="1" applyBorder="1" applyAlignment="1">
      <alignment horizontal="left" indent="1"/>
    </xf>
    <xf numFmtId="0" fontId="32" fillId="0" borderId="26" xfId="4" applyFont="1" applyBorder="1" applyAlignment="1">
      <alignment horizontal="left" indent="3"/>
    </xf>
    <xf numFmtId="0" fontId="32" fillId="0" borderId="26" xfId="5" applyFont="1" applyBorder="1" applyAlignment="1">
      <alignment horizontal="left" indent="3"/>
    </xf>
    <xf numFmtId="3" fontId="20" fillId="7" borderId="53" xfId="4" applyNumberFormat="1" applyFont="1" applyFill="1" applyBorder="1" applyAlignment="1">
      <alignment vertical="center"/>
    </xf>
    <xf numFmtId="3" fontId="33" fillId="5" borderId="38" xfId="4" applyNumberFormat="1" applyFont="1" applyFill="1" applyBorder="1" applyAlignment="1">
      <alignment vertical="center"/>
    </xf>
    <xf numFmtId="3" fontId="20" fillId="5" borderId="38" xfId="4" applyNumberFormat="1" applyFont="1" applyFill="1" applyBorder="1" applyAlignment="1">
      <alignment horizontal="right" vertical="center"/>
    </xf>
    <xf numFmtId="0" fontId="26" fillId="10" borderId="26" xfId="5" applyFont="1" applyFill="1" applyBorder="1" applyAlignment="1">
      <alignment horizontal="left" wrapText="1" indent="3"/>
    </xf>
    <xf numFmtId="3" fontId="8" fillId="7" borderId="35" xfId="4" applyNumberFormat="1" applyFont="1" applyFill="1" applyBorder="1" applyAlignment="1">
      <alignment vertical="center"/>
    </xf>
    <xf numFmtId="3" fontId="8" fillId="7" borderId="36" xfId="4" applyNumberFormat="1" applyFont="1" applyFill="1" applyBorder="1" applyAlignment="1">
      <alignment vertical="center"/>
    </xf>
    <xf numFmtId="3" fontId="8" fillId="5" borderId="36" xfId="4" applyNumberFormat="1" applyFont="1" applyFill="1" applyBorder="1" applyAlignment="1">
      <alignment vertical="center"/>
    </xf>
    <xf numFmtId="3" fontId="8" fillId="7" borderId="37" xfId="4" applyNumberFormat="1" applyFont="1" applyFill="1" applyBorder="1" applyAlignment="1">
      <alignment vertical="center"/>
    </xf>
    <xf numFmtId="3" fontId="22" fillId="5" borderId="38" xfId="5" applyNumberFormat="1" applyFont="1" applyFill="1" applyBorder="1" applyAlignment="1">
      <alignment horizontal="right" vertical="center"/>
    </xf>
    <xf numFmtId="3" fontId="29" fillId="7" borderId="37" xfId="4" applyNumberFormat="1" applyFont="1" applyFill="1" applyBorder="1" applyAlignment="1">
      <alignment vertical="center"/>
    </xf>
    <xf numFmtId="0" fontId="34" fillId="0" borderId="35" xfId="5" applyFont="1" applyBorder="1" applyAlignment="1">
      <alignment horizontal="center" vertical="center" wrapText="1"/>
    </xf>
    <xf numFmtId="0" fontId="25" fillId="0" borderId="36" xfId="4" applyFont="1" applyBorder="1" applyAlignment="1">
      <alignment horizontal="center" vertical="center" wrapText="1"/>
    </xf>
    <xf numFmtId="0" fontId="25" fillId="5" borderId="36" xfId="4" applyFont="1" applyFill="1" applyBorder="1" applyAlignment="1">
      <alignment horizontal="center" vertical="center" wrapText="1"/>
    </xf>
    <xf numFmtId="0" fontId="19" fillId="6" borderId="36" xfId="5" applyFont="1" applyFill="1" applyBorder="1" applyAlignment="1">
      <alignment horizontal="center" vertical="center" wrapText="1"/>
    </xf>
    <xf numFmtId="0" fontId="5" fillId="0" borderId="37" xfId="5" applyFont="1" applyBorder="1" applyAlignment="1">
      <alignment horizontal="center" vertical="center" wrapText="1"/>
    </xf>
    <xf numFmtId="0" fontId="5" fillId="0" borderId="53" xfId="5" applyFont="1" applyBorder="1" applyAlignment="1">
      <alignment horizontal="center" vertical="center" wrapText="1"/>
    </xf>
    <xf numFmtId="0" fontId="34" fillId="0" borderId="38" xfId="5" applyFont="1" applyBorder="1" applyAlignment="1">
      <alignment horizontal="center" wrapText="1"/>
    </xf>
    <xf numFmtId="0" fontId="27" fillId="0" borderId="26" xfId="4" applyFont="1" applyBorder="1" applyAlignment="1">
      <alignment horizontal="left" vertical="center" wrapText="1" indent="3"/>
    </xf>
    <xf numFmtId="0" fontId="30" fillId="0" borderId="36" xfId="4" applyFont="1" applyBorder="1" applyAlignment="1">
      <alignment horizontal="center" vertical="center" wrapText="1"/>
    </xf>
    <xf numFmtId="0" fontId="30" fillId="5" borderId="36" xfId="4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center"/>
    </xf>
    <xf numFmtId="0" fontId="30" fillId="5" borderId="0" xfId="4" applyFont="1" applyFill="1" applyAlignment="1">
      <alignment horizontal="center" vertical="center"/>
    </xf>
    <xf numFmtId="0" fontId="27" fillId="6" borderId="0" xfId="4" applyFont="1" applyFill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19" fillId="10" borderId="0" xfId="5" applyFont="1" applyFill="1" applyAlignment="1"/>
    <xf numFmtId="0" fontId="19" fillId="10" borderId="0" xfId="5" applyFont="1" applyFill="1" applyAlignment="1">
      <alignment horizontal="center"/>
    </xf>
    <xf numFmtId="0" fontId="1" fillId="0" borderId="0" xfId="7"/>
    <xf numFmtId="166" fontId="0" fillId="0" borderId="0" xfId="8" applyNumberFormat="1" applyFont="1"/>
    <xf numFmtId="166" fontId="27" fillId="14" borderId="1" xfId="8" applyNumberFormat="1" applyFont="1" applyFill="1" applyBorder="1" applyAlignment="1">
      <alignment horizontal="right" vertical="center"/>
    </xf>
    <xf numFmtId="0" fontId="27" fillId="14" borderId="4" xfId="7" applyFont="1" applyFill="1" applyBorder="1" applyAlignment="1">
      <alignment horizontal="left" wrapText="1"/>
    </xf>
    <xf numFmtId="166" fontId="13" fillId="0" borderId="35" xfId="8" applyNumberFormat="1" applyFont="1" applyBorder="1" applyAlignment="1">
      <alignment horizontal="right" vertical="center"/>
    </xf>
    <xf numFmtId="0" fontId="13" fillId="0" borderId="26" xfId="7" applyFont="1" applyBorder="1" applyAlignment="1">
      <alignment horizontal="left" vertical="center" wrapText="1" indent="2"/>
    </xf>
    <xf numFmtId="0" fontId="13" fillId="0" borderId="26" xfId="7" applyFont="1" applyBorder="1" applyAlignment="1">
      <alignment horizontal="left" vertical="center" indent="2"/>
    </xf>
    <xf numFmtId="166" fontId="27" fillId="0" borderId="5" xfId="8" applyNumberFormat="1" applyFont="1" applyBorder="1" applyAlignment="1">
      <alignment horizontal="center" vertical="center"/>
    </xf>
    <xf numFmtId="0" fontId="27" fillId="0" borderId="55" xfId="7" applyFont="1" applyBorder="1" applyAlignment="1">
      <alignment horizontal="center" vertical="center"/>
    </xf>
    <xf numFmtId="166" fontId="0" fillId="0" borderId="0" xfId="8" applyNumberFormat="1" applyFont="1" applyAlignment="1">
      <alignment horizontal="right"/>
    </xf>
    <xf numFmtId="0" fontId="39" fillId="0" borderId="0" xfId="4" applyFont="1" applyAlignment="1"/>
    <xf numFmtId="0" fontId="17" fillId="0" borderId="0" xfId="7" applyFont="1" applyAlignment="1">
      <alignment horizontal="center" vertical="center" wrapText="1"/>
    </xf>
    <xf numFmtId="0" fontId="22" fillId="0" borderId="0" xfId="4" applyFont="1" applyAlignment="1">
      <alignment horizontal="right"/>
    </xf>
    <xf numFmtId="0" fontId="40" fillId="0" borderId="0" xfId="9"/>
    <xf numFmtId="0" fontId="18" fillId="0" borderId="0" xfId="10"/>
    <xf numFmtId="3" fontId="18" fillId="0" borderId="0" xfId="10" applyNumberFormat="1"/>
    <xf numFmtId="0" fontId="20" fillId="0" borderId="0" xfId="10" applyFont="1"/>
    <xf numFmtId="0" fontId="20" fillId="0" borderId="0" xfId="10" applyFont="1" applyAlignment="1">
      <alignment horizontal="center" vertical="center"/>
    </xf>
    <xf numFmtId="0" fontId="41" fillId="0" borderId="0" xfId="10" applyFont="1" applyAlignment="1">
      <alignment horizontal="center" vertical="center" wrapText="1"/>
    </xf>
    <xf numFmtId="0" fontId="18" fillId="0" borderId="0" xfId="10" applyAlignment="1">
      <alignment horizontal="center" vertical="center"/>
    </xf>
    <xf numFmtId="3" fontId="42" fillId="0" borderId="56" xfId="10" applyNumberFormat="1" applyFont="1" applyBorder="1" applyAlignment="1">
      <alignment vertical="center"/>
    </xf>
    <xf numFmtId="3" fontId="19" fillId="0" borderId="57" xfId="10" applyNumberFormat="1" applyFont="1" applyBorder="1" applyAlignment="1">
      <alignment vertical="center"/>
    </xf>
    <xf numFmtId="3" fontId="42" fillId="0" borderId="60" xfId="10" applyNumberFormat="1" applyFont="1" applyBorder="1" applyAlignment="1">
      <alignment vertical="center"/>
    </xf>
    <xf numFmtId="3" fontId="19" fillId="0" borderId="36" xfId="10" applyNumberFormat="1" applyFont="1" applyBorder="1" applyAlignment="1">
      <alignment vertical="center"/>
    </xf>
    <xf numFmtId="3" fontId="42" fillId="0" borderId="61" xfId="10" applyNumberFormat="1" applyFont="1" applyBorder="1" applyAlignment="1">
      <alignment vertical="center"/>
    </xf>
    <xf numFmtId="3" fontId="19" fillId="0" borderId="24" xfId="10" applyNumberFormat="1" applyFont="1" applyBorder="1" applyAlignment="1">
      <alignment vertical="center"/>
    </xf>
    <xf numFmtId="3" fontId="42" fillId="0" borderId="62" xfId="10" applyNumberFormat="1" applyFont="1" applyBorder="1" applyAlignment="1">
      <alignment vertical="center"/>
    </xf>
    <xf numFmtId="3" fontId="19" fillId="0" borderId="2" xfId="10" applyNumberFormat="1" applyFont="1" applyBorder="1" applyAlignment="1">
      <alignment vertical="center"/>
    </xf>
    <xf numFmtId="3" fontId="42" fillId="0" borderId="64" xfId="10" applyNumberFormat="1" applyFont="1" applyBorder="1" applyAlignment="1">
      <alignment vertical="center"/>
    </xf>
    <xf numFmtId="3" fontId="19" fillId="0" borderId="65" xfId="10" applyNumberFormat="1" applyFont="1" applyBorder="1" applyAlignment="1">
      <alignment vertical="center"/>
    </xf>
    <xf numFmtId="3" fontId="43" fillId="0" borderId="56" xfId="10" applyNumberFormat="1" applyFont="1" applyBorder="1"/>
    <xf numFmtId="3" fontId="44" fillId="0" borderId="57" xfId="10" applyNumberFormat="1" applyFont="1" applyBorder="1"/>
    <xf numFmtId="3" fontId="43" fillId="0" borderId="60" xfId="10" applyNumberFormat="1" applyFont="1" applyBorder="1"/>
    <xf numFmtId="3" fontId="44" fillId="0" borderId="36" xfId="10" applyNumberFormat="1" applyFont="1" applyBorder="1"/>
    <xf numFmtId="3" fontId="11" fillId="0" borderId="36" xfId="10" applyNumberFormat="1" applyFont="1" applyBorder="1"/>
    <xf numFmtId="3" fontId="20" fillId="0" borderId="36" xfId="10" applyNumberFormat="1" applyFont="1" applyBorder="1"/>
    <xf numFmtId="3" fontId="43" fillId="0" borderId="61" xfId="10" applyNumberFormat="1" applyFont="1" applyBorder="1"/>
    <xf numFmtId="3" fontId="20" fillId="0" borderId="24" xfId="10" applyNumberFormat="1" applyFont="1" applyBorder="1"/>
    <xf numFmtId="3" fontId="43" fillId="0" borderId="62" xfId="10" applyNumberFormat="1" applyFont="1" applyBorder="1"/>
    <xf numFmtId="3" fontId="20" fillId="0" borderId="2" xfId="10" applyNumberFormat="1" applyFont="1" applyBorder="1"/>
    <xf numFmtId="0" fontId="20" fillId="0" borderId="36" xfId="10" applyFont="1" applyBorder="1" applyAlignment="1">
      <alignment horizontal="left"/>
    </xf>
    <xf numFmtId="167" fontId="18" fillId="0" borderId="0" xfId="11" applyFont="1" applyBorder="1" applyAlignment="1" applyProtection="1"/>
    <xf numFmtId="3" fontId="43" fillId="0" borderId="64" xfId="10" applyNumberFormat="1" applyFont="1" applyBorder="1"/>
    <xf numFmtId="3" fontId="20" fillId="0" borderId="65" xfId="10" applyNumberFormat="1" applyFont="1" applyBorder="1"/>
    <xf numFmtId="3" fontId="11" fillId="0" borderId="57" xfId="10" applyNumberFormat="1" applyFont="1" applyBorder="1"/>
    <xf numFmtId="3" fontId="33" fillId="0" borderId="60" xfId="10" applyNumberFormat="1" applyFont="1" applyBorder="1"/>
    <xf numFmtId="3" fontId="33" fillId="0" borderId="61" xfId="10" applyNumberFormat="1" applyFont="1" applyBorder="1"/>
    <xf numFmtId="3" fontId="33" fillId="0" borderId="62" xfId="10" applyNumberFormat="1" applyFont="1" applyBorder="1"/>
    <xf numFmtId="3" fontId="33" fillId="0" borderId="64" xfId="10" applyNumberFormat="1" applyFont="1" applyBorder="1"/>
    <xf numFmtId="0" fontId="11" fillId="0" borderId="51" xfId="12" applyFont="1" applyBorder="1" applyAlignment="1">
      <alignment horizontal="right"/>
    </xf>
    <xf numFmtId="0" fontId="45" fillId="0" borderId="0" xfId="13" applyFont="1" applyAlignment="1">
      <alignment horizontal="right"/>
    </xf>
    <xf numFmtId="0" fontId="3" fillId="0" borderId="0" xfId="10" applyFont="1" applyBorder="1"/>
    <xf numFmtId="0" fontId="3" fillId="0" borderId="0" xfId="10" applyFont="1"/>
    <xf numFmtId="0" fontId="8" fillId="0" borderId="0" xfId="10" applyFont="1" applyAlignment="1">
      <alignment horizontal="center"/>
    </xf>
    <xf numFmtId="0" fontId="24" fillId="0" borderId="0" xfId="12" applyFont="1"/>
    <xf numFmtId="166" fontId="24" fillId="0" borderId="0" xfId="14" applyNumberFormat="1" applyFont="1"/>
    <xf numFmtId="0" fontId="24" fillId="0" borderId="0" xfId="12" applyFont="1" applyAlignment="1">
      <alignment vertical="center"/>
    </xf>
    <xf numFmtId="166" fontId="24" fillId="0" borderId="35" xfId="14" applyNumberFormat="1" applyFont="1" applyBorder="1"/>
    <xf numFmtId="166" fontId="24" fillId="0" borderId="36" xfId="14" applyNumberFormat="1" applyFont="1" applyBorder="1"/>
    <xf numFmtId="0" fontId="48" fillId="0" borderId="26" xfId="12" applyFont="1" applyBorder="1" applyAlignment="1">
      <alignment vertical="center"/>
    </xf>
    <xf numFmtId="0" fontId="24" fillId="0" borderId="26" xfId="12" applyFont="1" applyBorder="1" applyAlignment="1">
      <alignment vertical="center" wrapText="1"/>
    </xf>
    <xf numFmtId="166" fontId="24" fillId="0" borderId="38" xfId="14" applyNumberFormat="1" applyFont="1" applyBorder="1"/>
    <xf numFmtId="0" fontId="24" fillId="0" borderId="26" xfId="12" applyFont="1" applyBorder="1" applyAlignment="1">
      <alignment vertical="center"/>
    </xf>
    <xf numFmtId="166" fontId="24" fillId="0" borderId="5" xfId="14" applyNumberFormat="1" applyFont="1" applyBorder="1"/>
    <xf numFmtId="166" fontId="24" fillId="0" borderId="33" xfId="14" applyNumberFormat="1" applyFont="1" applyBorder="1"/>
    <xf numFmtId="166" fontId="24" fillId="0" borderId="6" xfId="14" applyNumberFormat="1" applyFont="1" applyBorder="1"/>
    <xf numFmtId="0" fontId="2" fillId="0" borderId="55" xfId="12" applyBorder="1" applyAlignment="1">
      <alignment wrapText="1"/>
    </xf>
    <xf numFmtId="166" fontId="24" fillId="0" borderId="45" xfId="14" applyNumberFormat="1" applyFont="1" applyBorder="1"/>
    <xf numFmtId="166" fontId="24" fillId="0" borderId="18" xfId="14" applyNumberFormat="1" applyFont="1" applyBorder="1"/>
    <xf numFmtId="166" fontId="24" fillId="0" borderId="0" xfId="14" applyNumberFormat="1" applyFont="1" applyBorder="1"/>
    <xf numFmtId="0" fontId="48" fillId="0" borderId="70" xfId="12" applyFont="1" applyBorder="1" applyAlignment="1">
      <alignment vertical="center"/>
    </xf>
    <xf numFmtId="166" fontId="25" fillId="0" borderId="35" xfId="14" applyNumberFormat="1" applyFont="1" applyBorder="1" applyAlignment="1">
      <alignment horizontal="right" vertical="center"/>
    </xf>
    <xf numFmtId="166" fontId="25" fillId="0" borderId="36" xfId="14" applyNumberFormat="1" applyFont="1" applyBorder="1" applyAlignment="1">
      <alignment horizontal="right" vertical="center"/>
    </xf>
    <xf numFmtId="166" fontId="25" fillId="0" borderId="36" xfId="14" applyNumberFormat="1" applyFont="1" applyBorder="1" applyAlignment="1">
      <alignment vertical="center"/>
    </xf>
    <xf numFmtId="166" fontId="24" fillId="5" borderId="35" xfId="14" applyNumberFormat="1" applyFont="1" applyFill="1" applyBorder="1" applyAlignment="1">
      <alignment horizontal="right" vertical="center"/>
    </xf>
    <xf numFmtId="166" fontId="24" fillId="5" borderId="38" xfId="14" applyNumberFormat="1" applyFont="1" applyFill="1" applyBorder="1" applyAlignment="1">
      <alignment horizontal="right" vertical="center"/>
    </xf>
    <xf numFmtId="166" fontId="24" fillId="5" borderId="36" xfId="14" applyNumberFormat="1" applyFont="1" applyFill="1" applyBorder="1" applyAlignment="1">
      <alignment vertical="center"/>
    </xf>
    <xf numFmtId="0" fontId="24" fillId="0" borderId="26" xfId="12" applyFont="1" applyBorder="1" applyAlignment="1">
      <alignment horizontal="left" vertical="center" wrapText="1"/>
    </xf>
    <xf numFmtId="166" fontId="49" fillId="0" borderId="5" xfId="14" applyNumberFormat="1" applyFont="1" applyBorder="1" applyAlignment="1">
      <alignment horizontal="center" vertical="center" wrapText="1"/>
    </xf>
    <xf numFmtId="166" fontId="49" fillId="0" borderId="33" xfId="14" applyNumberFormat="1" applyFont="1" applyBorder="1" applyAlignment="1">
      <alignment horizontal="center" vertical="center" wrapText="1"/>
    </xf>
    <xf numFmtId="166" fontId="49" fillId="0" borderId="6" xfId="14" applyNumberFormat="1" applyFont="1" applyBorder="1" applyAlignment="1">
      <alignment horizontal="center" vertical="center" wrapText="1"/>
    </xf>
    <xf numFmtId="0" fontId="25" fillId="0" borderId="55" xfId="12" applyFont="1" applyBorder="1" applyAlignment="1">
      <alignment horizontal="center" vertical="center"/>
    </xf>
    <xf numFmtId="0" fontId="24" fillId="0" borderId="0" xfId="12" applyFont="1" applyBorder="1" applyAlignment="1">
      <alignment vertical="center"/>
    </xf>
    <xf numFmtId="166" fontId="50" fillId="0" borderId="0" xfId="14" applyNumberFormat="1" applyFont="1" applyBorder="1"/>
    <xf numFmtId="0" fontId="24" fillId="0" borderId="0" xfId="12" applyFont="1" applyAlignment="1">
      <alignment horizontal="center"/>
    </xf>
    <xf numFmtId="166" fontId="50" fillId="0" borderId="0" xfId="14" applyNumberFormat="1" applyFont="1" applyBorder="1" applyAlignment="1">
      <alignment horizontal="center"/>
    </xf>
    <xf numFmtId="166" fontId="24" fillId="0" borderId="0" xfId="14" applyNumberFormat="1" applyFont="1" applyBorder="1" applyAlignment="1">
      <alignment horizontal="center"/>
    </xf>
    <xf numFmtId="0" fontId="24" fillId="0" borderId="0" xfId="12" applyFont="1" applyAlignment="1">
      <alignment horizontal="center" vertical="center"/>
    </xf>
    <xf numFmtId="166" fontId="50" fillId="0" borderId="0" xfId="14" applyNumberFormat="1" applyFont="1" applyBorder="1" applyAlignment="1">
      <alignment horizontal="center" vertical="center"/>
    </xf>
    <xf numFmtId="166" fontId="24" fillId="0" borderId="0" xfId="14" applyNumberFormat="1" applyFont="1" applyBorder="1" applyAlignment="1">
      <alignment horizontal="center" vertical="center"/>
    </xf>
    <xf numFmtId="166" fontId="24" fillId="0" borderId="0" xfId="14" applyNumberFormat="1" applyFont="1" applyBorder="1" applyAlignment="1">
      <alignment vertical="center"/>
    </xf>
    <xf numFmtId="0" fontId="49" fillId="0" borderId="0" xfId="12" applyFont="1" applyAlignment="1">
      <alignment vertical="center" wrapText="1"/>
    </xf>
    <xf numFmtId="0" fontId="25" fillId="0" borderId="0" xfId="12" applyFont="1" applyBorder="1" applyAlignment="1">
      <alignment horizontal="center" vertical="center" wrapText="1"/>
    </xf>
    <xf numFmtId="0" fontId="25" fillId="0" borderId="0" xfId="12" applyFont="1" applyBorder="1" applyAlignment="1">
      <alignment horizontal="center" wrapText="1"/>
    </xf>
    <xf numFmtId="0" fontId="3" fillId="0" borderId="0" xfId="0" applyFont="1" applyBorder="1"/>
    <xf numFmtId="3" fontId="19" fillId="0" borderId="10" xfId="0" applyNumberFormat="1" applyFont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/>
    </xf>
    <xf numFmtId="0" fontId="19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center"/>
    </xf>
    <xf numFmtId="3" fontId="20" fillId="0" borderId="35" xfId="0" applyNumberFormat="1" applyFont="1" applyBorder="1" applyAlignment="1">
      <alignment horizontal="right" vertical="center"/>
    </xf>
    <xf numFmtId="3" fontId="20" fillId="0" borderId="36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left" vertical="center"/>
    </xf>
    <xf numFmtId="3" fontId="20" fillId="0" borderId="5" xfId="0" applyNumberFormat="1" applyFont="1" applyBorder="1" applyAlignment="1">
      <alignment horizontal="right" vertical="center"/>
    </xf>
    <xf numFmtId="3" fontId="20" fillId="0" borderId="33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6" fontId="46" fillId="0" borderId="0" xfId="1" applyNumberFormat="1" applyFont="1" applyAlignment="1">
      <alignment horizontal="right" wrapText="1"/>
    </xf>
    <xf numFmtId="0" fontId="18" fillId="0" borderId="0" xfId="0" applyFont="1"/>
    <xf numFmtId="0" fontId="47" fillId="0" borderId="0" xfId="0" applyFont="1"/>
    <xf numFmtId="3" fontId="18" fillId="0" borderId="0" xfId="0" applyNumberFormat="1" applyFont="1"/>
    <xf numFmtId="3" fontId="3" fillId="0" borderId="0" xfId="3" applyNumberFormat="1" applyFont="1" applyBorder="1" applyAlignment="1">
      <alignment horizontal="right"/>
    </xf>
    <xf numFmtId="3" fontId="5" fillId="0" borderId="35" xfId="0" applyNumberFormat="1" applyFont="1" applyBorder="1" applyAlignment="1">
      <alignment horizontal="right" wrapText="1"/>
    </xf>
    <xf numFmtId="3" fontId="5" fillId="0" borderId="36" xfId="0" applyNumberFormat="1" applyFont="1" applyBorder="1" applyAlignment="1">
      <alignment horizontal="right" wrapText="1"/>
    </xf>
    <xf numFmtId="0" fontId="5" fillId="0" borderId="36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center" vertical="center"/>
    </xf>
    <xf numFmtId="3" fontId="5" fillId="5" borderId="35" xfId="0" applyNumberFormat="1" applyFont="1" applyFill="1" applyBorder="1" applyAlignment="1">
      <alignment horizontal="right"/>
    </xf>
    <xf numFmtId="3" fontId="3" fillId="3" borderId="36" xfId="0" applyNumberFormat="1" applyFont="1" applyFill="1" applyBorder="1" applyAlignment="1">
      <alignment horizontal="right" wrapText="1"/>
    </xf>
    <xf numFmtId="0" fontId="6" fillId="5" borderId="36" xfId="0" applyFont="1" applyFill="1" applyBorder="1" applyAlignment="1">
      <alignment wrapText="1"/>
    </xf>
    <xf numFmtId="0" fontId="18" fillId="15" borderId="0" xfId="0" applyFont="1" applyFill="1"/>
    <xf numFmtId="3" fontId="3" fillId="15" borderId="0" xfId="3" applyNumberFormat="1" applyFont="1" applyFill="1" applyBorder="1" applyAlignment="1">
      <alignment horizontal="right"/>
    </xf>
    <xf numFmtId="3" fontId="5" fillId="15" borderId="35" xfId="0" applyNumberFormat="1" applyFont="1" applyFill="1" applyBorder="1" applyAlignment="1">
      <alignment horizontal="right"/>
    </xf>
    <xf numFmtId="3" fontId="3" fillId="15" borderId="36" xfId="0" applyNumberFormat="1" applyFont="1" applyFill="1" applyBorder="1" applyAlignment="1">
      <alignment horizontal="right"/>
    </xf>
    <xf numFmtId="3" fontId="3" fillId="15" borderId="36" xfId="0" applyNumberFormat="1" applyFont="1" applyFill="1" applyBorder="1" applyAlignment="1">
      <alignment horizontal="right" wrapText="1"/>
    </xf>
    <xf numFmtId="0" fontId="51" fillId="15" borderId="36" xfId="0" applyFont="1" applyFill="1" applyBorder="1" applyAlignment="1">
      <alignment horizontal="left"/>
    </xf>
    <xf numFmtId="0" fontId="51" fillId="15" borderId="26" xfId="0" applyFont="1" applyFill="1" applyBorder="1" applyAlignment="1">
      <alignment horizontal="left"/>
    </xf>
    <xf numFmtId="3" fontId="5" fillId="0" borderId="35" xfId="0" applyNumberFormat="1" applyFont="1" applyBorder="1" applyAlignment="1">
      <alignment horizontal="right"/>
    </xf>
    <xf numFmtId="43" fontId="6" fillId="5" borderId="36" xfId="3" applyFont="1" applyFill="1" applyBorder="1" applyAlignment="1">
      <alignment horizontal="left" vertical="center" wrapText="1"/>
    </xf>
    <xf numFmtId="43" fontId="6" fillId="5" borderId="36" xfId="3" applyFont="1" applyFill="1" applyBorder="1" applyAlignment="1">
      <alignment wrapText="1"/>
    </xf>
    <xf numFmtId="0" fontId="18" fillId="2" borderId="0" xfId="0" applyFont="1" applyFill="1"/>
    <xf numFmtId="3" fontId="3" fillId="2" borderId="0" xfId="3" applyNumberFormat="1" applyFont="1" applyFill="1" applyBorder="1" applyAlignment="1">
      <alignment horizontal="right"/>
    </xf>
    <xf numFmtId="3" fontId="5" fillId="2" borderId="35" xfId="0" applyNumberFormat="1" applyFont="1" applyFill="1" applyBorder="1" applyAlignment="1">
      <alignment horizontal="right"/>
    </xf>
    <xf numFmtId="3" fontId="5" fillId="2" borderId="36" xfId="0" applyNumberFormat="1" applyFont="1" applyFill="1" applyBorder="1" applyAlignment="1">
      <alignment horizontal="right" wrapText="1"/>
    </xf>
    <xf numFmtId="3" fontId="5" fillId="2" borderId="36" xfId="0" applyNumberFormat="1" applyFont="1" applyFill="1" applyBorder="1" applyAlignment="1">
      <alignment horizontal="center" vertical="center" wrapText="1"/>
    </xf>
    <xf numFmtId="3" fontId="5" fillId="2" borderId="36" xfId="0" applyNumberFormat="1" applyFont="1" applyFill="1" applyBorder="1" applyAlignment="1">
      <alignment horizontal="right" vertical="center" wrapText="1"/>
    </xf>
    <xf numFmtId="0" fontId="51" fillId="2" borderId="36" xfId="0" applyFont="1" applyFill="1" applyBorder="1" applyAlignment="1">
      <alignment horizontal="left"/>
    </xf>
    <xf numFmtId="0" fontId="51" fillId="2" borderId="26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" fillId="7" borderId="0" xfId="0" applyFont="1" applyFill="1"/>
    <xf numFmtId="3" fontId="3" fillId="7" borderId="0" xfId="0" applyNumberFormat="1" applyFont="1" applyFill="1"/>
    <xf numFmtId="0" fontId="8" fillId="0" borderId="0" xfId="0" applyFont="1"/>
    <xf numFmtId="9" fontId="8" fillId="7" borderId="2" xfId="12" applyNumberFormat="1" applyFont="1" applyFill="1" applyBorder="1" applyAlignment="1">
      <alignment horizontal="right" vertical="center"/>
    </xf>
    <xf numFmtId="3" fontId="8" fillId="7" borderId="2" xfId="12" applyNumberFormat="1" applyFont="1" applyFill="1" applyBorder="1" applyAlignment="1">
      <alignment horizontal="right" vertical="center"/>
    </xf>
    <xf numFmtId="3" fontId="8" fillId="0" borderId="2" xfId="12" applyNumberFormat="1" applyFont="1" applyBorder="1" applyAlignment="1">
      <alignment horizontal="right" vertical="center"/>
    </xf>
    <xf numFmtId="0" fontId="8" fillId="0" borderId="2" xfId="12" applyFont="1" applyBorder="1" applyProtection="1">
      <protection locked="0"/>
    </xf>
    <xf numFmtId="0" fontId="8" fillId="0" borderId="2" xfId="12" applyFont="1" applyBorder="1" applyAlignment="1" applyProtection="1">
      <alignment horizontal="left" vertical="center"/>
      <protection locked="0"/>
    </xf>
    <xf numFmtId="0" fontId="8" fillId="0" borderId="4" xfId="12" applyFont="1" applyBorder="1" applyAlignment="1">
      <alignment horizontal="center" vertical="center"/>
    </xf>
    <xf numFmtId="9" fontId="3" fillId="7" borderId="40" xfId="12" applyNumberFormat="1" applyFont="1" applyFill="1" applyBorder="1" applyAlignment="1">
      <alignment horizontal="right" vertical="center"/>
    </xf>
    <xf numFmtId="3" fontId="3" fillId="7" borderId="40" xfId="12" applyNumberFormat="1" applyFont="1" applyFill="1" applyBorder="1" applyAlignment="1">
      <alignment horizontal="right" vertical="center"/>
    </xf>
    <xf numFmtId="3" fontId="3" fillId="0" borderId="40" xfId="12" applyNumberFormat="1" applyFont="1" applyBorder="1" applyAlignment="1">
      <alignment horizontal="right" vertical="center"/>
    </xf>
    <xf numFmtId="0" fontId="3" fillId="0" borderId="41" xfId="12" applyFont="1" applyFill="1" applyBorder="1" applyAlignment="1" applyProtection="1">
      <alignment vertical="center" wrapText="1"/>
      <protection locked="0"/>
    </xf>
    <xf numFmtId="0" fontId="3" fillId="0" borderId="41" xfId="12" applyFont="1" applyFill="1" applyBorder="1" applyAlignment="1" applyProtection="1">
      <alignment horizontal="left" vertical="center" wrapText="1"/>
      <protection locked="0"/>
    </xf>
    <xf numFmtId="0" fontId="3" fillId="0" borderId="26" xfId="12" applyFont="1" applyBorder="1" applyAlignment="1">
      <alignment horizontal="center" vertical="center"/>
    </xf>
    <xf numFmtId="0" fontId="3" fillId="0" borderId="41" xfId="12" applyFont="1" applyFill="1" applyBorder="1" applyAlignment="1" applyProtection="1">
      <alignment wrapText="1"/>
      <protection locked="0"/>
    </xf>
    <xf numFmtId="0" fontId="50" fillId="0" borderId="41" xfId="12" applyFont="1" applyBorder="1" applyAlignment="1">
      <alignment wrapText="1"/>
    </xf>
    <xf numFmtId="0" fontId="50" fillId="0" borderId="37" xfId="12" applyFont="1" applyBorder="1" applyAlignment="1">
      <alignment horizontal="left" vertical="center" wrapText="1"/>
    </xf>
    <xf numFmtId="9" fontId="3" fillId="7" borderId="36" xfId="12" applyNumberFormat="1" applyFont="1" applyFill="1" applyBorder="1" applyAlignment="1">
      <alignment horizontal="right" vertical="center"/>
    </xf>
    <xf numFmtId="3" fontId="3" fillId="7" borderId="36" xfId="12" applyNumberFormat="1" applyFont="1" applyFill="1" applyBorder="1" applyAlignment="1">
      <alignment horizontal="right" vertical="center"/>
    </xf>
    <xf numFmtId="3" fontId="3" fillId="0" borderId="36" xfId="12" applyNumberFormat="1" applyFont="1" applyBorder="1" applyAlignment="1">
      <alignment horizontal="right" vertical="center"/>
    </xf>
    <xf numFmtId="0" fontId="3" fillId="0" borderId="37" xfId="12" applyFont="1" applyBorder="1" applyProtection="1">
      <protection locked="0"/>
    </xf>
    <xf numFmtId="0" fontId="3" fillId="0" borderId="37" xfId="12" applyFont="1" applyBorder="1" applyAlignment="1" applyProtection="1">
      <alignment horizontal="left" vertical="center"/>
      <protection locked="0"/>
    </xf>
    <xf numFmtId="0" fontId="50" fillId="0" borderId="40" xfId="12" applyFont="1" applyBorder="1" applyAlignment="1">
      <alignment wrapText="1"/>
    </xf>
    <xf numFmtId="0" fontId="50" fillId="0" borderId="36" xfId="12" applyFont="1" applyBorder="1" applyAlignment="1">
      <alignment horizontal="left" vertical="center" wrapText="1"/>
    </xf>
    <xf numFmtId="0" fontId="3" fillId="0" borderId="37" xfId="12" applyFont="1" applyBorder="1" applyAlignment="1" applyProtection="1">
      <alignment wrapText="1"/>
      <protection locked="0"/>
    </xf>
    <xf numFmtId="0" fontId="3" fillId="0" borderId="37" xfId="12" applyFont="1" applyBorder="1" applyAlignment="1" applyProtection="1">
      <alignment horizontal="left" vertical="center" wrapText="1"/>
      <protection locked="0"/>
    </xf>
    <xf numFmtId="0" fontId="50" fillId="0" borderId="36" xfId="12" applyFont="1" applyBorder="1" applyAlignment="1">
      <alignment wrapText="1"/>
    </xf>
    <xf numFmtId="0" fontId="11" fillId="0" borderId="37" xfId="12" applyFont="1" applyBorder="1" applyAlignment="1" applyProtection="1">
      <alignment horizontal="left" vertical="center" wrapText="1"/>
      <protection locked="0"/>
    </xf>
    <xf numFmtId="49" fontId="52" fillId="0" borderId="26" xfId="12" applyNumberFormat="1" applyFont="1" applyBorder="1" applyAlignment="1">
      <alignment horizontal="center" vertical="center"/>
    </xf>
    <xf numFmtId="9" fontId="5" fillId="16" borderId="33" xfId="12" applyNumberFormat="1" applyFont="1" applyFill="1" applyBorder="1" applyAlignment="1">
      <alignment horizontal="right" vertical="center"/>
    </xf>
    <xf numFmtId="3" fontId="5" fillId="16" borderId="33" xfId="12" applyNumberFormat="1" applyFont="1" applyFill="1" applyBorder="1" applyAlignment="1">
      <alignment horizontal="right" vertical="center"/>
    </xf>
    <xf numFmtId="0" fontId="5" fillId="16" borderId="7" xfId="12" applyFont="1" applyFill="1" applyBorder="1" applyAlignment="1" applyProtection="1">
      <alignment horizontal="left"/>
      <protection locked="0"/>
    </xf>
    <xf numFmtId="0" fontId="5" fillId="16" borderId="7" xfId="12" applyFont="1" applyFill="1" applyBorder="1" applyAlignment="1" applyProtection="1">
      <alignment horizontal="left" vertical="center"/>
      <protection locked="0"/>
    </xf>
    <xf numFmtId="0" fontId="5" fillId="16" borderId="55" xfId="12" applyFont="1" applyFill="1" applyBorder="1" applyAlignment="1">
      <alignment horizontal="center" vertical="center"/>
    </xf>
    <xf numFmtId="9" fontId="11" fillId="7" borderId="2" xfId="12" applyNumberFormat="1" applyFont="1" applyFill="1" applyBorder="1" applyAlignment="1">
      <alignment horizontal="right" vertical="center"/>
    </xf>
    <xf numFmtId="3" fontId="11" fillId="7" borderId="2" xfId="12" applyNumberFormat="1" applyFont="1" applyFill="1" applyBorder="1" applyAlignment="1">
      <alignment horizontal="right" vertical="center"/>
    </xf>
    <xf numFmtId="3" fontId="11" fillId="0" borderId="2" xfId="12" applyNumberFormat="1" applyFont="1" applyBorder="1" applyAlignment="1">
      <alignment horizontal="right" vertical="center"/>
    </xf>
    <xf numFmtId="0" fontId="11" fillId="0" borderId="3" xfId="12" applyFont="1" applyBorder="1" applyProtection="1">
      <protection locked="0"/>
    </xf>
    <xf numFmtId="0" fontId="11" fillId="0" borderId="3" xfId="12" applyFont="1" applyBorder="1" applyAlignment="1" applyProtection="1">
      <alignment horizontal="left" vertical="center"/>
      <protection locked="0"/>
    </xf>
    <xf numFmtId="0" fontId="11" fillId="0" borderId="4" xfId="12" applyFont="1" applyBorder="1" applyAlignment="1">
      <alignment horizontal="center" vertical="center"/>
    </xf>
    <xf numFmtId="9" fontId="11" fillId="7" borderId="36" xfId="12" applyNumberFormat="1" applyFont="1" applyFill="1" applyBorder="1" applyAlignment="1">
      <alignment horizontal="right" vertical="center"/>
    </xf>
    <xf numFmtId="3" fontId="11" fillId="7" borderId="36" xfId="12" applyNumberFormat="1" applyFont="1" applyFill="1" applyBorder="1" applyAlignment="1">
      <alignment horizontal="right" vertical="center"/>
    </xf>
    <xf numFmtId="3" fontId="11" fillId="0" borderId="36" xfId="12" applyNumberFormat="1" applyFont="1" applyBorder="1" applyAlignment="1">
      <alignment horizontal="right" vertical="center"/>
    </xf>
    <xf numFmtId="0" fontId="11" fillId="0" borderId="37" xfId="12" applyFont="1" applyBorder="1" applyProtection="1">
      <protection locked="0"/>
    </xf>
    <xf numFmtId="0" fontId="11" fillId="0" borderId="37" xfId="12" applyFont="1" applyBorder="1" applyAlignment="1" applyProtection="1">
      <alignment horizontal="left" vertical="center"/>
      <protection locked="0"/>
    </xf>
    <xf numFmtId="0" fontId="11" fillId="0" borderId="26" xfId="12" applyFont="1" applyBorder="1" applyAlignment="1">
      <alignment horizontal="center" vertical="center"/>
    </xf>
    <xf numFmtId="9" fontId="3" fillId="14" borderId="36" xfId="12" applyNumberFormat="1" applyFont="1" applyFill="1" applyBorder="1" applyAlignment="1">
      <alignment horizontal="right" vertical="center"/>
    </xf>
    <xf numFmtId="3" fontId="3" fillId="14" borderId="36" xfId="12" applyNumberFormat="1" applyFont="1" applyFill="1" applyBorder="1" applyAlignment="1">
      <alignment horizontal="right" vertical="center"/>
    </xf>
    <xf numFmtId="0" fontId="3" fillId="14" borderId="37" xfId="12" applyFont="1" applyFill="1" applyBorder="1" applyProtection="1">
      <protection locked="0"/>
    </xf>
    <xf numFmtId="0" fontId="3" fillId="14" borderId="37" xfId="12" applyFont="1" applyFill="1" applyBorder="1" applyAlignment="1" applyProtection="1">
      <alignment horizontal="left" vertical="center"/>
      <protection locked="0"/>
    </xf>
    <xf numFmtId="0" fontId="3" fillId="14" borderId="26" xfId="12" applyFont="1" applyFill="1" applyBorder="1" applyAlignment="1">
      <alignment horizontal="center" vertical="center"/>
    </xf>
    <xf numFmtId="0" fontId="3" fillId="0" borderId="37" xfId="12" applyFont="1" applyBorder="1" applyAlignment="1" applyProtection="1">
      <protection locked="0"/>
    </xf>
    <xf numFmtId="0" fontId="3" fillId="0" borderId="0" xfId="12" applyFont="1" applyBorder="1" applyAlignment="1" applyProtection="1">
      <alignment wrapText="1"/>
      <protection locked="0"/>
    </xf>
    <xf numFmtId="9" fontId="3" fillId="7" borderId="36" xfId="3" applyNumberFormat="1" applyFont="1" applyFill="1" applyBorder="1" applyAlignment="1">
      <alignment horizontal="right" vertical="center"/>
    </xf>
    <xf numFmtId="3" fontId="3" fillId="7" borderId="36" xfId="3" applyNumberFormat="1" applyFont="1" applyFill="1" applyBorder="1" applyAlignment="1">
      <alignment horizontal="right" vertical="center"/>
    </xf>
    <xf numFmtId="3" fontId="3" fillId="0" borderId="36" xfId="3" applyNumberFormat="1" applyFont="1" applyBorder="1" applyAlignment="1">
      <alignment horizontal="right" vertical="center"/>
    </xf>
    <xf numFmtId="3" fontId="3" fillId="0" borderId="24" xfId="12" applyNumberFormat="1" applyFont="1" applyBorder="1" applyAlignment="1">
      <alignment horizontal="right" vertical="center"/>
    </xf>
    <xf numFmtId="9" fontId="5" fillId="16" borderId="36" xfId="12" applyNumberFormat="1" applyFont="1" applyFill="1" applyBorder="1" applyAlignment="1">
      <alignment horizontal="right" vertical="center"/>
    </xf>
    <xf numFmtId="3" fontId="5" fillId="16" borderId="36" xfId="12" applyNumberFormat="1" applyFont="1" applyFill="1" applyBorder="1" applyAlignment="1">
      <alignment horizontal="right" vertical="center"/>
    </xf>
    <xf numFmtId="0" fontId="5" fillId="16" borderId="37" xfId="12" applyFont="1" applyFill="1" applyBorder="1" applyProtection="1">
      <protection locked="0"/>
    </xf>
    <xf numFmtId="0" fontId="5" fillId="16" borderId="37" xfId="12" applyFont="1" applyFill="1" applyBorder="1" applyAlignment="1" applyProtection="1">
      <alignment horizontal="left" vertical="center"/>
      <protection locked="0"/>
    </xf>
    <xf numFmtId="0" fontId="5" fillId="16" borderId="26" xfId="12" applyFont="1" applyFill="1" applyBorder="1" applyAlignment="1">
      <alignment horizontal="center" vertical="center"/>
    </xf>
    <xf numFmtId="0" fontId="3" fillId="0" borderId="1" xfId="12" applyFont="1" applyBorder="1" applyAlignment="1">
      <alignment horizontal="center" vertical="center" wrapText="1"/>
    </xf>
    <xf numFmtId="0" fontId="3" fillId="7" borderId="3" xfId="12" applyFont="1" applyFill="1" applyBorder="1" applyAlignment="1">
      <alignment horizontal="center" vertical="center" wrapText="1"/>
    </xf>
    <xf numFmtId="0" fontId="3" fillId="0" borderId="3" xfId="12" applyFont="1" applyBorder="1" applyAlignment="1">
      <alignment horizontal="center" vertical="center" wrapText="1"/>
    </xf>
    <xf numFmtId="49" fontId="3" fillId="0" borderId="4" xfId="12" applyNumberFormat="1" applyFont="1" applyBorder="1" applyAlignment="1">
      <alignment horizontal="center" vertical="center"/>
    </xf>
    <xf numFmtId="0" fontId="5" fillId="0" borderId="71" xfId="12" applyFont="1" applyBorder="1" applyAlignment="1">
      <alignment horizontal="center" vertical="center" wrapText="1"/>
    </xf>
    <xf numFmtId="0" fontId="5" fillId="7" borderId="33" xfId="12" applyFont="1" applyFill="1" applyBorder="1" applyAlignment="1">
      <alignment horizontal="center" vertical="center" wrapText="1"/>
    </xf>
    <xf numFmtId="0" fontId="5" fillId="0" borderId="33" xfId="12" applyFont="1" applyBorder="1" applyAlignment="1">
      <alignment horizontal="center" vertical="center" wrapText="1"/>
    </xf>
    <xf numFmtId="0" fontId="5" fillId="0" borderId="72" xfId="12" applyFont="1" applyBorder="1" applyAlignment="1">
      <alignment horizontal="center" vertical="center" wrapText="1"/>
    </xf>
    <xf numFmtId="49" fontId="5" fillId="0" borderId="50" xfId="12" applyNumberFormat="1" applyFont="1" applyBorder="1" applyAlignment="1">
      <alignment horizontal="center" vertical="center"/>
    </xf>
    <xf numFmtId="0" fontId="22" fillId="0" borderId="0" xfId="0" applyFont="1"/>
    <xf numFmtId="3" fontId="22" fillId="0" borderId="0" xfId="0" applyNumberFormat="1" applyFont="1"/>
    <xf numFmtId="0" fontId="53" fillId="0" borderId="0" xfId="0" applyFont="1"/>
    <xf numFmtId="165" fontId="19" fillId="0" borderId="0" xfId="0" applyNumberFormat="1" applyFont="1" applyBorder="1"/>
    <xf numFmtId="3" fontId="19" fillId="0" borderId="0" xfId="0" applyNumberFormat="1" applyFont="1" applyBorder="1"/>
    <xf numFmtId="0" fontId="19" fillId="0" borderId="0" xfId="0" applyFont="1" applyBorder="1"/>
    <xf numFmtId="0" fontId="22" fillId="0" borderId="0" xfId="0" applyFont="1" applyBorder="1"/>
    <xf numFmtId="9" fontId="8" fillId="0" borderId="10" xfId="12" applyNumberFormat="1" applyFont="1" applyBorder="1" applyAlignment="1">
      <alignment horizontal="right" vertical="center"/>
    </xf>
    <xf numFmtId="3" fontId="8" fillId="0" borderId="15" xfId="12" applyNumberFormat="1" applyFont="1" applyBorder="1" applyAlignment="1">
      <alignment horizontal="right" vertical="center"/>
    </xf>
    <xf numFmtId="0" fontId="8" fillId="0" borderId="11" xfId="12" applyFont="1" applyBorder="1" applyAlignment="1">
      <alignment horizontal="left"/>
    </xf>
    <xf numFmtId="0" fontId="8" fillId="0" borderId="16" xfId="12" applyFont="1" applyBorder="1" applyAlignment="1">
      <alignment horizontal="center" vertical="center"/>
    </xf>
    <xf numFmtId="9" fontId="22" fillId="0" borderId="35" xfId="12" applyNumberFormat="1" applyFont="1" applyBorder="1" applyAlignment="1">
      <alignment horizontal="right" vertical="center"/>
    </xf>
    <xf numFmtId="3" fontId="22" fillId="0" borderId="36" xfId="12" applyNumberFormat="1" applyFont="1" applyBorder="1" applyAlignment="1">
      <alignment horizontal="right" vertical="center"/>
    </xf>
    <xf numFmtId="0" fontId="22" fillId="0" borderId="36" xfId="12" applyFont="1" applyBorder="1" applyAlignment="1">
      <alignment horizontal="left" vertical="center" wrapText="1"/>
    </xf>
    <xf numFmtId="0" fontId="22" fillId="0" borderId="26" xfId="12" applyFont="1" applyBorder="1" applyAlignment="1">
      <alignment horizontal="center" vertical="center"/>
    </xf>
    <xf numFmtId="0" fontId="22" fillId="0" borderId="21" xfId="12" applyFont="1" applyBorder="1" applyAlignment="1">
      <alignment horizontal="center" vertical="center"/>
    </xf>
    <xf numFmtId="9" fontId="22" fillId="0" borderId="17" xfId="12" applyNumberFormat="1" applyFont="1" applyBorder="1" applyAlignment="1">
      <alignment horizontal="right" vertical="center"/>
    </xf>
    <xf numFmtId="3" fontId="22" fillId="0" borderId="19" xfId="12" applyNumberFormat="1" applyFont="1" applyBorder="1" applyAlignment="1">
      <alignment horizontal="right" vertical="center"/>
    </xf>
    <xf numFmtId="3" fontId="22" fillId="0" borderId="24" xfId="12" applyNumberFormat="1" applyFont="1" applyBorder="1" applyAlignment="1">
      <alignment horizontal="right" vertical="center"/>
    </xf>
    <xf numFmtId="0" fontId="22" fillId="0" borderId="24" xfId="12" applyFont="1" applyBorder="1" applyAlignment="1">
      <alignment horizontal="left" vertical="center" wrapText="1"/>
    </xf>
    <xf numFmtId="0" fontId="22" fillId="0" borderId="42" xfId="12" applyFont="1" applyBorder="1" applyAlignment="1">
      <alignment horizontal="center" vertical="center"/>
    </xf>
    <xf numFmtId="0" fontId="22" fillId="17" borderId="0" xfId="0" applyFont="1" applyFill="1"/>
    <xf numFmtId="9" fontId="53" fillId="17" borderId="10" xfId="12" applyNumberFormat="1" applyFont="1" applyFill="1" applyBorder="1" applyAlignment="1">
      <alignment vertical="center"/>
    </xf>
    <xf numFmtId="3" fontId="53" fillId="17" borderId="15" xfId="12" applyNumberFormat="1" applyFont="1" applyFill="1" applyBorder="1" applyAlignment="1">
      <alignment vertical="center"/>
    </xf>
    <xf numFmtId="0" fontId="53" fillId="17" borderId="15" xfId="12" applyFont="1" applyFill="1" applyBorder="1" applyAlignment="1">
      <alignment horizontal="left" vertical="center" wrapText="1"/>
    </xf>
    <xf numFmtId="0" fontId="53" fillId="17" borderId="16" xfId="12" applyFont="1" applyFill="1" applyBorder="1" applyAlignment="1">
      <alignment horizontal="center" vertical="center"/>
    </xf>
    <xf numFmtId="3" fontId="53" fillId="0" borderId="0" xfId="0" applyNumberFormat="1" applyFont="1"/>
    <xf numFmtId="9" fontId="22" fillId="0" borderId="39" xfId="12" applyNumberFormat="1" applyFont="1" applyBorder="1" applyAlignment="1">
      <alignment horizontal="right" vertical="center"/>
    </xf>
    <xf numFmtId="3" fontId="22" fillId="0" borderId="40" xfId="12" applyNumberFormat="1" applyFont="1" applyBorder="1" applyAlignment="1">
      <alignment horizontal="right" vertical="center"/>
    </xf>
    <xf numFmtId="0" fontId="22" fillId="0" borderId="40" xfId="12" applyFont="1" applyBorder="1" applyAlignment="1">
      <alignment horizontal="left" vertical="center" wrapText="1"/>
    </xf>
    <xf numFmtId="9" fontId="22" fillId="0" borderId="22" xfId="12" applyNumberFormat="1" applyFont="1" applyBorder="1" applyAlignment="1">
      <alignment horizontal="right" vertical="center"/>
    </xf>
    <xf numFmtId="0" fontId="22" fillId="0" borderId="27" xfId="12" applyFont="1" applyBorder="1" applyAlignment="1">
      <alignment horizontal="center" vertical="center"/>
    </xf>
    <xf numFmtId="9" fontId="53" fillId="2" borderId="10" xfId="12" applyNumberFormat="1" applyFont="1" applyFill="1" applyBorder="1" applyAlignment="1">
      <alignment horizontal="right" vertical="center"/>
    </xf>
    <xf numFmtId="3" fontId="53" fillId="2" borderId="15" xfId="12" applyNumberFormat="1" applyFont="1" applyFill="1" applyBorder="1" applyAlignment="1">
      <alignment horizontal="right" vertical="center"/>
    </xf>
    <xf numFmtId="0" fontId="53" fillId="2" borderId="15" xfId="12" applyFont="1" applyFill="1" applyBorder="1" applyAlignment="1">
      <alignment horizontal="left" vertical="center" wrapText="1"/>
    </xf>
    <xf numFmtId="0" fontId="53" fillId="2" borderId="16" xfId="12" applyFont="1" applyFill="1" applyBorder="1" applyAlignment="1">
      <alignment horizontal="center" vertical="center"/>
    </xf>
    <xf numFmtId="0" fontId="8" fillId="0" borderId="11" xfId="12" applyFont="1" applyBorder="1" applyAlignment="1">
      <alignment horizontal="left" vertical="center"/>
    </xf>
    <xf numFmtId="9" fontId="22" fillId="0" borderId="35" xfId="12" applyNumberFormat="1" applyFont="1" applyBorder="1" applyAlignment="1">
      <alignment vertical="center"/>
    </xf>
    <xf numFmtId="3" fontId="22" fillId="0" borderId="36" xfId="12" applyNumberFormat="1" applyFont="1" applyBorder="1" applyAlignment="1">
      <alignment vertical="center"/>
    </xf>
    <xf numFmtId="9" fontId="53" fillId="2" borderId="10" xfId="12" applyNumberFormat="1" applyFont="1" applyFill="1" applyBorder="1" applyAlignment="1">
      <alignment vertical="center"/>
    </xf>
    <xf numFmtId="3" fontId="53" fillId="2" borderId="15" xfId="12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2" fillId="0" borderId="36" xfId="12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9" fontId="53" fillId="2" borderId="22" xfId="12" applyNumberFormat="1" applyFont="1" applyFill="1" applyBorder="1" applyAlignment="1">
      <alignment vertical="center"/>
    </xf>
    <xf numFmtId="3" fontId="53" fillId="2" borderId="24" xfId="12" applyNumberFormat="1" applyFont="1" applyFill="1" applyBorder="1" applyAlignment="1">
      <alignment vertical="center"/>
    </xf>
    <xf numFmtId="0" fontId="53" fillId="2" borderId="24" xfId="12" applyFont="1" applyFill="1" applyBorder="1" applyAlignment="1">
      <alignment vertical="center" wrapText="1"/>
    </xf>
    <xf numFmtId="0" fontId="53" fillId="2" borderId="27" xfId="12" applyFont="1" applyFill="1" applyBorder="1" applyAlignment="1">
      <alignment horizontal="center" vertical="center"/>
    </xf>
    <xf numFmtId="9" fontId="25" fillId="0" borderId="10" xfId="12" applyNumberFormat="1" applyFont="1" applyBorder="1" applyAlignment="1">
      <alignment horizontal="right" vertical="center"/>
    </xf>
    <xf numFmtId="3" fontId="25" fillId="0" borderId="15" xfId="12" applyNumberFormat="1" applyFont="1" applyBorder="1" applyAlignment="1">
      <alignment horizontal="right" vertical="center"/>
    </xf>
    <xf numFmtId="0" fontId="54" fillId="0" borderId="28" xfId="12" applyFont="1" applyBorder="1" applyAlignment="1">
      <alignment horizontal="center" vertical="center"/>
    </xf>
    <xf numFmtId="0" fontId="54" fillId="0" borderId="30" xfId="12" applyFont="1" applyBorder="1" applyAlignment="1">
      <alignment horizontal="center" vertical="center"/>
    </xf>
    <xf numFmtId="0" fontId="54" fillId="0" borderId="30" xfId="12" applyFont="1" applyBorder="1" applyAlignment="1">
      <alignment horizontal="center" wrapText="1"/>
    </xf>
    <xf numFmtId="49" fontId="54" fillId="0" borderId="32" xfId="12" applyNumberFormat="1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 wrapText="1"/>
    </xf>
    <xf numFmtId="0" fontId="8" fillId="0" borderId="15" xfId="12" applyFont="1" applyBorder="1" applyAlignment="1">
      <alignment horizontal="center" vertical="center" wrapText="1"/>
    </xf>
    <xf numFmtId="49" fontId="8" fillId="0" borderId="16" xfId="12" applyNumberFormat="1" applyFont="1" applyBorder="1" applyAlignment="1">
      <alignment horizontal="center" vertical="center"/>
    </xf>
    <xf numFmtId="0" fontId="20" fillId="0" borderId="0" xfId="0" applyFont="1"/>
    <xf numFmtId="9" fontId="8" fillId="0" borderId="10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6" xfId="0" applyFont="1" applyBorder="1" applyAlignment="1">
      <alignment horizontal="center"/>
    </xf>
    <xf numFmtId="9" fontId="22" fillId="0" borderId="35" xfId="0" applyNumberFormat="1" applyFont="1" applyBorder="1" applyAlignment="1">
      <alignment vertical="center"/>
    </xf>
    <xf numFmtId="3" fontId="22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vertical="center"/>
    </xf>
    <xf numFmtId="0" fontId="22" fillId="0" borderId="26" xfId="0" applyFont="1" applyBorder="1" applyAlignment="1">
      <alignment horizontal="center"/>
    </xf>
    <xf numFmtId="9" fontId="22" fillId="0" borderId="39" xfId="0" applyNumberFormat="1" applyFont="1" applyBorder="1" applyAlignment="1">
      <alignment vertical="center"/>
    </xf>
    <xf numFmtId="3" fontId="22" fillId="0" borderId="40" xfId="0" applyNumberFormat="1" applyFont="1" applyBorder="1" applyAlignment="1">
      <alignment vertical="center"/>
    </xf>
    <xf numFmtId="0" fontId="22" fillId="0" borderId="36" xfId="0" applyFont="1" applyBorder="1" applyAlignment="1">
      <alignment vertical="center" wrapText="1"/>
    </xf>
    <xf numFmtId="0" fontId="22" fillId="0" borderId="40" xfId="0" applyFont="1" applyBorder="1" applyAlignment="1">
      <alignment vertical="center" wrapText="1"/>
    </xf>
    <xf numFmtId="0" fontId="22" fillId="0" borderId="0" xfId="0" applyFont="1" applyAlignment="1">
      <alignment wrapText="1"/>
    </xf>
    <xf numFmtId="9" fontId="22" fillId="0" borderId="35" xfId="0" applyNumberFormat="1" applyFont="1" applyBorder="1" applyAlignment="1">
      <alignment vertical="center" wrapText="1"/>
    </xf>
    <xf numFmtId="3" fontId="22" fillId="0" borderId="36" xfId="0" applyNumberFormat="1" applyFont="1" applyBorder="1" applyAlignment="1">
      <alignment vertical="center" wrapText="1"/>
    </xf>
    <xf numFmtId="9" fontId="53" fillId="2" borderId="35" xfId="0" applyNumberFormat="1" applyFont="1" applyFill="1" applyBorder="1" applyAlignment="1">
      <alignment vertical="center"/>
    </xf>
    <xf numFmtId="3" fontId="53" fillId="2" borderId="36" xfId="0" applyNumberFormat="1" applyFont="1" applyFill="1" applyBorder="1" applyAlignment="1">
      <alignment vertical="center"/>
    </xf>
    <xf numFmtId="0" fontId="53" fillId="2" borderId="24" xfId="0" applyFont="1" applyFill="1" applyBorder="1" applyAlignment="1">
      <alignment horizontal="left" vertical="center" wrapText="1"/>
    </xf>
    <xf numFmtId="0" fontId="53" fillId="2" borderId="26" xfId="0" applyFont="1" applyFill="1" applyBorder="1" applyAlignment="1">
      <alignment horizontal="center"/>
    </xf>
    <xf numFmtId="9" fontId="53" fillId="2" borderId="22" xfId="0" applyNumberFormat="1" applyFont="1" applyFill="1" applyBorder="1" applyAlignment="1">
      <alignment vertical="center"/>
    </xf>
    <xf numFmtId="3" fontId="53" fillId="2" borderId="24" xfId="0" applyNumberFormat="1" applyFont="1" applyFill="1" applyBorder="1" applyAlignment="1">
      <alignment vertical="center"/>
    </xf>
    <xf numFmtId="0" fontId="53" fillId="2" borderId="27" xfId="0" applyFont="1" applyFill="1" applyBorder="1" applyAlignment="1">
      <alignment horizontal="center"/>
    </xf>
    <xf numFmtId="9" fontId="22" fillId="0" borderId="1" xfId="0" applyNumberFormat="1" applyFont="1" applyBorder="1" applyAlignment="1">
      <alignment vertical="center"/>
    </xf>
    <xf numFmtId="3" fontId="22" fillId="0" borderId="2" xfId="0" applyNumberFormat="1" applyFont="1" applyBorder="1" applyAlignment="1">
      <alignment vertical="center"/>
    </xf>
    <xf numFmtId="3" fontId="22" fillId="0" borderId="18" xfId="0" applyNumberFormat="1" applyFont="1" applyBorder="1" applyAlignment="1">
      <alignment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center"/>
    </xf>
    <xf numFmtId="9" fontId="22" fillId="0" borderId="39" xfId="0" applyNumberFormat="1" applyFont="1" applyBorder="1" applyAlignment="1"/>
    <xf numFmtId="3" fontId="22" fillId="0" borderId="40" xfId="0" applyNumberFormat="1" applyFont="1" applyBorder="1" applyAlignment="1"/>
    <xf numFmtId="3" fontId="22" fillId="0" borderId="36" xfId="0" applyNumberFormat="1" applyFont="1" applyBorder="1" applyAlignment="1"/>
    <xf numFmtId="3" fontId="22" fillId="0" borderId="38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 wrapText="1"/>
    </xf>
    <xf numFmtId="9" fontId="22" fillId="0" borderId="17" xfId="0" applyNumberFormat="1" applyFont="1" applyBorder="1" applyAlignment="1">
      <alignment vertical="center"/>
    </xf>
    <xf numFmtId="9" fontId="22" fillId="0" borderId="35" xfId="0" applyNumberFormat="1" applyFont="1" applyBorder="1" applyAlignment="1"/>
    <xf numFmtId="0" fontId="22" fillId="0" borderId="36" xfId="0" applyFont="1" applyFill="1" applyBorder="1" applyAlignment="1">
      <alignment vertical="center"/>
    </xf>
    <xf numFmtId="3" fontId="22" fillId="0" borderId="43" xfId="0" applyNumberFormat="1" applyFont="1" applyBorder="1" applyAlignment="1">
      <alignment vertical="center"/>
    </xf>
    <xf numFmtId="0" fontId="53" fillId="0" borderId="0" xfId="0" applyFont="1" applyBorder="1"/>
    <xf numFmtId="0" fontId="53" fillId="2" borderId="26" xfId="0" applyFont="1" applyFill="1" applyBorder="1" applyAlignment="1">
      <alignment horizontal="center" vertical="center"/>
    </xf>
    <xf numFmtId="0" fontId="22" fillId="0" borderId="24" xfId="0" applyFont="1" applyBorder="1" applyAlignment="1">
      <alignment vertical="center" wrapText="1"/>
    </xf>
    <xf numFmtId="9" fontId="22" fillId="0" borderId="35" xfId="0" applyNumberFormat="1" applyFont="1" applyBorder="1" applyAlignment="1">
      <alignment horizontal="right" vertical="center"/>
    </xf>
    <xf numFmtId="3" fontId="22" fillId="0" borderId="38" xfId="0" applyNumberFormat="1" applyFont="1" applyBorder="1" applyAlignment="1">
      <alignment horizontal="right" vertical="center"/>
    </xf>
    <xf numFmtId="3" fontId="3" fillId="0" borderId="38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49" fontId="52" fillId="0" borderId="26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9" fontId="53" fillId="2" borderId="22" xfId="0" applyNumberFormat="1" applyFont="1" applyFill="1" applyBorder="1" applyAlignment="1">
      <alignment horizontal="right" vertical="center"/>
    </xf>
    <xf numFmtId="3" fontId="53" fillId="2" borderId="23" xfId="0" applyNumberFormat="1" applyFont="1" applyFill="1" applyBorder="1" applyAlignment="1">
      <alignment horizontal="right" vertical="center"/>
    </xf>
    <xf numFmtId="3" fontId="53" fillId="2" borderId="23" xfId="0" applyNumberFormat="1" applyFont="1" applyFill="1" applyBorder="1" applyAlignment="1">
      <alignment vertical="center"/>
    </xf>
    <xf numFmtId="0" fontId="53" fillId="2" borderId="27" xfId="0" applyFont="1" applyFill="1" applyBorder="1" applyAlignment="1">
      <alignment horizontal="center" vertical="center"/>
    </xf>
    <xf numFmtId="9" fontId="22" fillId="0" borderId="10" xfId="0" applyNumberFormat="1" applyFont="1" applyBorder="1" applyAlignment="1">
      <alignment horizontal="right" vertical="center"/>
    </xf>
    <xf numFmtId="3" fontId="22" fillId="0" borderId="11" xfId="0" applyNumberFormat="1" applyFont="1" applyBorder="1" applyAlignment="1">
      <alignment horizontal="righ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center"/>
    </xf>
    <xf numFmtId="0" fontId="54" fillId="0" borderId="28" xfId="0" applyFont="1" applyBorder="1" applyAlignment="1">
      <alignment horizontal="center" vertical="center"/>
    </xf>
    <xf numFmtId="0" fontId="54" fillId="0" borderId="29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wrapText="1"/>
    </xf>
    <xf numFmtId="49" fontId="54" fillId="0" borderId="3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55" fillId="0" borderId="0" xfId="0" applyFont="1"/>
    <xf numFmtId="3" fontId="55" fillId="0" borderId="0" xfId="0" applyNumberFormat="1" applyFont="1"/>
    <xf numFmtId="0" fontId="56" fillId="0" borderId="0" xfId="0" applyFont="1" applyAlignment="1">
      <alignment vertical="distributed"/>
    </xf>
    <xf numFmtId="9" fontId="19" fillId="0" borderId="10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19" fillId="5" borderId="15" xfId="0" applyNumberFormat="1" applyFont="1" applyFill="1" applyBorder="1" applyAlignment="1">
      <alignment vertical="center"/>
    </xf>
    <xf numFmtId="0" fontId="19" fillId="0" borderId="15" xfId="0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>
      <alignment vertical="center"/>
    </xf>
    <xf numFmtId="0" fontId="57" fillId="0" borderId="0" xfId="0" applyFont="1"/>
    <xf numFmtId="9" fontId="6" fillId="16" borderId="10" xfId="1" applyNumberFormat="1" applyFont="1" applyFill="1" applyBorder="1" applyAlignment="1">
      <alignment horizontal="right" vertical="center"/>
    </xf>
    <xf numFmtId="3" fontId="6" fillId="16" borderId="11" xfId="1" applyNumberFormat="1" applyFont="1" applyFill="1" applyBorder="1" applyAlignment="1">
      <alignment horizontal="right" vertical="center"/>
    </xf>
    <xf numFmtId="3" fontId="6" fillId="16" borderId="15" xfId="1" applyNumberFormat="1" applyFont="1" applyFill="1" applyBorder="1" applyAlignment="1">
      <alignment horizontal="right" vertical="center"/>
    </xf>
    <xf numFmtId="0" fontId="6" fillId="16" borderId="15" xfId="0" applyFont="1" applyFill="1" applyBorder="1" applyAlignment="1">
      <alignment horizontal="left" vertical="center" wrapText="1"/>
    </xf>
    <xf numFmtId="0" fontId="6" fillId="16" borderId="16" xfId="0" applyFont="1" applyFill="1" applyBorder="1" applyAlignment="1">
      <alignment horizontal="center" vertical="center"/>
    </xf>
    <xf numFmtId="9" fontId="22" fillId="5" borderId="1" xfId="0" applyNumberFormat="1" applyFont="1" applyFill="1" applyBorder="1" applyAlignment="1">
      <alignment vertical="center"/>
    </xf>
    <xf numFmtId="3" fontId="22" fillId="5" borderId="2" xfId="0" applyNumberFormat="1" applyFont="1" applyFill="1" applyBorder="1" applyAlignment="1">
      <alignment vertical="center"/>
    </xf>
    <xf numFmtId="3" fontId="34" fillId="0" borderId="40" xfId="0" applyNumberFormat="1" applyFont="1" applyBorder="1" applyAlignment="1">
      <alignment vertical="center"/>
    </xf>
    <xf numFmtId="3" fontId="34" fillId="0" borderId="36" xfId="0" applyNumberFormat="1" applyFont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9" fontId="22" fillId="5" borderId="35" xfId="0" applyNumberFormat="1" applyFont="1" applyFill="1" applyBorder="1" applyAlignment="1">
      <alignment vertical="center"/>
    </xf>
    <xf numFmtId="3" fontId="22" fillId="5" borderId="36" xfId="0" applyNumberFormat="1" applyFont="1" applyFill="1" applyBorder="1" applyAlignment="1">
      <alignment vertical="center"/>
    </xf>
    <xf numFmtId="9" fontId="22" fillId="5" borderId="17" xfId="0" applyNumberFormat="1" applyFont="1" applyFill="1" applyBorder="1" applyAlignment="1">
      <alignment vertical="center"/>
    </xf>
    <xf numFmtId="3" fontId="22" fillId="5" borderId="18" xfId="0" applyNumberFormat="1" applyFont="1" applyFill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0" fontId="22" fillId="0" borderId="19" xfId="0" applyFont="1" applyBorder="1" applyAlignment="1">
      <alignment horizontal="left" vertical="center" wrapText="1"/>
    </xf>
    <xf numFmtId="9" fontId="34" fillId="5" borderId="35" xfId="0" applyNumberFormat="1" applyFont="1" applyFill="1" applyBorder="1" applyAlignment="1">
      <alignment vertical="center"/>
    </xf>
    <xf numFmtId="3" fontId="34" fillId="5" borderId="36" xfId="0" applyNumberFormat="1" applyFont="1" applyFill="1" applyBorder="1" applyAlignment="1">
      <alignment vertical="center"/>
    </xf>
    <xf numFmtId="9" fontId="58" fillId="0" borderId="35" xfId="0" applyNumberFormat="1" applyFont="1" applyBorder="1" applyAlignment="1">
      <alignment horizontal="right" wrapText="1"/>
    </xf>
    <xf numFmtId="3" fontId="58" fillId="0" borderId="36" xfId="0" applyNumberFormat="1" applyFont="1" applyBorder="1" applyAlignment="1">
      <alignment horizontal="right" wrapText="1"/>
    </xf>
    <xf numFmtId="0" fontId="58" fillId="0" borderId="36" xfId="0" applyFont="1" applyBorder="1" applyAlignment="1">
      <alignment horizontal="left" vertical="center" wrapText="1"/>
    </xf>
    <xf numFmtId="49" fontId="11" fillId="0" borderId="26" xfId="0" applyNumberFormat="1" applyFont="1" applyBorder="1" applyAlignment="1">
      <alignment horizontal="center" vertical="center"/>
    </xf>
    <xf numFmtId="49" fontId="59" fillId="0" borderId="26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/>
    </xf>
    <xf numFmtId="49" fontId="22" fillId="0" borderId="36" xfId="0" applyNumberFormat="1" applyFont="1" applyBorder="1" applyAlignment="1">
      <alignment horizontal="left" vertical="center" wrapText="1"/>
    </xf>
    <xf numFmtId="49" fontId="11" fillId="0" borderId="36" xfId="0" applyNumberFormat="1" applyFont="1" applyBorder="1" applyAlignment="1">
      <alignment horizontal="left" vertical="center" wrapText="1"/>
    </xf>
    <xf numFmtId="9" fontId="22" fillId="5" borderId="5" xfId="0" applyNumberFormat="1" applyFont="1" applyFill="1" applyBorder="1" applyAlignment="1">
      <alignment vertical="center"/>
    </xf>
    <xf numFmtId="3" fontId="22" fillId="5" borderId="33" xfId="0" applyNumberFormat="1" applyFont="1" applyFill="1" applyBorder="1" applyAlignment="1">
      <alignment vertical="center"/>
    </xf>
    <xf numFmtId="3" fontId="22" fillId="0" borderId="33" xfId="0" applyNumberFormat="1" applyFont="1" applyBorder="1" applyAlignment="1">
      <alignment vertical="center"/>
    </xf>
    <xf numFmtId="0" fontId="22" fillId="0" borderId="33" xfId="0" applyFont="1" applyBorder="1" applyAlignment="1">
      <alignment horizontal="left" vertical="center"/>
    </xf>
    <xf numFmtId="0" fontId="22" fillId="0" borderId="55" xfId="0" applyFont="1" applyBorder="1" applyAlignment="1">
      <alignment horizontal="center" vertical="center"/>
    </xf>
    <xf numFmtId="9" fontId="6" fillId="16" borderId="10" xfId="0" applyNumberFormat="1" applyFont="1" applyFill="1" applyBorder="1" applyAlignment="1">
      <alignment horizontal="right" vertical="center" wrapText="1"/>
    </xf>
    <xf numFmtId="3" fontId="6" fillId="16" borderId="11" xfId="0" applyNumberFormat="1" applyFont="1" applyFill="1" applyBorder="1" applyAlignment="1">
      <alignment horizontal="right" vertical="center" wrapText="1"/>
    </xf>
    <xf numFmtId="3" fontId="6" fillId="16" borderId="15" xfId="0" applyNumberFormat="1" applyFont="1" applyFill="1" applyBorder="1" applyAlignment="1">
      <alignment horizontal="right" vertical="center" wrapText="1"/>
    </xf>
    <xf numFmtId="9" fontId="22" fillId="0" borderId="17" xfId="1" applyNumberFormat="1" applyFont="1" applyBorder="1" applyAlignment="1">
      <alignment horizontal="right" vertical="center"/>
    </xf>
    <xf numFmtId="3" fontId="22" fillId="0" borderId="18" xfId="1" applyNumberFormat="1" applyFont="1" applyBorder="1" applyAlignment="1">
      <alignment horizontal="right" vertical="center"/>
    </xf>
    <xf numFmtId="3" fontId="22" fillId="0" borderId="19" xfId="1" applyNumberFormat="1" applyFont="1" applyBorder="1" applyAlignment="1">
      <alignment horizontal="right" vertical="center"/>
    </xf>
    <xf numFmtId="0" fontId="22" fillId="0" borderId="42" xfId="0" applyFont="1" applyBorder="1" applyAlignment="1">
      <alignment horizontal="center" vertical="center"/>
    </xf>
    <xf numFmtId="9" fontId="6" fillId="0" borderId="10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9" fontId="22" fillId="0" borderId="35" xfId="1" applyNumberFormat="1" applyFont="1" applyBorder="1" applyAlignment="1">
      <alignment horizontal="right" vertical="center"/>
    </xf>
    <xf numFmtId="3" fontId="22" fillId="0" borderId="38" xfId="1" applyNumberFormat="1" applyFont="1" applyBorder="1" applyAlignment="1">
      <alignment horizontal="right" vertical="center"/>
    </xf>
    <xf numFmtId="3" fontId="22" fillId="0" borderId="36" xfId="1" applyNumberFormat="1" applyFont="1" applyBorder="1" applyAlignment="1">
      <alignment horizontal="right" vertical="center"/>
    </xf>
    <xf numFmtId="0" fontId="60" fillId="0" borderId="0" xfId="0" applyFont="1"/>
    <xf numFmtId="3" fontId="60" fillId="0" borderId="0" xfId="0" applyNumberFormat="1" applyFont="1"/>
    <xf numFmtId="0" fontId="60" fillId="0" borderId="0" xfId="0" applyFont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0" fontId="61" fillId="0" borderId="0" xfId="0" applyFont="1"/>
    <xf numFmtId="3" fontId="6" fillId="0" borderId="11" xfId="1" applyNumberFormat="1" applyFont="1" applyBorder="1" applyAlignment="1">
      <alignment horizontal="right" vertical="center"/>
    </xf>
    <xf numFmtId="49" fontId="8" fillId="0" borderId="28" xfId="0" applyNumberFormat="1" applyFont="1" applyBorder="1" applyAlignment="1">
      <alignment horizontal="center"/>
    </xf>
    <xf numFmtId="166" fontId="8" fillId="0" borderId="29" xfId="1" applyNumberFormat="1" applyFont="1" applyBorder="1" applyAlignment="1">
      <alignment horizontal="center"/>
    </xf>
    <xf numFmtId="49" fontId="8" fillId="0" borderId="29" xfId="0" applyNumberFormat="1" applyFont="1" applyBorder="1" applyAlignment="1">
      <alignment horizontal="center"/>
    </xf>
    <xf numFmtId="49" fontId="8" fillId="0" borderId="30" xfId="0" applyNumberFormat="1" applyFont="1" applyBorder="1" applyAlignment="1">
      <alignment horizontal="center"/>
    </xf>
    <xf numFmtId="49" fontId="8" fillId="0" borderId="32" xfId="0" applyNumberFormat="1" applyFont="1" applyBorder="1" applyAlignment="1">
      <alignment horizontal="center" vertical="center"/>
    </xf>
    <xf numFmtId="166" fontId="8" fillId="0" borderId="11" xfId="1" applyNumberFormat="1" applyFont="1" applyBorder="1" applyAlignment="1">
      <alignment horizontal="center" vertical="center" wrapText="1"/>
    </xf>
    <xf numFmtId="0" fontId="63" fillId="0" borderId="0" xfId="0" applyFont="1" applyAlignment="1">
      <alignment wrapText="1"/>
    </xf>
    <xf numFmtId="166" fontId="22" fillId="0" borderId="0" xfId="1" applyNumberFormat="1" applyFont="1"/>
    <xf numFmtId="0" fontId="20" fillId="0" borderId="0" xfId="0" applyFont="1" applyBorder="1"/>
    <xf numFmtId="9" fontId="29" fillId="0" borderId="1" xfId="0" applyNumberFormat="1" applyFont="1" applyBorder="1" applyAlignment="1">
      <alignment horizontal="right" vertical="center"/>
    </xf>
    <xf numFmtId="3" fontId="29" fillId="0" borderId="34" xfId="0" applyNumberFormat="1" applyFont="1" applyBorder="1" applyAlignment="1">
      <alignment horizontal="right" vertical="center"/>
    </xf>
    <xf numFmtId="0" fontId="29" fillId="0" borderId="2" xfId="0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/>
    </xf>
    <xf numFmtId="9" fontId="6" fillId="16" borderId="1" xfId="0" applyNumberFormat="1" applyFont="1" applyFill="1" applyBorder="1" applyAlignment="1">
      <alignment horizontal="right" vertical="center"/>
    </xf>
    <xf numFmtId="3" fontId="6" fillId="16" borderId="34" xfId="0" applyNumberFormat="1" applyFont="1" applyFill="1" applyBorder="1" applyAlignment="1">
      <alignment horizontal="right" vertical="center"/>
    </xf>
    <xf numFmtId="0" fontId="6" fillId="16" borderId="2" xfId="0" applyFont="1" applyFill="1" applyBorder="1" applyAlignment="1">
      <alignment horizontal="left" vertical="center"/>
    </xf>
    <xf numFmtId="0" fontId="6" fillId="16" borderId="4" xfId="0" applyFont="1" applyFill="1" applyBorder="1" applyAlignment="1">
      <alignment horizontal="center" vertical="center"/>
    </xf>
    <xf numFmtId="3" fontId="22" fillId="0" borderId="36" xfId="0" applyNumberFormat="1" applyFont="1" applyBorder="1" applyAlignment="1">
      <alignment horizontal="right" vertical="center"/>
    </xf>
    <xf numFmtId="9" fontId="22" fillId="0" borderId="17" xfId="0" applyNumberFormat="1" applyFont="1" applyBorder="1" applyAlignment="1">
      <alignment horizontal="right" vertical="center"/>
    </xf>
    <xf numFmtId="3" fontId="22" fillId="0" borderId="18" xfId="0" applyNumberFormat="1" applyFont="1" applyBorder="1" applyAlignment="1">
      <alignment horizontal="right" vertical="center"/>
    </xf>
    <xf numFmtId="9" fontId="22" fillId="0" borderId="71" xfId="0" applyNumberFormat="1" applyFont="1" applyBorder="1" applyAlignment="1">
      <alignment horizontal="right" vertical="center"/>
    </xf>
    <xf numFmtId="3" fontId="22" fillId="0" borderId="48" xfId="0" applyNumberFormat="1" applyFont="1" applyBorder="1" applyAlignment="1">
      <alignment horizontal="right" vertical="center"/>
    </xf>
    <xf numFmtId="0" fontId="6" fillId="0" borderId="0" xfId="0" applyFont="1" applyBorder="1"/>
    <xf numFmtId="9" fontId="64" fillId="16" borderId="10" xfId="0" applyNumberFormat="1" applyFont="1" applyFill="1" applyBorder="1" applyAlignment="1">
      <alignment horizontal="right" vertical="center" wrapText="1"/>
    </xf>
    <xf numFmtId="3" fontId="64" fillId="16" borderId="11" xfId="0" applyNumberFormat="1" applyFont="1" applyFill="1" applyBorder="1" applyAlignment="1">
      <alignment horizontal="right" vertical="center" wrapText="1"/>
    </xf>
    <xf numFmtId="0" fontId="64" fillId="16" borderId="15" xfId="0" applyFont="1" applyFill="1" applyBorder="1" applyAlignment="1">
      <alignment horizontal="left" vertical="center"/>
    </xf>
    <xf numFmtId="0" fontId="64" fillId="16" borderId="16" xfId="0" applyFont="1" applyFill="1" applyBorder="1" applyAlignment="1">
      <alignment horizontal="center" vertical="center"/>
    </xf>
    <xf numFmtId="9" fontId="22" fillId="0" borderId="39" xfId="1" applyNumberFormat="1" applyFont="1" applyBorder="1" applyAlignment="1">
      <alignment horizontal="right" vertical="center"/>
    </xf>
    <xf numFmtId="3" fontId="22" fillId="0" borderId="43" xfId="1" applyNumberFormat="1" applyFont="1" applyBorder="1" applyAlignment="1">
      <alignment horizontal="right" vertical="center"/>
    </xf>
    <xf numFmtId="3" fontId="22" fillId="0" borderId="43" xfId="3" applyNumberFormat="1" applyFont="1" applyBorder="1" applyAlignment="1">
      <alignment horizontal="right" vertical="center"/>
    </xf>
    <xf numFmtId="0" fontId="22" fillId="0" borderId="40" xfId="0" applyFont="1" applyBorder="1" applyAlignment="1">
      <alignment horizontal="left" vertical="center"/>
    </xf>
    <xf numFmtId="0" fontId="22" fillId="0" borderId="27" xfId="0" applyFont="1" applyBorder="1" applyAlignment="1">
      <alignment horizontal="center" vertical="center"/>
    </xf>
    <xf numFmtId="49" fontId="54" fillId="0" borderId="10" xfId="0" applyNumberFormat="1" applyFont="1" applyBorder="1" applyAlignment="1">
      <alignment horizontal="center"/>
    </xf>
    <xf numFmtId="166" fontId="54" fillId="0" borderId="11" xfId="1" applyNumberFormat="1" applyFont="1" applyBorder="1" applyAlignment="1">
      <alignment horizontal="center"/>
    </xf>
    <xf numFmtId="166" fontId="54" fillId="0" borderId="15" xfId="1" applyNumberFormat="1" applyFont="1" applyBorder="1" applyAlignment="1">
      <alignment horizontal="center"/>
    </xf>
    <xf numFmtId="49" fontId="54" fillId="0" borderId="15" xfId="0" applyNumberFormat="1" applyFont="1" applyBorder="1" applyAlignment="1">
      <alignment horizontal="center"/>
    </xf>
    <xf numFmtId="49" fontId="54" fillId="0" borderId="16" xfId="0" applyNumberFormat="1" applyFont="1" applyBorder="1" applyAlignment="1">
      <alignment horizontal="center"/>
    </xf>
    <xf numFmtId="0" fontId="22" fillId="0" borderId="0" xfId="0" applyFont="1" applyAlignment="1"/>
    <xf numFmtId="0" fontId="22" fillId="0" borderId="0" xfId="0" applyFont="1" applyBorder="1" applyAlignment="1"/>
    <xf numFmtId="166" fontId="8" fillId="0" borderId="15" xfId="1" applyNumberFormat="1" applyFont="1" applyBorder="1" applyAlignment="1">
      <alignment horizontal="center" vertical="center" wrapText="1"/>
    </xf>
    <xf numFmtId="166" fontId="22" fillId="0" borderId="51" xfId="1" applyNumberFormat="1" applyFont="1" applyBorder="1"/>
    <xf numFmtId="0" fontId="17" fillId="0" borderId="0" xfId="0" applyFont="1" applyAlignment="1">
      <alignment wrapText="1"/>
    </xf>
    <xf numFmtId="0" fontId="11" fillId="0" borderId="36" xfId="0" applyFont="1" applyBorder="1"/>
    <xf numFmtId="0" fontId="3" fillId="0" borderId="36" xfId="0" applyFont="1" applyBorder="1"/>
    <xf numFmtId="0" fontId="50" fillId="0" borderId="36" xfId="0" applyFont="1" applyBorder="1"/>
    <xf numFmtId="3" fontId="3" fillId="0" borderId="0" xfId="3" applyNumberFormat="1" applyFont="1"/>
    <xf numFmtId="3" fontId="50" fillId="0" borderId="0" xfId="3" applyNumberFormat="1" applyFont="1"/>
    <xf numFmtId="0" fontId="50" fillId="0" borderId="0" xfId="0" applyFont="1"/>
    <xf numFmtId="9" fontId="11" fillId="0" borderId="0" xfId="2" applyFont="1"/>
    <xf numFmtId="0" fontId="3" fillId="0" borderId="0" xfId="0" applyFont="1" applyFill="1"/>
    <xf numFmtId="0" fontId="11" fillId="0" borderId="24" xfId="0" applyFont="1" applyBorder="1"/>
    <xf numFmtId="0" fontId="3" fillId="0" borderId="24" xfId="0" applyFont="1" applyBorder="1"/>
    <xf numFmtId="0" fontId="11" fillId="0" borderId="0" xfId="0" applyFont="1" applyBorder="1"/>
    <xf numFmtId="3" fontId="3" fillId="0" borderId="0" xfId="0" applyNumberFormat="1" applyFont="1" applyBorder="1"/>
    <xf numFmtId="0" fontId="50" fillId="0" borderId="0" xfId="0" applyFont="1" applyBorder="1"/>
    <xf numFmtId="9" fontId="50" fillId="0" borderId="1" xfId="0" applyNumberFormat="1" applyFont="1" applyBorder="1" applyAlignment="1">
      <alignment horizontal="right"/>
    </xf>
    <xf numFmtId="3" fontId="50" fillId="0" borderId="2" xfId="0" applyNumberFormat="1" applyFont="1" applyBorder="1" applyAlignment="1">
      <alignment horizontal="right"/>
    </xf>
    <xf numFmtId="3" fontId="50" fillId="0" borderId="4" xfId="0" applyNumberFormat="1" applyFont="1" applyBorder="1" applyAlignment="1">
      <alignment horizontal="right"/>
    </xf>
    <xf numFmtId="9" fontId="50" fillId="0" borderId="34" xfId="0" applyNumberFormat="1" applyFont="1" applyBorder="1" applyAlignment="1">
      <alignment horizontal="right"/>
    </xf>
    <xf numFmtId="10" fontId="50" fillId="0" borderId="34" xfId="0" applyNumberFormat="1" applyFont="1" applyBorder="1" applyAlignment="1">
      <alignment horizontal="right"/>
    </xf>
    <xf numFmtId="9" fontId="50" fillId="5" borderId="34" xfId="2" applyFont="1" applyFill="1" applyBorder="1" applyAlignment="1">
      <alignment horizontal="right"/>
    </xf>
    <xf numFmtId="3" fontId="50" fillId="5" borderId="2" xfId="0" applyNumberFormat="1" applyFont="1" applyFill="1" applyBorder="1" applyAlignment="1">
      <alignment horizontal="right"/>
    </xf>
    <xf numFmtId="3" fontId="50" fillId="0" borderId="4" xfId="0" applyNumberFormat="1" applyFont="1" applyBorder="1"/>
    <xf numFmtId="0" fontId="20" fillId="0" borderId="34" xfId="0" quotePrefix="1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vertical="center"/>
    </xf>
    <xf numFmtId="0" fontId="17" fillId="17" borderId="0" xfId="0" applyFont="1" applyFill="1"/>
    <xf numFmtId="9" fontId="49" fillId="17" borderId="35" xfId="0" applyNumberFormat="1" applyFont="1" applyFill="1" applyBorder="1" applyAlignment="1">
      <alignment horizontal="right"/>
    </xf>
    <xf numFmtId="3" fontId="49" fillId="17" borderId="36" xfId="0" applyNumberFormat="1" applyFont="1" applyFill="1" applyBorder="1" applyAlignment="1">
      <alignment horizontal="right"/>
    </xf>
    <xf numFmtId="3" fontId="49" fillId="17" borderId="26" xfId="0" applyNumberFormat="1" applyFont="1" applyFill="1" applyBorder="1" applyAlignment="1">
      <alignment horizontal="right"/>
    </xf>
    <xf numFmtId="9" fontId="49" fillId="17" borderId="38" xfId="0" applyNumberFormat="1" applyFont="1" applyFill="1" applyBorder="1" applyAlignment="1">
      <alignment horizontal="right"/>
    </xf>
    <xf numFmtId="10" fontId="49" fillId="17" borderId="38" xfId="0" applyNumberFormat="1" applyFont="1" applyFill="1" applyBorder="1" applyAlignment="1">
      <alignment horizontal="right"/>
    </xf>
    <xf numFmtId="9" fontId="49" fillId="17" borderId="38" xfId="2" applyFont="1" applyFill="1" applyBorder="1" applyAlignment="1">
      <alignment horizontal="right"/>
    </xf>
    <xf numFmtId="3" fontId="49" fillId="17" borderId="26" xfId="0" applyNumberFormat="1" applyFont="1" applyFill="1" applyBorder="1"/>
    <xf numFmtId="0" fontId="8" fillId="17" borderId="38" xfId="0" applyFont="1" applyFill="1" applyBorder="1" applyAlignment="1">
      <alignment horizontal="left" vertical="center"/>
    </xf>
    <xf numFmtId="0" fontId="8" fillId="17" borderId="26" xfId="0" applyFont="1" applyFill="1" applyBorder="1" applyAlignment="1">
      <alignment horizontal="center" vertical="center"/>
    </xf>
    <xf numFmtId="9" fontId="49" fillId="0" borderId="35" xfId="0" applyNumberFormat="1" applyFont="1" applyBorder="1" applyAlignment="1">
      <alignment horizontal="right"/>
    </xf>
    <xf numFmtId="3" fontId="49" fillId="0" borderId="36" xfId="0" applyNumberFormat="1" applyFont="1" applyBorder="1" applyAlignment="1">
      <alignment horizontal="right"/>
    </xf>
    <xf numFmtId="3" fontId="49" fillId="0" borderId="26" xfId="0" applyNumberFormat="1" applyFont="1" applyBorder="1" applyAlignment="1">
      <alignment horizontal="right"/>
    </xf>
    <xf numFmtId="9" fontId="49" fillId="0" borderId="38" xfId="0" applyNumberFormat="1" applyFont="1" applyBorder="1" applyAlignment="1">
      <alignment horizontal="right"/>
    </xf>
    <xf numFmtId="10" fontId="49" fillId="0" borderId="38" xfId="0" applyNumberFormat="1" applyFont="1" applyBorder="1" applyAlignment="1">
      <alignment horizontal="right"/>
    </xf>
    <xf numFmtId="9" fontId="49" fillId="0" borderId="38" xfId="2" applyFont="1" applyBorder="1" applyAlignment="1">
      <alignment horizontal="right"/>
    </xf>
    <xf numFmtId="3" fontId="49" fillId="0" borderId="26" xfId="0" applyNumberFormat="1" applyFont="1" applyBorder="1"/>
    <xf numFmtId="0" fontId="64" fillId="0" borderId="38" xfId="0" quotePrefix="1" applyFont="1" applyFill="1" applyBorder="1" applyAlignment="1">
      <alignment horizontal="left" wrapText="1"/>
    </xf>
    <xf numFmtId="0" fontId="64" fillId="0" borderId="26" xfId="0" applyFont="1" applyFill="1" applyBorder="1" applyAlignment="1">
      <alignment horizontal="center" vertical="center"/>
    </xf>
    <xf numFmtId="0" fontId="3" fillId="0" borderId="73" xfId="0" applyFont="1" applyBorder="1"/>
    <xf numFmtId="9" fontId="3" fillId="0" borderId="35" xfId="3" applyNumberFormat="1" applyFont="1" applyBorder="1" applyAlignment="1">
      <alignment horizontal="right"/>
    </xf>
    <xf numFmtId="3" fontId="3" fillId="0" borderId="36" xfId="3" applyNumberFormat="1" applyFont="1" applyBorder="1" applyAlignment="1">
      <alignment horizontal="right"/>
    </xf>
    <xf numFmtId="3" fontId="50" fillId="0" borderId="36" xfId="0" applyNumberFormat="1" applyFont="1" applyBorder="1" applyAlignment="1">
      <alignment horizontal="right"/>
    </xf>
    <xf numFmtId="3" fontId="50" fillId="0" borderId="26" xfId="0" applyNumberFormat="1" applyFont="1" applyBorder="1" applyAlignment="1">
      <alignment horizontal="right"/>
    </xf>
    <xf numFmtId="9" fontId="3" fillId="0" borderId="38" xfId="3" applyNumberFormat="1" applyFont="1" applyBorder="1" applyAlignment="1">
      <alignment horizontal="right"/>
    </xf>
    <xf numFmtId="3" fontId="3" fillId="0" borderId="26" xfId="3" applyNumberFormat="1" applyFont="1" applyBorder="1" applyAlignment="1">
      <alignment horizontal="right"/>
    </xf>
    <xf numFmtId="10" fontId="3" fillId="0" borderId="38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9" fontId="3" fillId="0" borderId="38" xfId="2" applyFont="1" applyFill="1" applyBorder="1" applyAlignment="1">
      <alignment horizontal="right"/>
    </xf>
    <xf numFmtId="3" fontId="3" fillId="0" borderId="36" xfId="0" applyNumberFormat="1" applyFont="1" applyFill="1" applyBorder="1" applyAlignment="1">
      <alignment horizontal="right"/>
    </xf>
    <xf numFmtId="3" fontId="3" fillId="0" borderId="26" xfId="0" applyNumberFormat="1" applyFont="1" applyFill="1" applyBorder="1"/>
    <xf numFmtId="0" fontId="3" fillId="0" borderId="38" xfId="0" quotePrefix="1" applyFont="1" applyBorder="1" applyAlignment="1">
      <alignment horizontal="left"/>
    </xf>
    <xf numFmtId="0" fontId="7" fillId="0" borderId="73" xfId="0" applyFont="1" applyBorder="1"/>
    <xf numFmtId="9" fontId="5" fillId="0" borderId="35" xfId="3" applyNumberFormat="1" applyFont="1" applyBorder="1" applyAlignment="1">
      <alignment horizontal="right"/>
    </xf>
    <xf numFmtId="3" fontId="5" fillId="0" borderId="36" xfId="3" applyNumberFormat="1" applyFont="1" applyBorder="1" applyAlignment="1">
      <alignment horizontal="right"/>
    </xf>
    <xf numFmtId="9" fontId="5" fillId="0" borderId="38" xfId="3" applyNumberFormat="1" applyFont="1" applyBorder="1" applyAlignment="1">
      <alignment horizontal="right"/>
    </xf>
    <xf numFmtId="3" fontId="5" fillId="0" borderId="26" xfId="3" applyNumberFormat="1" applyFont="1" applyBorder="1" applyAlignment="1">
      <alignment horizontal="right"/>
    </xf>
    <xf numFmtId="0" fontId="6" fillId="3" borderId="38" xfId="0" applyFont="1" applyFill="1" applyBorder="1" applyAlignment="1">
      <alignment wrapText="1"/>
    </xf>
    <xf numFmtId="9" fontId="5" fillId="0" borderId="38" xfId="2" applyFont="1" applyFill="1" applyBorder="1" applyAlignment="1">
      <alignment horizontal="right"/>
    </xf>
    <xf numFmtId="10" fontId="5" fillId="0" borderId="38" xfId="0" applyNumberFormat="1" applyFont="1" applyBorder="1" applyAlignment="1">
      <alignment horizontal="right"/>
    </xf>
    <xf numFmtId="3" fontId="5" fillId="0" borderId="36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3" fontId="5" fillId="0" borderId="36" xfId="0" applyNumberFormat="1" applyFont="1" applyFill="1" applyBorder="1" applyAlignment="1">
      <alignment horizontal="right"/>
    </xf>
    <xf numFmtId="3" fontId="5" fillId="0" borderId="26" xfId="0" applyNumberFormat="1" applyFont="1" applyFill="1" applyBorder="1"/>
    <xf numFmtId="165" fontId="49" fillId="0" borderId="36" xfId="0" applyNumberFormat="1" applyFont="1" applyBorder="1" applyAlignment="1">
      <alignment horizontal="right"/>
    </xf>
    <xf numFmtId="165" fontId="49" fillId="0" borderId="26" xfId="0" applyNumberFormat="1" applyFont="1" applyBorder="1" applyAlignment="1">
      <alignment horizontal="right"/>
    </xf>
    <xf numFmtId="165" fontId="5" fillId="0" borderId="36" xfId="0" applyNumberFormat="1" applyFont="1" applyBorder="1" applyAlignment="1">
      <alignment horizontal="right"/>
    </xf>
    <xf numFmtId="165" fontId="5" fillId="0" borderId="26" xfId="0" applyNumberFormat="1" applyFont="1" applyBorder="1" applyAlignment="1">
      <alignment horizontal="right"/>
    </xf>
    <xf numFmtId="0" fontId="51" fillId="0" borderId="38" xfId="0" applyFont="1" applyBorder="1" applyAlignment="1">
      <alignment horizontal="left"/>
    </xf>
    <xf numFmtId="0" fontId="66" fillId="0" borderId="26" xfId="0" applyFont="1" applyBorder="1" applyAlignment="1">
      <alignment horizontal="center"/>
    </xf>
    <xf numFmtId="0" fontId="64" fillId="0" borderId="38" xfId="0" quotePrefix="1" applyFont="1" applyFill="1" applyBorder="1" applyAlignment="1">
      <alignment horizontal="left"/>
    </xf>
    <xf numFmtId="165" fontId="50" fillId="0" borderId="36" xfId="0" applyNumberFormat="1" applyFont="1" applyBorder="1" applyAlignment="1">
      <alignment horizontal="right"/>
    </xf>
    <xf numFmtId="165" fontId="50" fillId="0" borderId="26" xfId="0" applyNumberFormat="1" applyFont="1" applyBorder="1" applyAlignment="1">
      <alignment horizontal="right"/>
    </xf>
    <xf numFmtId="43" fontId="6" fillId="0" borderId="38" xfId="3" applyFont="1" applyFill="1" applyBorder="1" applyAlignment="1">
      <alignment wrapText="1"/>
    </xf>
    <xf numFmtId="3" fontId="3" fillId="0" borderId="26" xfId="0" applyNumberFormat="1" applyFont="1" applyFill="1" applyBorder="1" applyAlignment="1">
      <alignment horizontal="right"/>
    </xf>
    <xf numFmtId="9" fontId="50" fillId="0" borderId="38" xfId="2" applyFont="1" applyBorder="1" applyAlignment="1">
      <alignment horizontal="right"/>
    </xf>
    <xf numFmtId="3" fontId="50" fillId="0" borderId="26" xfId="0" applyNumberFormat="1" applyFont="1" applyBorder="1"/>
    <xf numFmtId="165" fontId="7" fillId="0" borderId="38" xfId="0" applyNumberFormat="1" applyFont="1" applyBorder="1" applyAlignment="1">
      <alignment horizontal="right"/>
    </xf>
    <xf numFmtId="3" fontId="50" fillId="0" borderId="38" xfId="0" applyNumberFormat="1" applyFont="1" applyBorder="1" applyAlignment="1">
      <alignment horizontal="right"/>
    </xf>
    <xf numFmtId="3" fontId="49" fillId="0" borderId="26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/>
    </xf>
    <xf numFmtId="3" fontId="5" fillId="0" borderId="24" xfId="3" applyNumberFormat="1" applyFont="1" applyBorder="1" applyAlignment="1">
      <alignment horizontal="right"/>
    </xf>
    <xf numFmtId="4" fontId="49" fillId="0" borderId="24" xfId="0" applyNumberFormat="1" applyFont="1" applyBorder="1" applyAlignment="1">
      <alignment horizontal="right"/>
    </xf>
    <xf numFmtId="4" fontId="49" fillId="0" borderId="27" xfId="0" applyNumberFormat="1" applyFont="1" applyBorder="1" applyAlignment="1">
      <alignment horizontal="right"/>
    </xf>
    <xf numFmtId="4" fontId="7" fillId="0" borderId="23" xfId="0" applyNumberFormat="1" applyFont="1" applyBorder="1" applyAlignment="1">
      <alignment horizontal="right"/>
    </xf>
    <xf numFmtId="4" fontId="49" fillId="0" borderId="24" xfId="0" applyNumberFormat="1" applyFont="1" applyBorder="1" applyAlignment="1">
      <alignment horizontal="center" vertical="center"/>
    </xf>
    <xf numFmtId="4" fontId="49" fillId="0" borderId="27" xfId="0" applyNumberFormat="1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9" fontId="7" fillId="0" borderId="23" xfId="2" applyFont="1" applyBorder="1" applyAlignment="1">
      <alignment horizontal="center" vertical="center"/>
    </xf>
    <xf numFmtId="3" fontId="49" fillId="0" borderId="24" xfId="0" applyNumberFormat="1" applyFont="1" applyBorder="1" applyAlignment="1">
      <alignment horizontal="center" vertical="center"/>
    </xf>
    <xf numFmtId="3" fontId="49" fillId="0" borderId="24" xfId="0" applyNumberFormat="1" applyFont="1" applyBorder="1" applyAlignment="1">
      <alignment horizontal="right" vertical="center"/>
    </xf>
    <xf numFmtId="3" fontId="49" fillId="0" borderId="27" xfId="0" applyNumberFormat="1" applyFont="1" applyBorder="1" applyAlignment="1">
      <alignment horizontal="right" vertical="center"/>
    </xf>
    <xf numFmtId="0" fontId="51" fillId="0" borderId="23" xfId="0" applyFont="1" applyBorder="1" applyAlignment="1">
      <alignment horizontal="left"/>
    </xf>
    <xf numFmtId="0" fontId="66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" fontId="5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9" fontId="11" fillId="0" borderId="2" xfId="2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/>
    </xf>
    <xf numFmtId="9" fontId="11" fillId="0" borderId="0" xfId="2" applyFont="1" applyBorder="1"/>
    <xf numFmtId="0" fontId="55" fillId="0" borderId="0" xfId="0" applyFont="1" applyAlignment="1">
      <alignment wrapText="1"/>
    </xf>
    <xf numFmtId="0" fontId="67" fillId="0" borderId="0" xfId="15" applyAlignment="1">
      <alignment wrapText="1"/>
    </xf>
    <xf numFmtId="3" fontId="67" fillId="0" borderId="0" xfId="15" applyNumberFormat="1" applyAlignment="1">
      <alignment wrapText="1"/>
    </xf>
    <xf numFmtId="0" fontId="67" fillId="0" borderId="0" xfId="15" applyAlignment="1">
      <alignment horizontal="center" vertical="center" wrapText="1"/>
    </xf>
    <xf numFmtId="0" fontId="68" fillId="0" borderId="0" xfId="15" applyFont="1" applyAlignment="1">
      <alignment wrapText="1"/>
    </xf>
    <xf numFmtId="3" fontId="69" fillId="17" borderId="1" xfId="15" applyNumberFormat="1" applyFont="1" applyFill="1" applyBorder="1" applyAlignment="1">
      <alignment wrapText="1"/>
    </xf>
    <xf numFmtId="3" fontId="69" fillId="17" borderId="34" xfId="15" applyNumberFormat="1" applyFont="1" applyFill="1" applyBorder="1" applyAlignment="1">
      <alignment wrapText="1"/>
    </xf>
    <xf numFmtId="3" fontId="69" fillId="17" borderId="2" xfId="15" applyNumberFormat="1" applyFont="1" applyFill="1" applyBorder="1" applyAlignment="1">
      <alignment wrapText="1"/>
    </xf>
    <xf numFmtId="0" fontId="69" fillId="17" borderId="4" xfId="15" applyFont="1" applyFill="1" applyBorder="1" applyAlignment="1">
      <alignment horizontal="left" wrapText="1"/>
    </xf>
    <xf numFmtId="3" fontId="70" fillId="0" borderId="35" xfId="15" applyNumberFormat="1" applyFont="1" applyBorder="1" applyAlignment="1">
      <alignment wrapText="1"/>
    </xf>
    <xf numFmtId="3" fontId="71" fillId="0" borderId="36" xfId="15" applyNumberFormat="1" applyFont="1" applyBorder="1" applyAlignment="1">
      <alignment wrapText="1"/>
    </xf>
    <xf numFmtId="3" fontId="71" fillId="0" borderId="40" xfId="15" applyNumberFormat="1" applyFont="1" applyBorder="1" applyAlignment="1">
      <alignment wrapText="1"/>
    </xf>
    <xf numFmtId="0" fontId="69" fillId="0" borderId="21" xfId="15" applyFont="1" applyBorder="1" applyAlignment="1">
      <alignment horizontal="center" wrapText="1"/>
    </xf>
    <xf numFmtId="3" fontId="70" fillId="0" borderId="36" xfId="15" applyNumberFormat="1" applyFont="1" applyBorder="1" applyAlignment="1">
      <alignment wrapText="1"/>
    </xf>
    <xf numFmtId="0" fontId="70" fillId="0" borderId="26" xfId="15" applyFont="1" applyBorder="1" applyAlignment="1">
      <alignment horizontal="center" wrapText="1"/>
    </xf>
    <xf numFmtId="3" fontId="67" fillId="0" borderId="35" xfId="16" applyNumberFormat="1" applyFont="1" applyBorder="1" applyAlignment="1">
      <alignment wrapText="1"/>
    </xf>
    <xf numFmtId="3" fontId="67" fillId="0" borderId="36" xfId="16" applyNumberFormat="1" applyFont="1" applyBorder="1" applyAlignment="1">
      <alignment wrapText="1"/>
    </xf>
    <xf numFmtId="3" fontId="67" fillId="0" borderId="37" xfId="16" applyNumberFormat="1" applyFont="1" applyBorder="1" applyAlignment="1">
      <alignment wrapText="1"/>
    </xf>
    <xf numFmtId="0" fontId="67" fillId="0" borderId="26" xfId="16" applyFont="1" applyBorder="1" applyAlignment="1">
      <alignment horizontal="left" wrapText="1"/>
    </xf>
    <xf numFmtId="3" fontId="67" fillId="0" borderId="35" xfId="15" applyNumberFormat="1" applyBorder="1" applyAlignment="1">
      <alignment wrapText="1"/>
    </xf>
    <xf numFmtId="3" fontId="73" fillId="0" borderId="36" xfId="16" applyNumberFormat="1" applyFont="1" applyBorder="1" applyAlignment="1">
      <alignment wrapText="1"/>
    </xf>
    <xf numFmtId="3" fontId="67" fillId="0" borderId="25" xfId="15" applyNumberFormat="1" applyBorder="1" applyAlignment="1">
      <alignment wrapText="1"/>
    </xf>
    <xf numFmtId="3" fontId="67" fillId="0" borderId="36" xfId="15" applyNumberFormat="1" applyBorder="1" applyAlignment="1">
      <alignment wrapText="1"/>
    </xf>
    <xf numFmtId="3" fontId="67" fillId="0" borderId="5" xfId="16" applyNumberFormat="1" applyFont="1" applyBorder="1" applyAlignment="1">
      <alignment wrapText="1"/>
    </xf>
    <xf numFmtId="3" fontId="67" fillId="0" borderId="33" xfId="16" applyNumberFormat="1" applyFont="1" applyBorder="1" applyAlignment="1">
      <alignment wrapText="1"/>
    </xf>
    <xf numFmtId="3" fontId="67" fillId="0" borderId="7" xfId="16" applyNumberFormat="1" applyFont="1" applyBorder="1" applyAlignment="1">
      <alignment wrapText="1"/>
    </xf>
    <xf numFmtId="0" fontId="67" fillId="0" borderId="55" xfId="16" applyFont="1" applyBorder="1" applyAlignment="1">
      <alignment horizontal="left" wrapText="1"/>
    </xf>
    <xf numFmtId="3" fontId="67" fillId="0" borderId="5" xfId="15" applyNumberFormat="1" applyBorder="1" applyAlignment="1">
      <alignment wrapText="1"/>
    </xf>
    <xf numFmtId="3" fontId="67" fillId="0" borderId="33" xfId="15" applyNumberFormat="1" applyBorder="1" applyAlignment="1">
      <alignment wrapText="1"/>
    </xf>
    <xf numFmtId="3" fontId="67" fillId="0" borderId="7" xfId="15" applyNumberFormat="1" applyBorder="1" applyAlignment="1">
      <alignment wrapText="1"/>
    </xf>
    <xf numFmtId="0" fontId="74" fillId="0" borderId="0" xfId="15" applyFont="1" applyAlignment="1">
      <alignment horizontal="center" wrapText="1"/>
    </xf>
    <xf numFmtId="0" fontId="74" fillId="0" borderId="0" xfId="15" applyFont="1" applyAlignment="1">
      <alignment wrapText="1"/>
    </xf>
    <xf numFmtId="3" fontId="74" fillId="0" borderId="0" xfId="15" applyNumberFormat="1" applyFont="1" applyAlignment="1">
      <alignment wrapText="1"/>
    </xf>
    <xf numFmtId="3" fontId="69" fillId="17" borderId="36" xfId="15" applyNumberFormat="1" applyFont="1" applyFill="1" applyBorder="1" applyAlignment="1">
      <alignment wrapText="1"/>
    </xf>
    <xf numFmtId="0" fontId="69" fillId="17" borderId="36" xfId="15" applyFont="1" applyFill="1" applyBorder="1" applyAlignment="1">
      <alignment wrapText="1"/>
    </xf>
    <xf numFmtId="0" fontId="68" fillId="5" borderId="0" xfId="15" applyFont="1" applyFill="1" applyAlignment="1">
      <alignment wrapText="1"/>
    </xf>
    <xf numFmtId="3" fontId="67" fillId="5" borderId="0" xfId="15" applyNumberFormat="1" applyFill="1" applyBorder="1" applyAlignment="1">
      <alignment wrapText="1"/>
    </xf>
    <xf numFmtId="0" fontId="67" fillId="5" borderId="0" xfId="15" applyFill="1" applyBorder="1" applyAlignment="1">
      <alignment wrapText="1"/>
    </xf>
    <xf numFmtId="3" fontId="69" fillId="5" borderId="18" xfId="15" applyNumberFormat="1" applyFont="1" applyFill="1" applyBorder="1" applyAlignment="1">
      <alignment wrapText="1"/>
    </xf>
    <xf numFmtId="3" fontId="69" fillId="5" borderId="19" xfId="15" applyNumberFormat="1" applyFont="1" applyFill="1" applyBorder="1" applyAlignment="1">
      <alignment wrapText="1"/>
    </xf>
    <xf numFmtId="0" fontId="69" fillId="5" borderId="20" xfId="15" applyFont="1" applyFill="1" applyBorder="1" applyAlignment="1">
      <alignment wrapText="1"/>
    </xf>
    <xf numFmtId="3" fontId="67" fillId="0" borderId="0" xfId="15" applyNumberFormat="1" applyBorder="1" applyAlignment="1">
      <alignment wrapText="1"/>
    </xf>
    <xf numFmtId="0" fontId="67" fillId="0" borderId="0" xfId="15" applyBorder="1" applyAlignment="1">
      <alignment wrapText="1"/>
    </xf>
    <xf numFmtId="3" fontId="69" fillId="14" borderId="1" xfId="15" applyNumberFormat="1" applyFont="1" applyFill="1" applyBorder="1" applyAlignment="1">
      <alignment wrapText="1"/>
    </xf>
    <xf numFmtId="3" fontId="69" fillId="14" borderId="34" xfId="15" applyNumberFormat="1" applyFont="1" applyFill="1" applyBorder="1" applyAlignment="1">
      <alignment wrapText="1"/>
    </xf>
    <xf numFmtId="3" fontId="69" fillId="14" borderId="2" xfId="15" applyNumberFormat="1" applyFont="1" applyFill="1" applyBorder="1" applyAlignment="1">
      <alignment wrapText="1"/>
    </xf>
    <xf numFmtId="0" fontId="69" fillId="14" borderId="4" xfId="15" applyFont="1" applyFill="1" applyBorder="1" applyAlignment="1">
      <alignment wrapText="1"/>
    </xf>
    <xf numFmtId="3" fontId="70" fillId="0" borderId="72" xfId="15" applyNumberFormat="1" applyFont="1" applyBorder="1" applyAlignment="1">
      <alignment wrapText="1"/>
    </xf>
    <xf numFmtId="3" fontId="71" fillId="0" borderId="72" xfId="15" applyNumberFormat="1" applyFont="1" applyBorder="1" applyAlignment="1">
      <alignment wrapText="1"/>
    </xf>
    <xf numFmtId="0" fontId="68" fillId="0" borderId="72" xfId="15" applyFont="1" applyBorder="1" applyAlignment="1">
      <alignment horizontal="center" wrapText="1"/>
    </xf>
    <xf numFmtId="3" fontId="70" fillId="0" borderId="74" xfId="15" applyNumberFormat="1" applyFont="1" applyBorder="1" applyAlignment="1">
      <alignment wrapText="1"/>
    </xf>
    <xf numFmtId="3" fontId="70" fillId="0" borderId="75" xfId="15" applyNumberFormat="1" applyFont="1" applyBorder="1" applyAlignment="1">
      <alignment wrapText="1"/>
    </xf>
    <xf numFmtId="3" fontId="70" fillId="0" borderId="41" xfId="15" applyNumberFormat="1" applyFont="1" applyBorder="1" applyAlignment="1">
      <alignment wrapText="1"/>
    </xf>
    <xf numFmtId="0" fontId="70" fillId="0" borderId="21" xfId="15" applyFont="1" applyBorder="1" applyAlignment="1">
      <alignment horizontal="center" wrapText="1"/>
    </xf>
    <xf numFmtId="3" fontId="70" fillId="0" borderId="76" xfId="15" applyNumberFormat="1" applyFont="1" applyBorder="1" applyAlignment="1">
      <alignment wrapText="1"/>
    </xf>
    <xf numFmtId="3" fontId="70" fillId="0" borderId="73" xfId="15" applyNumberFormat="1" applyFont="1" applyBorder="1" applyAlignment="1">
      <alignment wrapText="1"/>
    </xf>
    <xf numFmtId="3" fontId="70" fillId="0" borderId="37" xfId="15" applyNumberFormat="1" applyFont="1" applyBorder="1" applyAlignment="1">
      <alignment wrapText="1"/>
    </xf>
    <xf numFmtId="3" fontId="67" fillId="0" borderId="38" xfId="15" applyNumberFormat="1" applyBorder="1" applyAlignment="1">
      <alignment wrapText="1"/>
    </xf>
    <xf numFmtId="3" fontId="67" fillId="0" borderId="37" xfId="15" applyNumberFormat="1" applyBorder="1" applyAlignment="1">
      <alignment wrapText="1"/>
    </xf>
    <xf numFmtId="0" fontId="67" fillId="0" borderId="26" xfId="15" applyBorder="1" applyAlignment="1">
      <alignment wrapText="1"/>
    </xf>
    <xf numFmtId="0" fontId="67" fillId="0" borderId="73" xfId="15" applyBorder="1" applyAlignment="1">
      <alignment wrapText="1"/>
    </xf>
    <xf numFmtId="0" fontId="67" fillId="0" borderId="37" xfId="15" applyBorder="1" applyAlignment="1">
      <alignment wrapText="1"/>
    </xf>
    <xf numFmtId="3" fontId="75" fillId="0" borderId="37" xfId="16" applyNumberFormat="1" applyFont="1" applyBorder="1" applyAlignment="1">
      <alignment wrapText="1"/>
    </xf>
    <xf numFmtId="0" fontId="75" fillId="0" borderId="26" xfId="16" applyFont="1" applyBorder="1" applyAlignment="1">
      <alignment horizontal="left" wrapText="1"/>
    </xf>
    <xf numFmtId="3" fontId="67" fillId="0" borderId="73" xfId="16" applyNumberFormat="1" applyFont="1" applyBorder="1" applyAlignment="1">
      <alignment wrapText="1"/>
    </xf>
    <xf numFmtId="3" fontId="67" fillId="0" borderId="72" xfId="15" applyNumberFormat="1" applyBorder="1" applyAlignment="1">
      <alignment wrapText="1"/>
    </xf>
    <xf numFmtId="3" fontId="67" fillId="0" borderId="49" xfId="15" applyNumberFormat="1" applyBorder="1" applyAlignment="1">
      <alignment wrapText="1"/>
    </xf>
    <xf numFmtId="0" fontId="67" fillId="0" borderId="55" xfId="15" applyBorder="1" applyAlignment="1">
      <alignment wrapText="1"/>
    </xf>
    <xf numFmtId="3" fontId="67" fillId="0" borderId="8" xfId="15" applyNumberFormat="1" applyBorder="1" applyAlignment="1">
      <alignment wrapText="1"/>
    </xf>
    <xf numFmtId="0" fontId="73" fillId="0" borderId="0" xfId="15" applyFont="1" applyAlignment="1">
      <alignment wrapText="1"/>
    </xf>
    <xf numFmtId="3" fontId="73" fillId="0" borderId="0" xfId="15" applyNumberFormat="1" applyFont="1" applyAlignment="1">
      <alignment wrapText="1"/>
    </xf>
    <xf numFmtId="0" fontId="69" fillId="14" borderId="32" xfId="15" applyFont="1" applyFill="1" applyBorder="1" applyAlignment="1">
      <alignment wrapText="1"/>
    </xf>
    <xf numFmtId="0" fontId="67" fillId="0" borderId="72" xfId="15" applyBorder="1" applyAlignment="1">
      <alignment wrapText="1"/>
    </xf>
    <xf numFmtId="3" fontId="67" fillId="0" borderId="73" xfId="15" applyNumberFormat="1" applyBorder="1" applyAlignment="1">
      <alignment wrapText="1"/>
    </xf>
    <xf numFmtId="0" fontId="71" fillId="0" borderId="0" xfId="15" applyFont="1" applyAlignment="1">
      <alignment wrapText="1"/>
    </xf>
    <xf numFmtId="3" fontId="70" fillId="0" borderId="39" xfId="15" applyNumberFormat="1" applyFont="1" applyBorder="1" applyAlignment="1">
      <alignment wrapText="1"/>
    </xf>
    <xf numFmtId="3" fontId="70" fillId="0" borderId="43" xfId="15" applyNumberFormat="1" applyFont="1" applyBorder="1" applyAlignment="1">
      <alignment wrapText="1"/>
    </xf>
    <xf numFmtId="3" fontId="70" fillId="0" borderId="40" xfId="15" applyNumberFormat="1" applyFont="1" applyBorder="1" applyAlignment="1">
      <alignment wrapText="1"/>
    </xf>
    <xf numFmtId="3" fontId="67" fillId="0" borderId="38" xfId="17" applyNumberFormat="1" applyFont="1" applyBorder="1" applyAlignment="1">
      <alignment wrapText="1"/>
    </xf>
    <xf numFmtId="3" fontId="67" fillId="0" borderId="36" xfId="17" applyNumberFormat="1" applyFont="1" applyBorder="1" applyAlignment="1">
      <alignment wrapText="1"/>
    </xf>
    <xf numFmtId="0" fontId="67" fillId="0" borderId="26" xfId="17" applyFont="1" applyBorder="1" applyAlignment="1">
      <alignment wrapText="1"/>
    </xf>
    <xf numFmtId="3" fontId="73" fillId="0" borderId="73" xfId="16" applyNumberFormat="1" applyFont="1" applyBorder="1" applyAlignment="1">
      <alignment wrapText="1"/>
    </xf>
    <xf numFmtId="3" fontId="73" fillId="0" borderId="37" xfId="16" applyNumberFormat="1" applyFont="1" applyBorder="1" applyAlignment="1">
      <alignment wrapText="1"/>
    </xf>
    <xf numFmtId="0" fontId="67" fillId="0" borderId="26" xfId="17" applyFont="1" applyBorder="1" applyAlignment="1">
      <alignment horizontal="left" wrapText="1"/>
    </xf>
    <xf numFmtId="3" fontId="67" fillId="0" borderId="38" xfId="16" applyNumberFormat="1" applyFont="1" applyBorder="1" applyAlignment="1">
      <alignment wrapText="1"/>
    </xf>
    <xf numFmtId="3" fontId="67" fillId="0" borderId="26" xfId="16" applyNumberFormat="1" applyFont="1" applyBorder="1" applyAlignment="1">
      <alignment wrapText="1"/>
    </xf>
    <xf numFmtId="3" fontId="67" fillId="0" borderId="6" xfId="15" applyNumberFormat="1" applyBorder="1" applyAlignment="1">
      <alignment wrapText="1"/>
    </xf>
    <xf numFmtId="3" fontId="67" fillId="0" borderId="77" xfId="15" applyNumberFormat="1" applyBorder="1" applyAlignment="1">
      <alignment wrapText="1"/>
    </xf>
    <xf numFmtId="0" fontId="67" fillId="0" borderId="0" xfId="15" applyAlignment="1">
      <alignment vertical="center" wrapText="1"/>
    </xf>
    <xf numFmtId="3" fontId="67" fillId="0" borderId="0" xfId="17" applyNumberFormat="1" applyFont="1" applyAlignment="1">
      <alignment horizontal="right"/>
    </xf>
    <xf numFmtId="0" fontId="3" fillId="0" borderId="0" xfId="19" applyFont="1"/>
    <xf numFmtId="3" fontId="5" fillId="0" borderId="78" xfId="20" applyNumberFormat="1" applyFont="1" applyBorder="1"/>
    <xf numFmtId="3" fontId="5" fillId="0" borderId="16" xfId="20" applyNumberFormat="1" applyFont="1" applyBorder="1"/>
    <xf numFmtId="0" fontId="5" fillId="0" borderId="14" xfId="20" applyFont="1" applyBorder="1" applyAlignment="1">
      <alignment vertical="center"/>
    </xf>
    <xf numFmtId="3" fontId="5" fillId="0" borderId="71" xfId="20" applyNumberFormat="1" applyFont="1" applyFill="1" applyBorder="1" applyAlignment="1">
      <alignment horizontal="right"/>
    </xf>
    <xf numFmtId="3" fontId="5" fillId="0" borderId="47" xfId="20" applyNumberFormat="1" applyFont="1" applyFill="1" applyBorder="1" applyAlignment="1">
      <alignment horizontal="right"/>
    </xf>
    <xf numFmtId="0" fontId="5" fillId="0" borderId="79" xfId="20" applyFont="1" applyBorder="1" applyAlignment="1">
      <alignment vertical="center" wrapText="1"/>
    </xf>
    <xf numFmtId="3" fontId="3" fillId="0" borderId="35" xfId="20" applyNumberFormat="1" applyFont="1" applyFill="1" applyBorder="1" applyAlignment="1">
      <alignment horizontal="right"/>
    </xf>
    <xf numFmtId="3" fontId="3" fillId="0" borderId="40" xfId="20" applyNumberFormat="1" applyFont="1" applyFill="1" applyBorder="1" applyAlignment="1">
      <alignment horizontal="right"/>
    </xf>
    <xf numFmtId="0" fontId="3" fillId="0" borderId="52" xfId="20" applyFont="1" applyBorder="1" applyAlignment="1">
      <alignment vertical="center"/>
    </xf>
    <xf numFmtId="0" fontId="3" fillId="0" borderId="80" xfId="20" applyFont="1" applyBorder="1" applyAlignment="1">
      <alignment vertical="center"/>
    </xf>
    <xf numFmtId="3" fontId="3" fillId="0" borderId="36" xfId="20" applyNumberFormat="1" applyFont="1" applyFill="1" applyBorder="1" applyAlignment="1">
      <alignment horizontal="right"/>
    </xf>
    <xf numFmtId="0" fontId="3" fillId="0" borderId="53" xfId="20" applyFont="1" applyBorder="1" applyAlignment="1">
      <alignment vertical="center"/>
    </xf>
    <xf numFmtId="3" fontId="5" fillId="0" borderId="10" xfId="20" applyNumberFormat="1" applyFont="1" applyFill="1" applyBorder="1" applyAlignment="1">
      <alignment horizontal="right"/>
    </xf>
    <xf numFmtId="3" fontId="5" fillId="0" borderId="15" xfId="20" applyNumberFormat="1" applyFont="1" applyFill="1" applyBorder="1" applyAlignment="1">
      <alignment horizontal="right"/>
    </xf>
    <xf numFmtId="0" fontId="5" fillId="0" borderId="81" xfId="20" applyFont="1" applyBorder="1" applyAlignment="1">
      <alignment vertical="center"/>
    </xf>
    <xf numFmtId="0" fontId="3" fillId="0" borderId="54" xfId="20" applyFont="1" applyFill="1" applyBorder="1" applyAlignment="1">
      <alignment vertical="center"/>
    </xf>
    <xf numFmtId="0" fontId="5" fillId="0" borderId="1" xfId="20" applyFont="1" applyFill="1" applyBorder="1" applyAlignment="1">
      <alignment horizontal="center" vertical="center" wrapText="1"/>
    </xf>
    <xf numFmtId="0" fontId="5" fillId="0" borderId="2" xfId="20" applyFont="1" applyFill="1" applyBorder="1" applyAlignment="1">
      <alignment horizontal="center" vertical="center" wrapText="1"/>
    </xf>
    <xf numFmtId="0" fontId="5" fillId="0" borderId="4" xfId="2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19" applyFont="1" applyAlignment="1">
      <alignment horizontal="center" wrapText="1"/>
    </xf>
    <xf numFmtId="165" fontId="3" fillId="0" borderId="0" xfId="0" applyNumberFormat="1" applyFont="1" applyBorder="1"/>
    <xf numFmtId="0" fontId="8" fillId="0" borderId="0" xfId="0" applyFont="1" applyAlignment="1">
      <alignment horizontal="left"/>
    </xf>
    <xf numFmtId="165" fontId="7" fillId="0" borderId="83" xfId="3" applyNumberFormat="1" applyFont="1" applyFill="1" applyBorder="1" applyAlignment="1">
      <alignment horizontal="right" wrapText="1"/>
    </xf>
    <xf numFmtId="3" fontId="5" fillId="0" borderId="84" xfId="0" applyNumberFormat="1" applyFont="1" applyFill="1" applyBorder="1" applyAlignment="1">
      <alignment horizontal="right"/>
    </xf>
    <xf numFmtId="0" fontId="8" fillId="0" borderId="83" xfId="0" quotePrefix="1" applyFont="1" applyFill="1" applyBorder="1" applyAlignment="1">
      <alignment horizontal="left" vertical="center"/>
    </xf>
    <xf numFmtId="0" fontId="5" fillId="0" borderId="59" xfId="0" applyFont="1" applyFill="1" applyBorder="1" applyAlignment="1">
      <alignment horizontal="center" vertical="center"/>
    </xf>
    <xf numFmtId="165" fontId="11" fillId="0" borderId="85" xfId="0" applyNumberFormat="1" applyFont="1" applyBorder="1" applyAlignment="1">
      <alignment horizontal="right" wrapText="1"/>
    </xf>
    <xf numFmtId="41" fontId="5" fillId="7" borderId="36" xfId="0" applyNumberFormat="1" applyFont="1" applyFill="1" applyBorder="1" applyAlignment="1">
      <alignment horizontal="right" wrapText="1"/>
    </xf>
    <xf numFmtId="41" fontId="3" fillId="7" borderId="19" xfId="0" applyNumberFormat="1" applyFont="1" applyFill="1" applyBorder="1" applyAlignment="1">
      <alignment horizontal="right" wrapText="1"/>
    </xf>
    <xf numFmtId="41" fontId="3" fillId="0" borderId="19" xfId="0" applyNumberFormat="1" applyFont="1" applyBorder="1" applyAlignment="1">
      <alignment horizontal="right" wrapText="1"/>
    </xf>
    <xf numFmtId="0" fontId="3" fillId="0" borderId="86" xfId="0" quotePrefix="1" applyFont="1" applyBorder="1" applyAlignment="1">
      <alignment horizontal="left"/>
    </xf>
    <xf numFmtId="0" fontId="3" fillId="0" borderId="87" xfId="0" applyFont="1" applyBorder="1" applyAlignment="1">
      <alignment horizontal="center" vertical="center"/>
    </xf>
    <xf numFmtId="165" fontId="11" fillId="0" borderId="61" xfId="0" applyNumberFormat="1" applyFont="1" applyBorder="1" applyAlignment="1">
      <alignment horizontal="right" wrapText="1"/>
    </xf>
    <xf numFmtId="41" fontId="3" fillId="7" borderId="24" xfId="0" applyNumberFormat="1" applyFont="1" applyFill="1" applyBorder="1" applyAlignment="1">
      <alignment horizontal="right" wrapText="1"/>
    </xf>
    <xf numFmtId="41" fontId="3" fillId="0" borderId="24" xfId="0" applyNumberFormat="1" applyFont="1" applyBorder="1" applyAlignment="1">
      <alignment horizontal="right" wrapText="1"/>
    </xf>
    <xf numFmtId="0" fontId="3" fillId="0" borderId="60" xfId="0" quotePrefix="1" applyFont="1" applyBorder="1" applyAlignment="1">
      <alignment horizontal="left"/>
    </xf>
    <xf numFmtId="0" fontId="3" fillId="0" borderId="88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165" fontId="7" fillId="3" borderId="60" xfId="0" applyNumberFormat="1" applyFont="1" applyFill="1" applyBorder="1" applyAlignment="1">
      <alignment horizontal="right" wrapText="1"/>
    </xf>
    <xf numFmtId="41" fontId="5" fillId="3" borderId="36" xfId="0" applyNumberFormat="1" applyFont="1" applyFill="1" applyBorder="1" applyAlignment="1">
      <alignment horizontal="right" wrapText="1"/>
    </xf>
    <xf numFmtId="0" fontId="6" fillId="3" borderId="61" xfId="0" applyFont="1" applyFill="1" applyBorder="1" applyAlignment="1">
      <alignment wrapText="1"/>
    </xf>
    <xf numFmtId="0" fontId="7" fillId="0" borderId="89" xfId="0" applyFont="1" applyBorder="1" applyAlignment="1">
      <alignment horizontal="center" vertical="center"/>
    </xf>
    <xf numFmtId="0" fontId="8" fillId="0" borderId="77" xfId="0" applyFont="1" applyBorder="1" applyAlignment="1">
      <alignment horizontal="left"/>
    </xf>
    <xf numFmtId="165" fontId="7" fillId="3" borderId="61" xfId="0" applyNumberFormat="1" applyFont="1" applyFill="1" applyBorder="1" applyAlignment="1">
      <alignment horizontal="right" wrapText="1"/>
    </xf>
    <xf numFmtId="0" fontId="6" fillId="3" borderId="60" xfId="0" applyFont="1" applyFill="1" applyBorder="1" applyAlignment="1">
      <alignment wrapText="1"/>
    </xf>
    <xf numFmtId="0" fontId="7" fillId="0" borderId="88" xfId="0" applyFont="1" applyBorder="1" applyAlignment="1">
      <alignment horizontal="center" vertical="center"/>
    </xf>
    <xf numFmtId="41" fontId="3" fillId="7" borderId="36" xfId="0" applyNumberFormat="1" applyFont="1" applyFill="1" applyBorder="1" applyAlignment="1">
      <alignment horizontal="right" wrapText="1"/>
    </xf>
    <xf numFmtId="41" fontId="5" fillId="7" borderId="0" xfId="0" applyNumberFormat="1" applyFont="1" applyFill="1" applyBorder="1" applyAlignment="1">
      <alignment horizontal="right" wrapText="1"/>
    </xf>
    <xf numFmtId="41" fontId="5" fillId="7" borderId="37" xfId="0" applyNumberFormat="1" applyFont="1" applyFill="1" applyBorder="1" applyAlignment="1">
      <alignment horizontal="right" wrapText="1"/>
    </xf>
    <xf numFmtId="0" fontId="6" fillId="3" borderId="85" xfId="0" applyFont="1" applyFill="1" applyBorder="1" applyAlignment="1">
      <alignment wrapText="1"/>
    </xf>
    <xf numFmtId="0" fontId="7" fillId="0" borderId="87" xfId="0" applyFont="1" applyBorder="1" applyAlignment="1">
      <alignment horizontal="center" vertical="center"/>
    </xf>
    <xf numFmtId="165" fontId="11" fillId="0" borderId="60" xfId="3" applyNumberFormat="1" applyFont="1" applyFill="1" applyBorder="1" applyAlignment="1">
      <alignment horizontal="right" wrapText="1"/>
    </xf>
    <xf numFmtId="165" fontId="7" fillId="0" borderId="60" xfId="3" applyNumberFormat="1" applyFont="1" applyFill="1" applyBorder="1" applyAlignment="1">
      <alignment horizontal="right" wrapText="1"/>
    </xf>
    <xf numFmtId="41" fontId="5" fillId="3" borderId="37" xfId="0" applyNumberFormat="1" applyFont="1" applyFill="1" applyBorder="1" applyAlignment="1">
      <alignment horizontal="right" wrapText="1"/>
    </xf>
    <xf numFmtId="0" fontId="6" fillId="0" borderId="88" xfId="0" applyFont="1" applyBorder="1" applyAlignment="1">
      <alignment horizontal="center" vertical="center"/>
    </xf>
    <xf numFmtId="165" fontId="11" fillId="0" borderId="85" xfId="0" applyNumberFormat="1" applyFont="1" applyBorder="1" applyAlignment="1">
      <alignment horizontal="right"/>
    </xf>
    <xf numFmtId="41" fontId="3" fillId="7" borderId="24" xfId="0" applyNumberFormat="1" applyFont="1" applyFill="1" applyBorder="1" applyAlignment="1">
      <alignment horizontal="right"/>
    </xf>
    <xf numFmtId="41" fontId="3" fillId="0" borderId="24" xfId="0" applyNumberFormat="1" applyFont="1" applyBorder="1" applyAlignment="1">
      <alignment horizontal="right"/>
    </xf>
    <xf numFmtId="0" fontId="8" fillId="0" borderId="85" xfId="0" applyFont="1" applyBorder="1" applyAlignment="1">
      <alignment horizontal="left"/>
    </xf>
    <xf numFmtId="0" fontId="8" fillId="0" borderId="90" xfId="0" applyFont="1" applyBorder="1" applyAlignment="1">
      <alignment horizontal="center"/>
    </xf>
    <xf numFmtId="165" fontId="7" fillId="0" borderId="91" xfId="0" applyNumberFormat="1" applyFont="1" applyFill="1" applyBorder="1" applyAlignment="1">
      <alignment horizontal="right"/>
    </xf>
    <xf numFmtId="3" fontId="5" fillId="0" borderId="92" xfId="0" applyNumberFormat="1" applyFont="1" applyFill="1" applyBorder="1" applyAlignment="1">
      <alignment horizontal="right"/>
    </xf>
    <xf numFmtId="0" fontId="5" fillId="0" borderId="91" xfId="0" applyFont="1" applyFill="1" applyBorder="1" applyAlignment="1">
      <alignment horizontal="left" vertical="center"/>
    </xf>
    <xf numFmtId="0" fontId="5" fillId="0" borderId="93" xfId="0" applyFont="1" applyFill="1" applyBorder="1" applyAlignment="1">
      <alignment horizontal="center" vertical="center"/>
    </xf>
    <xf numFmtId="41" fontId="11" fillId="0" borderId="0" xfId="0" applyNumberFormat="1" applyFont="1"/>
    <xf numFmtId="41" fontId="3" fillId="0" borderId="37" xfId="0" applyNumberFormat="1" applyFont="1" applyBorder="1" applyAlignment="1">
      <alignment horizontal="right" wrapText="1"/>
    </xf>
    <xf numFmtId="41" fontId="5" fillId="7" borderId="36" xfId="3" applyNumberFormat="1" applyFont="1" applyFill="1" applyBorder="1" applyAlignment="1">
      <alignment horizontal="right" wrapText="1"/>
    </xf>
    <xf numFmtId="41" fontId="5" fillId="0" borderId="36" xfId="3" applyNumberFormat="1" applyFont="1" applyFill="1" applyBorder="1" applyAlignment="1">
      <alignment horizontal="right" wrapText="1"/>
    </xf>
    <xf numFmtId="41" fontId="5" fillId="0" borderId="41" xfId="3" applyNumberFormat="1" applyFont="1" applyFill="1" applyBorder="1" applyAlignment="1">
      <alignment horizontal="right" wrapText="1"/>
    </xf>
    <xf numFmtId="43" fontId="6" fillId="0" borderId="60" xfId="3" applyFont="1" applyFill="1" applyBorder="1" applyAlignment="1">
      <alignment wrapText="1"/>
    </xf>
    <xf numFmtId="0" fontId="3" fillId="7" borderId="24" xfId="0" applyFont="1" applyFill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43" fontId="5" fillId="7" borderId="36" xfId="3" applyFont="1" applyFill="1" applyBorder="1" applyAlignment="1">
      <alignment horizontal="right" wrapText="1"/>
    </xf>
    <xf numFmtId="43" fontId="5" fillId="0" borderId="36" xfId="3" applyFont="1" applyFill="1" applyBorder="1" applyAlignment="1">
      <alignment horizontal="right" wrapText="1"/>
    </xf>
    <xf numFmtId="3" fontId="11" fillId="0" borderId="61" xfId="0" applyNumberFormat="1" applyFont="1" applyBorder="1" applyAlignment="1">
      <alignment horizontal="right" wrapText="1"/>
    </xf>
    <xf numFmtId="3" fontId="3" fillId="7" borderId="24" xfId="0" applyNumberFormat="1" applyFont="1" applyFill="1" applyBorder="1" applyAlignment="1">
      <alignment horizontal="right" wrapText="1"/>
    </xf>
    <xf numFmtId="3" fontId="3" fillId="0" borderId="24" xfId="0" applyNumberFormat="1" applyFont="1" applyBorder="1" applyAlignment="1">
      <alignment horizontal="right" wrapText="1"/>
    </xf>
    <xf numFmtId="168" fontId="3" fillId="0" borderId="36" xfId="0" applyNumberFormat="1" applyFont="1" applyBorder="1" applyAlignment="1">
      <alignment horizontal="right" wrapText="1"/>
    </xf>
    <xf numFmtId="166" fontId="3" fillId="0" borderId="24" xfId="3" applyNumberFormat="1" applyFont="1" applyBorder="1" applyAlignment="1">
      <alignment horizontal="right" wrapText="1"/>
    </xf>
    <xf numFmtId="169" fontId="5" fillId="0" borderId="36" xfId="0" applyNumberFormat="1" applyFont="1" applyBorder="1" applyAlignment="1">
      <alignment horizontal="right" wrapText="1"/>
    </xf>
    <xf numFmtId="41" fontId="3" fillId="0" borderId="36" xfId="0" applyNumberFormat="1" applyFont="1" applyBorder="1" applyAlignment="1">
      <alignment horizontal="right" wrapText="1"/>
    </xf>
    <xf numFmtId="0" fontId="3" fillId="0" borderId="36" xfId="0" applyFont="1" applyBorder="1" applyAlignment="1">
      <alignment horizontal="right" wrapText="1"/>
    </xf>
    <xf numFmtId="1" fontId="3" fillId="0" borderId="36" xfId="0" applyNumberFormat="1" applyFont="1" applyBorder="1" applyAlignment="1">
      <alignment horizontal="right" wrapText="1"/>
    </xf>
    <xf numFmtId="41" fontId="5" fillId="0" borderId="36" xfId="0" applyNumberFormat="1" applyFont="1" applyBorder="1" applyAlignment="1">
      <alignment horizontal="right" wrapText="1"/>
    </xf>
    <xf numFmtId="168" fontId="5" fillId="0" borderId="36" xfId="0" applyNumberFormat="1" applyFont="1" applyBorder="1" applyAlignment="1">
      <alignment horizontal="right" wrapText="1"/>
    </xf>
    <xf numFmtId="165" fontId="11" fillId="7" borderId="61" xfId="0" applyNumberFormat="1" applyFont="1" applyFill="1" applyBorder="1" applyAlignment="1">
      <alignment horizontal="right" wrapText="1"/>
    </xf>
    <xf numFmtId="165" fontId="7" fillId="7" borderId="60" xfId="0" applyNumberFormat="1" applyFont="1" applyFill="1" applyBorder="1" applyAlignment="1">
      <alignment horizontal="right" wrapText="1"/>
    </xf>
    <xf numFmtId="0" fontId="5" fillId="7" borderId="36" xfId="0" applyFont="1" applyFill="1" applyBorder="1" applyAlignment="1">
      <alignment horizontal="right" wrapText="1"/>
    </xf>
    <xf numFmtId="165" fontId="7" fillId="0" borderId="60" xfId="0" applyNumberFormat="1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165" fontId="7" fillId="7" borderId="61" xfId="0" applyNumberFormat="1" applyFont="1" applyFill="1" applyBorder="1" applyAlignment="1">
      <alignment horizontal="right" wrapText="1"/>
    </xf>
    <xf numFmtId="0" fontId="5" fillId="7" borderId="24" xfId="0" applyFont="1" applyFill="1" applyBorder="1" applyAlignment="1">
      <alignment horizontal="right" wrapText="1"/>
    </xf>
    <xf numFmtId="165" fontId="7" fillId="0" borderId="61" xfId="0" applyNumberFormat="1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165" fontId="11" fillId="7" borderId="61" xfId="0" applyNumberFormat="1" applyFont="1" applyFill="1" applyBorder="1" applyAlignment="1">
      <alignment horizontal="right"/>
    </xf>
    <xf numFmtId="3" fontId="3" fillId="7" borderId="24" xfId="0" applyNumberFormat="1" applyFont="1" applyFill="1" applyBorder="1" applyAlignment="1">
      <alignment horizontal="right"/>
    </xf>
    <xf numFmtId="3" fontId="3" fillId="7" borderId="89" xfId="0" applyNumberFormat="1" applyFont="1" applyFill="1" applyBorder="1" applyAlignment="1">
      <alignment horizontal="right"/>
    </xf>
    <xf numFmtId="165" fontId="11" fillId="0" borderId="61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0" fontId="8" fillId="0" borderId="94" xfId="0" applyFont="1" applyBorder="1" applyAlignment="1">
      <alignment horizontal="left"/>
    </xf>
    <xf numFmtId="0" fontId="8" fillId="0" borderId="95" xfId="0" applyFont="1" applyBorder="1" applyAlignment="1">
      <alignment horizontal="center"/>
    </xf>
    <xf numFmtId="0" fontId="5" fillId="0" borderId="64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165" fontId="3" fillId="7" borderId="0" xfId="0" applyNumberFormat="1" applyFont="1" applyFill="1"/>
    <xf numFmtId="165" fontId="3" fillId="7" borderId="0" xfId="0" applyNumberFormat="1" applyFont="1" applyFill="1" applyBorder="1"/>
    <xf numFmtId="0" fontId="3" fillId="7" borderId="0" xfId="0" applyFont="1" applyFill="1" applyBorder="1"/>
    <xf numFmtId="3" fontId="3" fillId="7" borderId="0" xfId="0" applyNumberFormat="1" applyFont="1" applyFill="1" applyBorder="1"/>
    <xf numFmtId="165" fontId="5" fillId="0" borderId="83" xfId="0" applyNumberFormat="1" applyFont="1" applyFill="1" applyBorder="1" applyAlignment="1">
      <alignment horizontal="right"/>
    </xf>
    <xf numFmtId="3" fontId="5" fillId="0" borderId="66" xfId="0" applyNumberFormat="1" applyFont="1" applyFill="1" applyBorder="1" applyAlignment="1">
      <alignment horizontal="right"/>
    </xf>
    <xf numFmtId="0" fontId="3" fillId="0" borderId="57" xfId="0" applyFont="1" applyFill="1" applyBorder="1" applyAlignment="1">
      <alignment horizontal="right" wrapText="1"/>
    </xf>
    <xf numFmtId="0" fontId="3" fillId="0" borderId="103" xfId="0" applyFont="1" applyFill="1" applyBorder="1" applyAlignment="1">
      <alignment horizontal="right" wrapText="1"/>
    </xf>
    <xf numFmtId="41" fontId="11" fillId="0" borderId="19" xfId="0" applyNumberFormat="1" applyFont="1" applyBorder="1" applyAlignment="1">
      <alignment horizontal="right" wrapText="1"/>
    </xf>
    <xf numFmtId="41" fontId="11" fillId="0" borderId="40" xfId="0" applyNumberFormat="1" applyFont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41" fontId="11" fillId="0" borderId="24" xfId="0" applyNumberFormat="1" applyFont="1" applyBorder="1" applyAlignment="1">
      <alignment horizontal="right" wrapText="1"/>
    </xf>
    <xf numFmtId="41" fontId="11" fillId="0" borderId="36" xfId="0" applyNumberFormat="1" applyFont="1" applyBorder="1" applyAlignment="1">
      <alignment horizontal="right" wrapText="1"/>
    </xf>
    <xf numFmtId="165" fontId="8" fillId="3" borderId="60" xfId="0" applyNumberFormat="1" applyFont="1" applyFill="1" applyBorder="1" applyAlignment="1">
      <alignment horizontal="right" wrapText="1"/>
    </xf>
    <xf numFmtId="0" fontId="5" fillId="0" borderId="103" xfId="0" applyFont="1" applyFill="1" applyBorder="1" applyAlignment="1">
      <alignment horizontal="right" wrapText="1"/>
    </xf>
    <xf numFmtId="41" fontId="8" fillId="3" borderId="36" xfId="0" applyNumberFormat="1" applyFont="1" applyFill="1" applyBorder="1" applyAlignment="1">
      <alignment horizontal="right" wrapText="1"/>
    </xf>
    <xf numFmtId="0" fontId="8" fillId="3" borderId="61" xfId="0" applyFont="1" applyFill="1" applyBorder="1" applyAlignment="1">
      <alignment wrapText="1"/>
    </xf>
    <xf numFmtId="0" fontId="5" fillId="0" borderId="89" xfId="0" applyFont="1" applyBorder="1" applyAlignment="1">
      <alignment horizontal="center" vertical="center"/>
    </xf>
    <xf numFmtId="165" fontId="8" fillId="3" borderId="61" xfId="0" applyNumberFormat="1" applyFont="1" applyFill="1" applyBorder="1" applyAlignment="1">
      <alignment horizontal="right" wrapText="1"/>
    </xf>
    <xf numFmtId="0" fontId="8" fillId="3" borderId="60" xfId="0" applyFont="1" applyFill="1" applyBorder="1" applyAlignment="1">
      <alignment wrapText="1"/>
    </xf>
    <xf numFmtId="0" fontId="5" fillId="0" borderId="88" xfId="0" applyFont="1" applyBorder="1" applyAlignment="1">
      <alignment horizontal="center" vertical="center"/>
    </xf>
    <xf numFmtId="0" fontId="5" fillId="0" borderId="36" xfId="0" applyFont="1" applyFill="1" applyBorder="1" applyAlignment="1">
      <alignment horizontal="right" wrapText="1"/>
    </xf>
    <xf numFmtId="0" fontId="8" fillId="3" borderId="85" xfId="0" applyFont="1" applyFill="1" applyBorder="1" applyAlignment="1">
      <alignment wrapText="1"/>
    </xf>
    <xf numFmtId="0" fontId="5" fillId="0" borderId="87" xfId="0" applyFont="1" applyBorder="1" applyAlignment="1">
      <alignment horizontal="center" vertical="center"/>
    </xf>
    <xf numFmtId="165" fontId="3" fillId="0" borderId="61" xfId="0" applyNumberFormat="1" applyFont="1" applyBorder="1" applyAlignment="1">
      <alignment horizontal="right" wrapText="1"/>
    </xf>
    <xf numFmtId="41" fontId="3" fillId="0" borderId="23" xfId="0" applyNumberFormat="1" applyFont="1" applyBorder="1" applyAlignment="1">
      <alignment horizontal="right" wrapText="1"/>
    </xf>
    <xf numFmtId="165" fontId="5" fillId="3" borderId="60" xfId="0" applyNumberFormat="1" applyFont="1" applyFill="1" applyBorder="1" applyAlignment="1">
      <alignment horizontal="right" wrapText="1"/>
    </xf>
    <xf numFmtId="41" fontId="5" fillId="3" borderId="38" xfId="0" applyNumberFormat="1" applyFont="1" applyFill="1" applyBorder="1" applyAlignment="1">
      <alignment horizontal="right" wrapText="1"/>
    </xf>
    <xf numFmtId="0" fontId="8" fillId="0" borderId="88" xfId="0" applyFont="1" applyBorder="1" applyAlignment="1">
      <alignment horizontal="center" vertical="center"/>
    </xf>
    <xf numFmtId="165" fontId="51" fillId="0" borderId="85" xfId="0" applyNumberFormat="1" applyFont="1" applyBorder="1" applyAlignment="1">
      <alignment horizontal="right"/>
    </xf>
    <xf numFmtId="0" fontId="5" fillId="0" borderId="104" xfId="0" applyFont="1" applyFill="1" applyBorder="1" applyAlignment="1">
      <alignment horizontal="right" wrapText="1"/>
    </xf>
    <xf numFmtId="41" fontId="51" fillId="0" borderId="24" xfId="0" applyNumberFormat="1" applyFont="1" applyBorder="1" applyAlignment="1">
      <alignment horizontal="right"/>
    </xf>
    <xf numFmtId="165" fontId="5" fillId="0" borderId="91" xfId="0" applyNumberFormat="1" applyFont="1" applyFill="1" applyBorder="1" applyAlignment="1">
      <alignment horizontal="right"/>
    </xf>
    <xf numFmtId="3" fontId="5" fillId="0" borderId="105" xfId="0" applyNumberFormat="1" applyFont="1" applyFill="1" applyBorder="1" applyAlignment="1">
      <alignment horizontal="right"/>
    </xf>
    <xf numFmtId="3" fontId="5" fillId="0" borderId="106" xfId="0" applyNumberFormat="1" applyFont="1" applyFill="1" applyBorder="1" applyAlignment="1">
      <alignment horizontal="right"/>
    </xf>
    <xf numFmtId="3" fontId="5" fillId="0" borderId="93" xfId="0" applyNumberFormat="1" applyFont="1" applyFill="1" applyBorder="1" applyAlignment="1">
      <alignment horizontal="right"/>
    </xf>
    <xf numFmtId="41" fontId="3" fillId="0" borderId="73" xfId="0" applyNumberFormat="1" applyFont="1" applyBorder="1" applyAlignment="1">
      <alignment horizontal="right" wrapText="1"/>
    </xf>
    <xf numFmtId="0" fontId="17" fillId="0" borderId="0" xfId="0" applyFont="1"/>
    <xf numFmtId="43" fontId="8" fillId="0" borderId="60" xfId="3" applyFont="1" applyFill="1" applyBorder="1" applyAlignment="1">
      <alignment wrapText="1"/>
    </xf>
    <xf numFmtId="165" fontId="11" fillId="0" borderId="60" xfId="0" applyNumberFormat="1" applyFont="1" applyBorder="1" applyAlignment="1">
      <alignment horizontal="right" wrapText="1"/>
    </xf>
    <xf numFmtId="0" fontId="11" fillId="0" borderId="24" xfId="0" applyFont="1" applyBorder="1" applyAlignment="1">
      <alignment horizontal="right" wrapText="1"/>
    </xf>
    <xf numFmtId="0" fontId="11" fillId="0" borderId="36" xfId="0" applyFont="1" applyBorder="1" applyAlignment="1">
      <alignment horizontal="right" wrapText="1"/>
    </xf>
    <xf numFmtId="165" fontId="5" fillId="0" borderId="60" xfId="3" applyNumberFormat="1" applyFont="1" applyFill="1" applyBorder="1" applyAlignment="1">
      <alignment horizontal="right" wrapText="1"/>
    </xf>
    <xf numFmtId="165" fontId="3" fillId="0" borderId="60" xfId="3" applyNumberFormat="1" applyFont="1" applyFill="1" applyBorder="1" applyAlignment="1">
      <alignment horizontal="right" wrapText="1"/>
    </xf>
    <xf numFmtId="165" fontId="11" fillId="0" borderId="61" xfId="0" applyNumberFormat="1" applyFont="1" applyFill="1" applyBorder="1" applyAlignment="1">
      <alignment horizontal="right" wrapText="1"/>
    </xf>
    <xf numFmtId="165" fontId="5" fillId="0" borderId="60" xfId="0" applyNumberFormat="1" applyFont="1" applyFill="1" applyBorder="1" applyAlignment="1">
      <alignment horizontal="right" wrapText="1"/>
    </xf>
    <xf numFmtId="165" fontId="5" fillId="0" borderId="60" xfId="0" applyNumberFormat="1" applyFont="1" applyBorder="1" applyAlignment="1">
      <alignment horizontal="right" wrapText="1"/>
    </xf>
    <xf numFmtId="165" fontId="5" fillId="0" borderId="61" xfId="0" applyNumberFormat="1" applyFont="1" applyFill="1" applyBorder="1" applyAlignment="1">
      <alignment horizontal="right" wrapText="1"/>
    </xf>
    <xf numFmtId="165" fontId="5" fillId="0" borderId="61" xfId="0" applyNumberFormat="1" applyFont="1" applyBorder="1" applyAlignment="1">
      <alignment horizontal="right" wrapText="1"/>
    </xf>
    <xf numFmtId="165" fontId="51" fillId="0" borderId="61" xfId="0" applyNumberFormat="1" applyFont="1" applyFill="1" applyBorder="1" applyAlignment="1">
      <alignment horizontal="right"/>
    </xf>
    <xf numFmtId="0" fontId="51" fillId="0" borderId="24" xfId="0" applyFont="1" applyFill="1" applyBorder="1" applyAlignment="1">
      <alignment horizontal="right"/>
    </xf>
    <xf numFmtId="0" fontId="51" fillId="0" borderId="89" xfId="0" applyFont="1" applyFill="1" applyBorder="1" applyAlignment="1">
      <alignment horizontal="right"/>
    </xf>
    <xf numFmtId="165" fontId="51" fillId="0" borderId="61" xfId="0" applyNumberFormat="1" applyFont="1" applyBorder="1" applyAlignment="1">
      <alignment horizontal="right"/>
    </xf>
    <xf numFmtId="0" fontId="51" fillId="0" borderId="24" xfId="0" applyFont="1" applyBorder="1" applyAlignment="1">
      <alignment horizontal="right"/>
    </xf>
    <xf numFmtId="0" fontId="51" fillId="0" borderId="36" xfId="0" applyFont="1" applyBorder="1" applyAlignment="1">
      <alignment horizontal="right"/>
    </xf>
    <xf numFmtId="0" fontId="45" fillId="0" borderId="36" xfId="0" applyFont="1" applyBorder="1"/>
    <xf numFmtId="165" fontId="11" fillId="7" borderId="0" xfId="0" applyNumberFormat="1" applyFont="1" applyFill="1"/>
    <xf numFmtId="165" fontId="11" fillId="0" borderId="0" xfId="0" applyNumberFormat="1" applyFont="1"/>
    <xf numFmtId="49" fontId="3" fillId="0" borderId="0" xfId="0" applyNumberFormat="1" applyFont="1" applyAlignment="1">
      <alignment horizontal="left"/>
    </xf>
    <xf numFmtId="165" fontId="11" fillId="7" borderId="0" xfId="0" applyNumberFormat="1" applyFont="1" applyFill="1" applyBorder="1"/>
    <xf numFmtId="165" fontId="11" fillId="0" borderId="0" xfId="0" applyNumberFormat="1" applyFont="1" applyBorder="1"/>
    <xf numFmtId="49" fontId="3" fillId="0" borderId="0" xfId="0" applyNumberFormat="1" applyFont="1" applyBorder="1" applyAlignment="1">
      <alignment horizontal="left"/>
    </xf>
    <xf numFmtId="41" fontId="8" fillId="0" borderId="0" xfId="0" applyNumberFormat="1" applyFont="1" applyAlignment="1">
      <alignment horizontal="left"/>
    </xf>
    <xf numFmtId="165" fontId="11" fillId="0" borderId="109" xfId="0" applyNumberFormat="1" applyFont="1" applyBorder="1" applyAlignment="1">
      <alignment horizontal="right"/>
    </xf>
    <xf numFmtId="43" fontId="3" fillId="7" borderId="66" xfId="0" applyNumberFormat="1" applyFont="1" applyFill="1" applyBorder="1" applyAlignment="1">
      <alignment horizontal="right"/>
    </xf>
    <xf numFmtId="43" fontId="3" fillId="7" borderId="110" xfId="0" applyNumberFormat="1" applyFont="1" applyFill="1" applyBorder="1" applyAlignment="1">
      <alignment horizontal="right"/>
    </xf>
    <xf numFmtId="43" fontId="3" fillId="7" borderId="58" xfId="0" applyNumberFormat="1" applyFont="1" applyFill="1" applyBorder="1" applyAlignment="1">
      <alignment horizontal="right"/>
    </xf>
    <xf numFmtId="43" fontId="3" fillId="7" borderId="111" xfId="0" applyNumberFormat="1" applyFont="1" applyFill="1" applyBorder="1" applyAlignment="1">
      <alignment horizontal="right"/>
    </xf>
    <xf numFmtId="43" fontId="3" fillId="0" borderId="66" xfId="0" applyNumberFormat="1" applyFont="1" applyBorder="1" applyAlignment="1">
      <alignment horizontal="right"/>
    </xf>
    <xf numFmtId="43" fontId="3" fillId="0" borderId="112" xfId="0" applyNumberFormat="1" applyFont="1" applyBorder="1" applyAlignment="1">
      <alignment horizontal="right"/>
    </xf>
    <xf numFmtId="0" fontId="3" fillId="0" borderId="83" xfId="0" applyFont="1" applyFill="1" applyBorder="1" applyAlignment="1">
      <alignment horizontal="left"/>
    </xf>
    <xf numFmtId="0" fontId="3" fillId="0" borderId="59" xfId="0" applyFont="1" applyBorder="1"/>
    <xf numFmtId="3" fontId="8" fillId="0" borderId="0" xfId="0" applyNumberFormat="1" applyFont="1" applyAlignment="1"/>
    <xf numFmtId="165" fontId="7" fillId="0" borderId="83" xfId="0" applyNumberFormat="1" applyFont="1" applyFill="1" applyBorder="1" applyAlignment="1">
      <alignment horizontal="right"/>
    </xf>
    <xf numFmtId="3" fontId="5" fillId="0" borderId="113" xfId="0" applyNumberFormat="1" applyFont="1" applyFill="1" applyBorder="1" applyAlignment="1">
      <alignment horizontal="right"/>
    </xf>
    <xf numFmtId="0" fontId="11" fillId="0" borderId="0" xfId="0" applyFont="1" applyAlignment="1"/>
    <xf numFmtId="41" fontId="5" fillId="7" borderId="57" xfId="0" applyNumberFormat="1" applyFont="1" applyFill="1" applyBorder="1" applyAlignment="1">
      <alignment horizontal="right" wrapText="1"/>
    </xf>
    <xf numFmtId="41" fontId="5" fillId="7" borderId="103" xfId="0" applyNumberFormat="1" applyFont="1" applyFill="1" applyBorder="1" applyAlignment="1">
      <alignment horizontal="right" wrapText="1"/>
    </xf>
    <xf numFmtId="41" fontId="3" fillId="7" borderId="103" xfId="0" applyNumberFormat="1" applyFont="1" applyFill="1" applyBorder="1" applyAlignment="1">
      <alignment horizontal="right" wrapText="1"/>
    </xf>
    <xf numFmtId="41" fontId="11" fillId="0" borderId="0" xfId="0" applyNumberFormat="1" applyFont="1" applyAlignment="1"/>
    <xf numFmtId="41" fontId="5" fillId="7" borderId="38" xfId="0" applyNumberFormat="1" applyFont="1" applyFill="1" applyBorder="1" applyAlignment="1">
      <alignment horizontal="right" wrapText="1"/>
    </xf>
    <xf numFmtId="41" fontId="3" fillId="7" borderId="38" xfId="0" applyNumberFormat="1" applyFont="1" applyFill="1" applyBorder="1" applyAlignment="1">
      <alignment horizontal="right" wrapText="1"/>
    </xf>
    <xf numFmtId="165" fontId="11" fillId="0" borderId="18" xfId="0" applyNumberFormat="1" applyFont="1" applyBorder="1" applyAlignment="1">
      <alignment horizontal="right"/>
    </xf>
    <xf numFmtId="41" fontId="5" fillId="7" borderId="104" xfId="0" applyNumberFormat="1" applyFont="1" applyFill="1" applyBorder="1" applyAlignment="1">
      <alignment horizontal="right" wrapText="1"/>
    </xf>
    <xf numFmtId="0" fontId="8" fillId="0" borderId="0" xfId="0" applyFont="1" applyAlignment="1"/>
    <xf numFmtId="41" fontId="3" fillId="7" borderId="40" xfId="0" applyNumberFormat="1" applyFont="1" applyFill="1" applyBorder="1" applyAlignment="1">
      <alignment horizontal="right" wrapText="1"/>
    </xf>
    <xf numFmtId="41" fontId="3" fillId="7" borderId="57" xfId="0" applyNumberFormat="1" applyFont="1" applyFill="1" applyBorder="1" applyAlignment="1">
      <alignment horizontal="right" wrapText="1"/>
    </xf>
    <xf numFmtId="41" fontId="5" fillId="0" borderId="73" xfId="0" applyNumberFormat="1" applyFont="1" applyBorder="1" applyAlignment="1">
      <alignment horizontal="right" wrapText="1"/>
    </xf>
    <xf numFmtId="1" fontId="3" fillId="0" borderId="24" xfId="0" applyNumberFormat="1" applyFont="1" applyBorder="1" applyAlignment="1">
      <alignment horizontal="right" wrapText="1"/>
    </xf>
    <xf numFmtId="1" fontId="5" fillId="0" borderId="36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165" fontId="81" fillId="7" borderId="0" xfId="0" applyNumberFormat="1" applyFont="1" applyFill="1" applyBorder="1" applyAlignment="1">
      <alignment vertical="top" wrapText="1"/>
    </xf>
    <xf numFmtId="0" fontId="49" fillId="7" borderId="0" xfId="0" applyFont="1" applyFill="1" applyBorder="1" applyAlignment="1">
      <alignment vertical="top" wrapText="1"/>
    </xf>
    <xf numFmtId="49" fontId="49" fillId="0" borderId="0" xfId="0" applyNumberFormat="1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0" borderId="0" xfId="0" applyFont="1" applyAlignment="1"/>
    <xf numFmtId="0" fontId="3" fillId="0" borderId="0" xfId="0" applyFont="1" applyBorder="1" applyAlignment="1"/>
    <xf numFmtId="165" fontId="3" fillId="0" borderId="0" xfId="0" applyNumberFormat="1" applyFont="1" applyBorder="1" applyAlignment="1">
      <alignment horizontal="right"/>
    </xf>
    <xf numFmtId="43" fontId="3" fillId="0" borderId="0" xfId="0" applyNumberFormat="1" applyFont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165" fontId="6" fillId="3" borderId="0" xfId="0" applyNumberFormat="1" applyFont="1" applyFill="1" applyBorder="1" applyAlignment="1">
      <alignment horizontal="right" wrapText="1"/>
    </xf>
    <xf numFmtId="41" fontId="6" fillId="3" borderId="0" xfId="0" applyNumberFormat="1" applyFont="1" applyFill="1" applyBorder="1" applyAlignment="1">
      <alignment horizontal="right" wrapText="1"/>
    </xf>
    <xf numFmtId="165" fontId="51" fillId="0" borderId="0" xfId="0" applyNumberFormat="1" applyFont="1" applyBorder="1" applyAlignment="1">
      <alignment horizontal="right"/>
    </xf>
    <xf numFmtId="41" fontId="51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 wrapText="1"/>
    </xf>
    <xf numFmtId="41" fontId="11" fillId="0" borderId="0" xfId="0" applyNumberFormat="1" applyFont="1" applyBorder="1" applyAlignment="1">
      <alignment horizontal="right" wrapText="1"/>
    </xf>
    <xf numFmtId="165" fontId="8" fillId="0" borderId="0" xfId="3" applyNumberFormat="1" applyFont="1" applyFill="1" applyBorder="1" applyAlignment="1">
      <alignment horizontal="right" wrapText="1"/>
    </xf>
    <xf numFmtId="41" fontId="8" fillId="0" borderId="0" xfId="3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43" fontId="8" fillId="0" borderId="0" xfId="3" applyFont="1" applyFill="1" applyBorder="1" applyAlignment="1">
      <alignment horizontal="right" wrapText="1"/>
    </xf>
    <xf numFmtId="41" fontId="3" fillId="0" borderId="0" xfId="0" applyNumberFormat="1" applyFont="1" applyBorder="1"/>
    <xf numFmtId="165" fontId="3" fillId="0" borderId="114" xfId="0" applyNumberFormat="1" applyFont="1" applyBorder="1" applyAlignment="1">
      <alignment vertical="top"/>
    </xf>
    <xf numFmtId="43" fontId="3" fillId="0" borderId="58" xfId="0" applyNumberFormat="1" applyFont="1" applyBorder="1" applyAlignment="1">
      <alignment vertical="top"/>
    </xf>
    <xf numFmtId="43" fontId="3" fillId="0" borderId="111" xfId="0" applyNumberFormat="1" applyFont="1" applyBorder="1" applyAlignment="1">
      <alignment vertical="top"/>
    </xf>
    <xf numFmtId="43" fontId="3" fillId="0" borderId="115" xfId="0" applyNumberFormat="1" applyFont="1" applyBorder="1" applyAlignment="1">
      <alignment vertical="top"/>
    </xf>
    <xf numFmtId="43" fontId="3" fillId="0" borderId="116" xfId="0" applyNumberFormat="1" applyFont="1" applyBorder="1" applyAlignment="1">
      <alignment vertical="top"/>
    </xf>
    <xf numFmtId="165" fontId="3" fillId="0" borderId="112" xfId="0" applyNumberFormat="1" applyFont="1" applyBorder="1" applyAlignment="1">
      <alignment vertical="top"/>
    </xf>
    <xf numFmtId="43" fontId="3" fillId="0" borderId="112" xfId="0" applyNumberFormat="1" applyFont="1" applyBorder="1" applyAlignment="1">
      <alignment vertical="top"/>
    </xf>
    <xf numFmtId="43" fontId="3" fillId="0" borderId="66" xfId="0" applyNumberFormat="1" applyFont="1" applyBorder="1" applyAlignment="1">
      <alignment vertical="top"/>
    </xf>
    <xf numFmtId="43" fontId="3" fillId="0" borderId="84" xfId="0" applyNumberFormat="1" applyFont="1" applyBorder="1" applyAlignment="1">
      <alignment vertical="top"/>
    </xf>
    <xf numFmtId="43" fontId="3" fillId="0" borderId="59" xfId="0" applyNumberFormat="1" applyFont="1" applyBorder="1" applyAlignment="1">
      <alignment vertical="top"/>
    </xf>
    <xf numFmtId="43" fontId="3" fillId="0" borderId="117" xfId="0" applyNumberFormat="1" applyFont="1" applyBorder="1" applyAlignment="1">
      <alignment vertical="top"/>
    </xf>
    <xf numFmtId="0" fontId="3" fillId="0" borderId="118" xfId="0" applyFont="1" applyBorder="1"/>
    <xf numFmtId="0" fontId="3" fillId="0" borderId="119" xfId="0" applyFont="1" applyBorder="1"/>
    <xf numFmtId="165" fontId="11" fillId="0" borderId="0" xfId="3" applyNumberFormat="1" applyFont="1" applyFill="1" applyBorder="1" applyAlignment="1">
      <alignment horizontal="right" wrapText="1"/>
    </xf>
    <xf numFmtId="0" fontId="3" fillId="0" borderId="120" xfId="0" applyFont="1" applyBorder="1"/>
    <xf numFmtId="0" fontId="3" fillId="0" borderId="102" xfId="0" applyFont="1" applyBorder="1"/>
    <xf numFmtId="3" fontId="5" fillId="0" borderId="0" xfId="0" applyNumberFormat="1" applyFont="1" applyAlignment="1"/>
    <xf numFmtId="3" fontId="5" fillId="0" borderId="0" xfId="3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5" fontId="5" fillId="0" borderId="121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3" fontId="5" fillId="0" borderId="122" xfId="0" applyNumberFormat="1" applyFont="1" applyFill="1" applyBorder="1" applyAlignment="1">
      <alignment horizontal="right"/>
    </xf>
    <xf numFmtId="165" fontId="5" fillId="0" borderId="84" xfId="0" applyNumberFormat="1" applyFont="1" applyFill="1" applyBorder="1" applyAlignment="1">
      <alignment horizontal="right"/>
    </xf>
    <xf numFmtId="0" fontId="5" fillId="0" borderId="88" xfId="0" applyFont="1" applyFill="1" applyBorder="1" applyAlignment="1">
      <alignment horizontal="right" wrapText="1"/>
    </xf>
    <xf numFmtId="0" fontId="5" fillId="0" borderId="73" xfId="0" applyFont="1" applyFill="1" applyBorder="1" applyAlignment="1">
      <alignment horizontal="right" wrapText="1"/>
    </xf>
    <xf numFmtId="41" fontId="11" fillId="0" borderId="90" xfId="0" applyNumberFormat="1" applyFont="1" applyBorder="1" applyAlignment="1">
      <alignment horizontal="right" wrapText="1"/>
    </xf>
    <xf numFmtId="41" fontId="11" fillId="0" borderId="18" xfId="0" applyNumberFormat="1" applyFont="1" applyBorder="1" applyAlignment="1">
      <alignment horizontal="right" wrapText="1"/>
    </xf>
    <xf numFmtId="165" fontId="11" fillId="0" borderId="19" xfId="0" applyNumberFormat="1" applyFont="1" applyBorder="1" applyAlignment="1">
      <alignment horizontal="right" wrapText="1"/>
    </xf>
    <xf numFmtId="41" fontId="11" fillId="0" borderId="20" xfId="0" applyNumberFormat="1" applyFont="1" applyBorder="1" applyAlignment="1">
      <alignment horizontal="right" wrapText="1"/>
    </xf>
    <xf numFmtId="41" fontId="11" fillId="0" borderId="89" xfId="0" applyNumberFormat="1" applyFont="1" applyBorder="1" applyAlignment="1">
      <alignment horizontal="right" wrapText="1"/>
    </xf>
    <xf numFmtId="41" fontId="11" fillId="0" borderId="23" xfId="0" applyNumberFormat="1" applyFont="1" applyBorder="1" applyAlignment="1">
      <alignment horizontal="right" wrapText="1"/>
    </xf>
    <xf numFmtId="165" fontId="11" fillId="0" borderId="24" xfId="0" applyNumberFormat="1" applyFont="1" applyBorder="1" applyAlignment="1">
      <alignment horizontal="right" wrapText="1"/>
    </xf>
    <xf numFmtId="41" fontId="11" fillId="0" borderId="25" xfId="0" applyNumberFormat="1" applyFont="1" applyBorder="1" applyAlignment="1">
      <alignment horizontal="right" wrapText="1"/>
    </xf>
    <xf numFmtId="0" fontId="8" fillId="0" borderId="0" xfId="0" applyFont="1" applyBorder="1" applyAlignment="1"/>
    <xf numFmtId="165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41" fontId="8" fillId="3" borderId="88" xfId="0" applyNumberFormat="1" applyFont="1" applyFill="1" applyBorder="1" applyAlignment="1">
      <alignment horizontal="right" wrapText="1"/>
    </xf>
    <xf numFmtId="41" fontId="8" fillId="3" borderId="38" xfId="0" applyNumberFormat="1" applyFont="1" applyFill="1" applyBorder="1" applyAlignment="1">
      <alignment horizontal="right" wrapText="1"/>
    </xf>
    <xf numFmtId="165" fontId="8" fillId="3" borderId="36" xfId="0" applyNumberFormat="1" applyFont="1" applyFill="1" applyBorder="1" applyAlignment="1">
      <alignment horizontal="right" wrapText="1"/>
    </xf>
    <xf numFmtId="41" fontId="8" fillId="3" borderId="37" xfId="0" applyNumberFormat="1" applyFont="1" applyFill="1" applyBorder="1" applyAlignment="1">
      <alignment horizontal="right" wrapText="1"/>
    </xf>
    <xf numFmtId="0" fontId="8" fillId="0" borderId="77" xfId="0" applyFont="1" applyBorder="1" applyAlignment="1"/>
    <xf numFmtId="165" fontId="82" fillId="0" borderId="0" xfId="0" applyNumberFormat="1" applyFont="1" applyBorder="1" applyAlignment="1">
      <alignment horizontal="right"/>
    </xf>
    <xf numFmtId="0" fontId="82" fillId="0" borderId="0" xfId="0" applyFont="1" applyBorder="1" applyAlignment="1">
      <alignment horizontal="right"/>
    </xf>
    <xf numFmtId="41" fontId="3" fillId="0" borderId="89" xfId="0" applyNumberFormat="1" applyFont="1" applyBorder="1" applyAlignment="1">
      <alignment horizontal="right" wrapText="1"/>
    </xf>
    <xf numFmtId="41" fontId="7" fillId="3" borderId="36" xfId="0" applyNumberFormat="1" applyFont="1" applyFill="1" applyBorder="1" applyAlignment="1">
      <alignment horizontal="right" wrapText="1"/>
    </xf>
    <xf numFmtId="41" fontId="7" fillId="3" borderId="88" xfId="0" applyNumberFormat="1" applyFont="1" applyFill="1" applyBorder="1" applyAlignment="1">
      <alignment horizontal="right" wrapText="1"/>
    </xf>
    <xf numFmtId="41" fontId="7" fillId="3" borderId="37" xfId="0" applyNumberFormat="1" applyFont="1" applyFill="1" applyBorder="1" applyAlignment="1">
      <alignment horizontal="right" wrapText="1"/>
    </xf>
    <xf numFmtId="165" fontId="7" fillId="3" borderId="123" xfId="0" applyNumberFormat="1" applyFont="1" applyFill="1" applyBorder="1" applyAlignment="1">
      <alignment horizontal="right" wrapText="1"/>
    </xf>
    <xf numFmtId="41" fontId="7" fillId="3" borderId="38" xfId="0" applyNumberFormat="1" applyFont="1" applyFill="1" applyBorder="1" applyAlignment="1">
      <alignment horizontal="right" wrapText="1"/>
    </xf>
    <xf numFmtId="165" fontId="7" fillId="3" borderId="37" xfId="0" applyNumberFormat="1" applyFont="1" applyFill="1" applyBorder="1" applyAlignment="1">
      <alignment horizontal="right" wrapText="1"/>
    </xf>
    <xf numFmtId="41" fontId="7" fillId="3" borderId="73" xfId="0" applyNumberFormat="1" applyFont="1" applyFill="1" applyBorder="1" applyAlignment="1">
      <alignment horizontal="right" wrapText="1"/>
    </xf>
    <xf numFmtId="0" fontId="5" fillId="0" borderId="0" xfId="0" applyFont="1" applyAlignment="1"/>
    <xf numFmtId="41" fontId="5" fillId="3" borderId="88" xfId="0" applyNumberFormat="1" applyFont="1" applyFill="1" applyBorder="1" applyAlignment="1">
      <alignment horizontal="right" wrapText="1"/>
    </xf>
    <xf numFmtId="165" fontId="5" fillId="3" borderId="36" xfId="0" applyNumberFormat="1" applyFont="1" applyFill="1" applyBorder="1" applyAlignment="1">
      <alignment horizontal="right" wrapText="1"/>
    </xf>
    <xf numFmtId="165" fontId="3" fillId="0" borderId="24" xfId="0" applyNumberFormat="1" applyFont="1" applyBorder="1" applyAlignment="1">
      <alignment horizontal="right" wrapText="1"/>
    </xf>
    <xf numFmtId="41" fontId="3" fillId="0" borderId="25" xfId="0" applyNumberFormat="1" applyFont="1" applyBorder="1" applyAlignment="1">
      <alignment horizontal="right" wrapText="1"/>
    </xf>
    <xf numFmtId="165" fontId="3" fillId="0" borderId="123" xfId="0" applyNumberFormat="1" applyFont="1" applyBorder="1" applyAlignment="1">
      <alignment horizontal="right" wrapText="1"/>
    </xf>
    <xf numFmtId="41" fontId="3" fillId="0" borderId="77" xfId="0" applyNumberFormat="1" applyFont="1" applyBorder="1" applyAlignment="1">
      <alignment horizontal="right" wrapText="1"/>
    </xf>
    <xf numFmtId="165" fontId="3" fillId="0" borderId="37" xfId="0" applyNumberFormat="1" applyFont="1" applyBorder="1" applyAlignment="1">
      <alignment horizontal="right" wrapText="1"/>
    </xf>
    <xf numFmtId="0" fontId="7" fillId="0" borderId="0" xfId="0" applyFont="1" applyAlignment="1"/>
    <xf numFmtId="41" fontId="51" fillId="0" borderId="89" xfId="0" applyNumberFormat="1" applyFont="1" applyBorder="1" applyAlignment="1">
      <alignment horizontal="right"/>
    </xf>
    <xf numFmtId="41" fontId="51" fillId="0" borderId="23" xfId="0" applyNumberFormat="1" applyFont="1" applyBorder="1" applyAlignment="1">
      <alignment horizontal="right"/>
    </xf>
    <xf numFmtId="165" fontId="51" fillId="0" borderId="24" xfId="0" applyNumberFormat="1" applyFont="1" applyBorder="1" applyAlignment="1">
      <alignment horizontal="right"/>
    </xf>
    <xf numFmtId="41" fontId="51" fillId="0" borderId="25" xfId="0" applyNumberFormat="1" applyFont="1" applyBorder="1" applyAlignment="1">
      <alignment horizontal="right"/>
    </xf>
    <xf numFmtId="3" fontId="5" fillId="0" borderId="51" xfId="0" applyNumberFormat="1" applyFont="1" applyBorder="1"/>
    <xf numFmtId="165" fontId="5" fillId="0" borderId="124" xfId="0" applyNumberFormat="1" applyFont="1" applyFill="1" applyBorder="1" applyAlignment="1">
      <alignment horizontal="right"/>
    </xf>
    <xf numFmtId="3" fontId="5" fillId="0" borderId="125" xfId="0" applyNumberFormat="1" applyFont="1" applyFill="1" applyBorder="1" applyAlignment="1">
      <alignment horizontal="right"/>
    </xf>
    <xf numFmtId="165" fontId="5" fillId="0" borderId="92" xfId="0" applyNumberFormat="1" applyFont="1" applyFill="1" applyBorder="1" applyAlignment="1">
      <alignment horizontal="right"/>
    </xf>
    <xf numFmtId="41" fontId="3" fillId="0" borderId="88" xfId="0" applyNumberFormat="1" applyFont="1" applyBorder="1" applyAlignment="1">
      <alignment horizontal="right" wrapText="1"/>
    </xf>
    <xf numFmtId="165" fontId="11" fillId="0" borderId="36" xfId="0" applyNumberFormat="1" applyFont="1" applyBorder="1" applyAlignment="1">
      <alignment horizontal="right" wrapText="1"/>
    </xf>
    <xf numFmtId="41" fontId="11" fillId="0" borderId="37" xfId="0" applyNumberFormat="1" applyFont="1" applyBorder="1" applyAlignment="1">
      <alignment horizontal="right" wrapText="1"/>
    </xf>
    <xf numFmtId="41" fontId="11" fillId="0" borderId="88" xfId="0" applyNumberFormat="1" applyFont="1" applyBorder="1" applyAlignment="1">
      <alignment horizontal="right" wrapText="1"/>
    </xf>
    <xf numFmtId="41" fontId="11" fillId="0" borderId="38" xfId="0" applyNumberFormat="1" applyFont="1" applyBorder="1" applyAlignment="1">
      <alignment horizontal="right" wrapText="1"/>
    </xf>
    <xf numFmtId="41" fontId="7" fillId="0" borderId="36" xfId="3" applyNumberFormat="1" applyFont="1" applyFill="1" applyBorder="1" applyAlignment="1">
      <alignment horizontal="right" wrapText="1"/>
    </xf>
    <xf numFmtId="41" fontId="7" fillId="0" borderId="88" xfId="3" applyNumberFormat="1" applyFont="1" applyFill="1" applyBorder="1" applyAlignment="1">
      <alignment horizontal="right" wrapText="1"/>
    </xf>
    <xf numFmtId="41" fontId="7" fillId="0" borderId="73" xfId="3" applyNumberFormat="1" applyFont="1" applyFill="1" applyBorder="1" applyAlignment="1">
      <alignment horizontal="right" wrapText="1"/>
    </xf>
    <xf numFmtId="41" fontId="7" fillId="0" borderId="38" xfId="3" applyNumberFormat="1" applyFont="1" applyFill="1" applyBorder="1" applyAlignment="1">
      <alignment horizontal="right" wrapText="1"/>
    </xf>
    <xf numFmtId="165" fontId="7" fillId="0" borderId="36" xfId="3" applyNumberFormat="1" applyFont="1" applyFill="1" applyBorder="1" applyAlignment="1">
      <alignment horizontal="right" wrapText="1"/>
    </xf>
    <xf numFmtId="41" fontId="7" fillId="0" borderId="37" xfId="3" applyNumberFormat="1" applyFont="1" applyFill="1" applyBorder="1" applyAlignment="1">
      <alignment horizontal="right" wrapText="1"/>
    </xf>
    <xf numFmtId="41" fontId="3" fillId="0" borderId="36" xfId="3" applyNumberFormat="1" applyFont="1" applyFill="1" applyBorder="1" applyAlignment="1">
      <alignment horizontal="right" wrapText="1"/>
    </xf>
    <xf numFmtId="165" fontId="8" fillId="0" borderId="60" xfId="3" applyNumberFormat="1" applyFont="1" applyFill="1" applyBorder="1" applyAlignment="1">
      <alignment horizontal="right" wrapText="1"/>
    </xf>
    <xf numFmtId="41" fontId="7" fillId="0" borderId="36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166" fontId="46" fillId="0" borderId="0" xfId="3" applyNumberFormat="1" applyFont="1" applyAlignment="1">
      <alignment horizontal="right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19" applyFont="1" applyAlignment="1">
      <alignment horizontal="center" wrapText="1"/>
    </xf>
    <xf numFmtId="0" fontId="0" fillId="0" borderId="0" xfId="0" applyAlignment="1">
      <alignment horizontal="center" wrapText="1"/>
    </xf>
    <xf numFmtId="166" fontId="3" fillId="0" borderId="0" xfId="1" applyNumberFormat="1" applyFont="1" applyAlignment="1">
      <alignment horizontal="right" wrapText="1"/>
    </xf>
    <xf numFmtId="0" fontId="63" fillId="0" borderId="0" xfId="0" applyFont="1" applyAlignment="1">
      <alignment wrapText="1"/>
    </xf>
    <xf numFmtId="0" fontId="62" fillId="0" borderId="0" xfId="0" applyFont="1" applyAlignment="1">
      <alignment horizontal="right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7" borderId="0" xfId="0" applyFont="1" applyFill="1" applyAlignment="1">
      <alignment horizontal="right"/>
    </xf>
    <xf numFmtId="0" fontId="70" fillId="0" borderId="4" xfId="15" applyFont="1" applyBorder="1" applyAlignment="1">
      <alignment horizontal="center" wrapText="1"/>
    </xf>
    <xf numFmtId="3" fontId="70" fillId="0" borderId="2" xfId="15" applyNumberFormat="1" applyFont="1" applyBorder="1" applyAlignment="1">
      <alignment wrapText="1"/>
    </xf>
    <xf numFmtId="3" fontId="70" fillId="0" borderId="34" xfId="15" applyNumberFormat="1" applyFont="1" applyBorder="1" applyAlignment="1">
      <alignment wrapText="1"/>
    </xf>
    <xf numFmtId="3" fontId="70" fillId="0" borderId="1" xfId="15" applyNumberFormat="1" applyFont="1" applyBorder="1" applyAlignment="1">
      <alignment wrapText="1"/>
    </xf>
    <xf numFmtId="0" fontId="69" fillId="0" borderId="72" xfId="15" applyFont="1" applyBorder="1" applyAlignment="1">
      <alignment horizontal="center" wrapText="1"/>
    </xf>
    <xf numFmtId="0" fontId="68" fillId="0" borderId="0" xfId="15" applyFont="1" applyBorder="1" applyAlignment="1">
      <alignment horizontal="center" wrapText="1"/>
    </xf>
    <xf numFmtId="3" fontId="68" fillId="0" borderId="0" xfId="15" applyNumberFormat="1" applyFont="1" applyBorder="1" applyAlignment="1">
      <alignment wrapText="1"/>
    </xf>
    <xf numFmtId="0" fontId="3" fillId="0" borderId="9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166" fontId="5" fillId="0" borderId="47" xfId="1" applyNumberFormat="1" applyFont="1" applyBorder="1" applyAlignment="1">
      <alignment horizontal="center" vertical="center" wrapText="1"/>
    </xf>
    <xf numFmtId="166" fontId="5" fillId="0" borderId="19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5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6" fontId="5" fillId="0" borderId="48" xfId="1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6" fontId="5" fillId="0" borderId="46" xfId="1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166" fontId="5" fillId="0" borderId="30" xfId="1" applyNumberFormat="1" applyFont="1" applyBorder="1" applyAlignment="1">
      <alignment horizontal="center" vertical="center" wrapText="1"/>
    </xf>
    <xf numFmtId="0" fontId="68" fillId="0" borderId="47" xfId="16" applyFont="1" applyBorder="1" applyAlignment="1">
      <alignment horizontal="center" vertical="center" wrapText="1"/>
    </xf>
    <xf numFmtId="0" fontId="68" fillId="0" borderId="30" xfId="16" applyFont="1" applyBorder="1" applyAlignment="1">
      <alignment horizontal="center" vertical="center" wrapText="1"/>
    </xf>
    <xf numFmtId="0" fontId="69" fillId="7" borderId="71" xfId="18" applyFont="1" applyFill="1" applyBorder="1" applyAlignment="1">
      <alignment horizontal="center" vertical="center" wrapText="1"/>
    </xf>
    <xf numFmtId="0" fontId="69" fillId="7" borderId="28" xfId="18" applyFont="1" applyFill="1" applyBorder="1" applyAlignment="1">
      <alignment horizontal="center" vertical="center" wrapText="1"/>
    </xf>
    <xf numFmtId="0" fontId="77" fillId="0" borderId="0" xfId="17" applyFont="1" applyAlignment="1">
      <alignment horizontal="center" vertical="center" wrapText="1"/>
    </xf>
    <xf numFmtId="0" fontId="76" fillId="0" borderId="0" xfId="17" applyFont="1" applyAlignment="1">
      <alignment horizontal="center" vertical="center" wrapText="1"/>
    </xf>
    <xf numFmtId="0" fontId="68" fillId="0" borderId="50" xfId="16" applyFont="1" applyBorder="1" applyAlignment="1">
      <alignment horizontal="center" vertical="center" wrapText="1"/>
    </xf>
    <xf numFmtId="0" fontId="68" fillId="0" borderId="32" xfId="16" applyFont="1" applyBorder="1" applyAlignment="1">
      <alignment horizontal="center" vertical="center" wrapText="1"/>
    </xf>
    <xf numFmtId="0" fontId="68" fillId="0" borderId="42" xfId="16" applyFont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5" fillId="0" borderId="5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66" fontId="46" fillId="0" borderId="0" xfId="3" applyNumberFormat="1" applyFont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6" fontId="3" fillId="0" borderId="36" xfId="3" applyNumberFormat="1" applyFont="1" applyBorder="1" applyAlignment="1">
      <alignment horizontal="center" vertical="center" wrapText="1"/>
    </xf>
    <xf numFmtId="166" fontId="3" fillId="0" borderId="2" xfId="3" applyNumberFormat="1" applyFont="1" applyBorder="1" applyAlignment="1">
      <alignment horizontal="center" vertical="center" wrapText="1"/>
    </xf>
    <xf numFmtId="166" fontId="3" fillId="0" borderId="36" xfId="3" applyNumberFormat="1" applyFont="1" applyFill="1" applyBorder="1" applyAlignment="1">
      <alignment horizontal="center" vertical="center" wrapText="1"/>
    </xf>
    <xf numFmtId="166" fontId="3" fillId="0" borderId="2" xfId="3" applyNumberFormat="1" applyFont="1" applyFill="1" applyBorder="1" applyAlignment="1">
      <alignment horizontal="center" vertical="center" wrapText="1"/>
    </xf>
    <xf numFmtId="165" fontId="11" fillId="0" borderId="0" xfId="3" applyNumberFormat="1" applyFont="1" applyBorder="1" applyAlignment="1">
      <alignment horizontal="center" vertical="center" wrapText="1"/>
    </xf>
    <xf numFmtId="165" fontId="79" fillId="0" borderId="0" xfId="0" applyNumberFormat="1" applyFont="1" applyBorder="1" applyAlignment="1">
      <alignment horizontal="center" vertical="center" wrapText="1"/>
    </xf>
    <xf numFmtId="165" fontId="3" fillId="0" borderId="60" xfId="3" applyNumberFormat="1" applyFont="1" applyBorder="1" applyAlignment="1">
      <alignment horizontal="center" vertical="center" wrapText="1"/>
    </xf>
    <xf numFmtId="165" fontId="24" fillId="0" borderId="62" xfId="0" applyNumberFormat="1" applyFont="1" applyBorder="1" applyAlignment="1">
      <alignment horizontal="center" vertical="center" wrapText="1"/>
    </xf>
    <xf numFmtId="166" fontId="3" fillId="0" borderId="37" xfId="3" applyNumberFormat="1" applyFont="1" applyBorder="1" applyAlignment="1">
      <alignment horizontal="center" vertical="center" wrapText="1"/>
    </xf>
    <xf numFmtId="166" fontId="3" fillId="0" borderId="3" xfId="3" applyNumberFormat="1" applyFont="1" applyBorder="1" applyAlignment="1">
      <alignment horizontal="center" vertical="center" wrapText="1"/>
    </xf>
    <xf numFmtId="165" fontId="3" fillId="0" borderId="60" xfId="3" applyNumberFormat="1" applyFont="1" applyFill="1" applyBorder="1" applyAlignment="1">
      <alignment horizontal="center" vertical="center" wrapText="1"/>
    </xf>
    <xf numFmtId="165" fontId="24" fillId="0" borderId="6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6" fontId="11" fillId="0" borderId="0" xfId="3" applyNumberFormat="1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3" fillId="0" borderId="11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101" xfId="0" applyFont="1" applyFill="1" applyBorder="1" applyAlignment="1">
      <alignment horizontal="center" vertical="center" wrapText="1"/>
    </xf>
    <xf numFmtId="0" fontId="5" fillId="0" borderId="100" xfId="0" applyFont="1" applyFill="1" applyBorder="1" applyAlignment="1">
      <alignment horizontal="center" vertical="center" wrapText="1"/>
    </xf>
    <xf numFmtId="0" fontId="5" fillId="0" borderId="99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top" wrapText="1"/>
    </xf>
    <xf numFmtId="165" fontId="11" fillId="0" borderId="60" xfId="3" applyNumberFormat="1" applyFont="1" applyBorder="1" applyAlignment="1">
      <alignment horizontal="center" vertical="center" wrapText="1"/>
    </xf>
    <xf numFmtId="165" fontId="79" fillId="0" borderId="62" xfId="0" applyNumberFormat="1" applyFont="1" applyBorder="1" applyAlignment="1">
      <alignment horizontal="center" vertical="center" wrapText="1"/>
    </xf>
    <xf numFmtId="166" fontId="3" fillId="0" borderId="37" xfId="3" applyNumberFormat="1" applyFont="1" applyFill="1" applyBorder="1" applyAlignment="1">
      <alignment horizontal="center" vertical="center" wrapText="1"/>
    </xf>
    <xf numFmtId="166" fontId="3" fillId="0" borderId="3" xfId="3" applyNumberFormat="1" applyFont="1" applyFill="1" applyBorder="1" applyAlignment="1">
      <alignment horizontal="center" vertical="center" wrapText="1"/>
    </xf>
    <xf numFmtId="0" fontId="5" fillId="7" borderId="101" xfId="0" applyFont="1" applyFill="1" applyBorder="1" applyAlignment="1">
      <alignment horizontal="center" vertical="center" wrapText="1"/>
    </xf>
    <xf numFmtId="0" fontId="5" fillId="7" borderId="100" xfId="0" applyFont="1" applyFill="1" applyBorder="1" applyAlignment="1">
      <alignment horizontal="center" vertical="center" wrapText="1"/>
    </xf>
    <xf numFmtId="0" fontId="5" fillId="7" borderId="99" xfId="0" applyFont="1" applyFill="1" applyBorder="1" applyAlignment="1">
      <alignment horizontal="center" vertical="center" wrapText="1"/>
    </xf>
    <xf numFmtId="0" fontId="5" fillId="7" borderId="98" xfId="0" applyFont="1" applyFill="1" applyBorder="1" applyAlignment="1">
      <alignment horizontal="center" vertical="center" wrapText="1"/>
    </xf>
    <xf numFmtId="165" fontId="11" fillId="7" borderId="60" xfId="3" applyNumberFormat="1" applyFont="1" applyFill="1" applyBorder="1" applyAlignment="1">
      <alignment horizontal="center" vertical="center" wrapText="1"/>
    </xf>
    <xf numFmtId="165" fontId="79" fillId="7" borderId="62" xfId="0" applyNumberFormat="1" applyFont="1" applyFill="1" applyBorder="1" applyAlignment="1">
      <alignment horizontal="center" vertical="center" wrapText="1"/>
    </xf>
    <xf numFmtId="0" fontId="3" fillId="7" borderId="115" xfId="0" applyFont="1" applyFill="1" applyBorder="1" applyAlignment="1">
      <alignment horizontal="right" wrapText="1"/>
    </xf>
    <xf numFmtId="0" fontId="3" fillId="7" borderId="0" xfId="0" applyFont="1" applyFill="1" applyAlignment="1">
      <alignment horizontal="right"/>
    </xf>
    <xf numFmtId="0" fontId="5" fillId="0" borderId="0" xfId="0" applyFont="1" applyBorder="1" applyAlignment="1">
      <alignment vertical="top" wrapText="1"/>
    </xf>
    <xf numFmtId="0" fontId="80" fillId="0" borderId="0" xfId="0" applyFont="1" applyBorder="1" applyAlignment="1">
      <alignment vertical="top" wrapText="1"/>
    </xf>
    <xf numFmtId="0" fontId="5" fillId="0" borderId="108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3" fillId="7" borderId="115" xfId="0" applyFont="1" applyFill="1" applyBorder="1" applyAlignment="1">
      <alignment horizontal="right"/>
    </xf>
    <xf numFmtId="0" fontId="5" fillId="0" borderId="51" xfId="0" applyFont="1" applyBorder="1" applyAlignment="1">
      <alignment vertical="top" wrapText="1"/>
    </xf>
    <xf numFmtId="0" fontId="49" fillId="0" borderId="51" xfId="0" applyFont="1" applyBorder="1" applyAlignment="1">
      <alignment vertical="top" wrapText="1"/>
    </xf>
    <xf numFmtId="0" fontId="3" fillId="0" borderId="115" xfId="0" applyFont="1" applyBorder="1" applyAlignment="1">
      <alignment horizontal="center"/>
    </xf>
    <xf numFmtId="0" fontId="5" fillId="0" borderId="0" xfId="19" applyFont="1" applyAlignment="1">
      <alignment horizontal="center" vertical="center" wrapText="1"/>
    </xf>
    <xf numFmtId="0" fontId="5" fillId="0" borderId="9" xfId="20" applyFont="1" applyBorder="1" applyAlignment="1">
      <alignment horizontal="center" vertical="center"/>
    </xf>
    <xf numFmtId="0" fontId="24" fillId="0" borderId="82" xfId="20" applyFont="1" applyBorder="1" applyAlignment="1">
      <alignment horizontal="center" vertical="center"/>
    </xf>
    <xf numFmtId="0" fontId="5" fillId="0" borderId="54" xfId="20" applyFont="1" applyBorder="1" applyAlignment="1">
      <alignment horizontal="center" vertical="center"/>
    </xf>
    <xf numFmtId="0" fontId="5" fillId="0" borderId="5" xfId="20" applyFont="1" applyBorder="1" applyAlignment="1">
      <alignment horizontal="center" vertical="center"/>
    </xf>
    <xf numFmtId="0" fontId="5" fillId="0" borderId="126" xfId="20" applyFont="1" applyBorder="1" applyAlignment="1">
      <alignment horizontal="center" vertical="center"/>
    </xf>
    <xf numFmtId="166" fontId="3" fillId="0" borderId="0" xfId="1" applyNumberFormat="1" applyFont="1" applyAlignment="1">
      <alignment horizontal="right" wrapText="1"/>
    </xf>
    <xf numFmtId="0" fontId="65" fillId="0" borderId="18" xfId="0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63" fillId="0" borderId="0" xfId="0" applyFont="1" applyAlignment="1">
      <alignment wrapText="1"/>
    </xf>
    <xf numFmtId="0" fontId="62" fillId="0" borderId="0" xfId="0" applyFont="1" applyAlignment="1">
      <alignment horizontal="right"/>
    </xf>
    <xf numFmtId="166" fontId="46" fillId="0" borderId="0" xfId="1" applyNumberFormat="1" applyFont="1" applyAlignment="1">
      <alignment horizontal="right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5" fillId="0" borderId="0" xfId="12" applyFont="1" applyBorder="1" applyAlignment="1">
      <alignment horizontal="center" wrapText="1"/>
    </xf>
    <xf numFmtId="0" fontId="25" fillId="0" borderId="0" xfId="12" applyFont="1" applyBorder="1" applyAlignment="1">
      <alignment horizontal="center" vertical="center" wrapText="1"/>
    </xf>
    <xf numFmtId="0" fontId="27" fillId="0" borderId="21" xfId="12" applyFont="1" applyBorder="1" applyAlignment="1">
      <alignment horizontal="left" vertical="center"/>
    </xf>
    <xf numFmtId="0" fontId="27" fillId="0" borderId="32" xfId="12" applyFont="1" applyBorder="1" applyAlignment="1">
      <alignment horizontal="left" vertical="center"/>
    </xf>
    <xf numFmtId="166" fontId="25" fillId="0" borderId="35" xfId="14" applyNumberFormat="1" applyFont="1" applyBorder="1" applyAlignment="1">
      <alignment horizontal="center" vertical="center"/>
    </xf>
    <xf numFmtId="166" fontId="25" fillId="0" borderId="1" xfId="14" applyNumberFormat="1" applyFont="1" applyBorder="1" applyAlignment="1">
      <alignment horizontal="center" vertical="center"/>
    </xf>
    <xf numFmtId="166" fontId="25" fillId="0" borderId="36" xfId="14" applyNumberFormat="1" applyFont="1" applyBorder="1" applyAlignment="1">
      <alignment horizontal="center" vertical="center"/>
    </xf>
    <xf numFmtId="166" fontId="25" fillId="0" borderId="2" xfId="14" applyNumberFormat="1" applyFont="1" applyBorder="1" applyAlignment="1">
      <alignment horizontal="center" vertical="center"/>
    </xf>
    <xf numFmtId="0" fontId="47" fillId="0" borderId="0" xfId="10" applyFont="1" applyBorder="1" applyAlignment="1">
      <alignment horizontal="center"/>
    </xf>
    <xf numFmtId="0" fontId="8" fillId="0" borderId="0" xfId="10" applyFont="1" applyBorder="1" applyAlignment="1">
      <alignment horizontal="center" vertical="center" wrapText="1"/>
    </xf>
    <xf numFmtId="0" fontId="46" fillId="0" borderId="0" xfId="10" applyFont="1" applyBorder="1" applyAlignment="1">
      <alignment horizontal="right"/>
    </xf>
    <xf numFmtId="0" fontId="19" fillId="0" borderId="69" xfId="10" applyFont="1" applyBorder="1" applyAlignment="1">
      <alignment horizontal="center" vertical="center"/>
    </xf>
    <xf numFmtId="0" fontId="19" fillId="0" borderId="68" xfId="10" applyFont="1" applyBorder="1" applyAlignment="1">
      <alignment horizontal="center" vertical="center"/>
    </xf>
    <xf numFmtId="0" fontId="19" fillId="0" borderId="68" xfId="10" applyFont="1" applyBorder="1" applyAlignment="1">
      <alignment horizontal="center" vertical="center" wrapText="1"/>
    </xf>
    <xf numFmtId="0" fontId="19" fillId="0" borderId="67" xfId="10" applyFont="1" applyBorder="1" applyAlignment="1">
      <alignment horizontal="center" vertical="center" wrapText="1"/>
    </xf>
    <xf numFmtId="0" fontId="20" fillId="0" borderId="59" xfId="10" applyFont="1" applyBorder="1" applyAlignment="1">
      <alignment horizontal="center" vertical="center"/>
    </xf>
    <xf numFmtId="0" fontId="20" fillId="0" borderId="66" xfId="10" applyFont="1" applyBorder="1" applyAlignment="1">
      <alignment horizontal="center" vertical="center" wrapText="1"/>
    </xf>
    <xf numFmtId="0" fontId="20" fillId="0" borderId="63" xfId="10" applyFont="1" applyBorder="1" applyAlignment="1">
      <alignment horizontal="center" vertical="center"/>
    </xf>
    <xf numFmtId="0" fontId="20" fillId="0" borderId="65" xfId="10" applyFont="1" applyBorder="1" applyAlignment="1">
      <alignment horizontal="left"/>
    </xf>
    <xf numFmtId="0" fontId="20" fillId="0" borderId="2" xfId="10" applyFont="1" applyBorder="1" applyAlignment="1">
      <alignment horizontal="left"/>
    </xf>
    <xf numFmtId="0" fontId="20" fillId="0" borderId="58" xfId="10" applyFont="1" applyBorder="1" applyAlignment="1">
      <alignment horizontal="center" vertical="center"/>
    </xf>
    <xf numFmtId="0" fontId="11" fillId="0" borderId="36" xfId="10" applyFont="1" applyBorder="1" applyAlignment="1">
      <alignment horizontal="left"/>
    </xf>
    <xf numFmtId="0" fontId="20" fillId="0" borderId="36" xfId="10" applyFont="1" applyBorder="1" applyAlignment="1">
      <alignment horizontal="left"/>
    </xf>
    <xf numFmtId="0" fontId="11" fillId="0" borderId="57" xfId="10" applyFont="1" applyBorder="1" applyAlignment="1">
      <alignment horizontal="left"/>
    </xf>
    <xf numFmtId="0" fontId="20" fillId="0" borderId="24" xfId="10" applyFont="1" applyBorder="1" applyAlignment="1">
      <alignment horizontal="left"/>
    </xf>
    <xf numFmtId="0" fontId="20" fillId="0" borderId="57" xfId="10" applyFont="1" applyBorder="1" applyAlignment="1">
      <alignment horizontal="left"/>
    </xf>
    <xf numFmtId="0" fontId="29" fillId="0" borderId="59" xfId="10" applyFont="1" applyBorder="1" applyAlignment="1">
      <alignment horizontal="center" vertical="center" wrapText="1"/>
    </xf>
    <xf numFmtId="0" fontId="19" fillId="0" borderId="63" xfId="10" applyFont="1" applyBorder="1" applyAlignment="1">
      <alignment horizontal="center" vertical="center"/>
    </xf>
    <xf numFmtId="0" fontId="19" fillId="0" borderId="58" xfId="10" applyFont="1" applyBorder="1" applyAlignment="1">
      <alignment horizontal="center" vertical="center"/>
    </xf>
    <xf numFmtId="0" fontId="29" fillId="10" borderId="0" xfId="5" applyFont="1" applyFill="1" applyAlignment="1">
      <alignment horizontal="center"/>
    </xf>
    <xf numFmtId="0" fontId="29" fillId="0" borderId="0" xfId="4" applyFont="1" applyAlignment="1">
      <alignment horizontal="right" indent="2"/>
    </xf>
    <xf numFmtId="0" fontId="20" fillId="0" borderId="0" xfId="4" applyFont="1" applyBorder="1" applyAlignment="1">
      <alignment horizontal="right" indent="2"/>
    </xf>
    <xf numFmtId="0" fontId="20" fillId="0" borderId="51" xfId="4" applyFont="1" applyBorder="1" applyAlignment="1">
      <alignment horizontal="right" indent="2"/>
    </xf>
    <xf numFmtId="0" fontId="30" fillId="0" borderId="5" xfId="4" applyFont="1" applyBorder="1" applyAlignment="1">
      <alignment horizontal="center" vertical="center" wrapText="1"/>
    </xf>
    <xf numFmtId="0" fontId="35" fillId="0" borderId="35" xfId="5" applyFont="1" applyBorder="1" applyAlignment="1">
      <alignment horizontal="center" vertical="center" wrapText="1"/>
    </xf>
    <xf numFmtId="0" fontId="30" fillId="0" borderId="55" xfId="4" applyFont="1" applyBorder="1" applyAlignment="1">
      <alignment horizontal="center" vertical="center" wrapText="1"/>
    </xf>
    <xf numFmtId="0" fontId="30" fillId="0" borderId="26" xfId="4" applyFont="1" applyBorder="1" applyAlignment="1">
      <alignment horizontal="center" vertical="center" wrapText="1"/>
    </xf>
    <xf numFmtId="49" fontId="29" fillId="0" borderId="6" xfId="6" applyNumberFormat="1" applyFont="1" applyBorder="1" applyAlignment="1">
      <alignment horizontal="center" vertical="center" wrapText="1"/>
    </xf>
    <xf numFmtId="0" fontId="35" fillId="0" borderId="38" xfId="5" applyFont="1" applyBorder="1" applyAlignment="1">
      <alignment horizontal="center" wrapText="1"/>
    </xf>
    <xf numFmtId="0" fontId="29" fillId="0" borderId="54" xfId="5" applyFont="1" applyBorder="1" applyAlignment="1">
      <alignment horizontal="center" vertical="center" wrapText="1"/>
    </xf>
    <xf numFmtId="0" fontId="29" fillId="0" borderId="53" xfId="5" applyFont="1" applyBorder="1" applyAlignment="1">
      <alignment horizontal="center" vertical="center" wrapText="1"/>
    </xf>
    <xf numFmtId="0" fontId="30" fillId="0" borderId="33" xfId="4" applyFont="1" applyBorder="1" applyAlignment="1">
      <alignment horizontal="center" vertical="center" wrapText="1"/>
    </xf>
    <xf numFmtId="0" fontId="30" fillId="0" borderId="36" xfId="4" applyFont="1" applyBorder="1" applyAlignment="1">
      <alignment horizontal="center" vertical="center" wrapText="1"/>
    </xf>
    <xf numFmtId="0" fontId="30" fillId="5" borderId="33" xfId="4" applyFont="1" applyFill="1" applyBorder="1" applyAlignment="1">
      <alignment horizontal="center" vertical="center" wrapText="1"/>
    </xf>
    <xf numFmtId="0" fontId="29" fillId="6" borderId="33" xfId="5" applyFont="1" applyFill="1" applyBorder="1" applyAlignment="1">
      <alignment horizontal="center" vertical="center" wrapText="1"/>
    </xf>
    <xf numFmtId="0" fontId="29" fillId="6" borderId="36" xfId="5" applyFont="1" applyFill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29" fillId="0" borderId="37" xfId="5" applyFont="1" applyBorder="1" applyAlignment="1">
      <alignment horizontal="center" vertical="center" wrapText="1"/>
    </xf>
    <xf numFmtId="0" fontId="30" fillId="0" borderId="47" xfId="4" applyFont="1" applyBorder="1" applyAlignment="1">
      <alignment horizontal="center" vertical="center" wrapText="1"/>
    </xf>
    <xf numFmtId="0" fontId="30" fillId="0" borderId="24" xfId="4" applyFont="1" applyBorder="1" applyAlignment="1">
      <alignment horizontal="center" vertical="center" wrapText="1"/>
    </xf>
    <xf numFmtId="0" fontId="30" fillId="0" borderId="6" xfId="4" applyFont="1" applyBorder="1" applyAlignment="1">
      <alignment horizontal="center" vertical="center" wrapText="1"/>
    </xf>
    <xf numFmtId="0" fontId="30" fillId="0" borderId="7" xfId="4" applyFont="1" applyBorder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</cellXfs>
  <cellStyles count="21">
    <cellStyle name="Ezres" xfId="1" builtinId="3"/>
    <cellStyle name="Ezres 2" xfId="3"/>
    <cellStyle name="Ezres 3 2" xfId="14"/>
    <cellStyle name="Ezres 6" xfId="11"/>
    <cellStyle name="Ezres 7" xfId="8"/>
    <cellStyle name="Normál" xfId="0" builtinId="0"/>
    <cellStyle name="Normál 10" xfId="7"/>
    <cellStyle name="Normál 2" xfId="12"/>
    <cellStyle name="Normál 2 2" xfId="15"/>
    <cellStyle name="Normál 8" xfId="5"/>
    <cellStyle name="Normál 9" xfId="9"/>
    <cellStyle name="Normál_2010koltsegvetesjan13" xfId="13"/>
    <cellStyle name="Normál_2012éviköltségvetésjan19este 2" xfId="6"/>
    <cellStyle name="Normál_2b_2014" xfId="19"/>
    <cellStyle name="Normál_3.a.sz.mell.02" xfId="16"/>
    <cellStyle name="Normál_E.i.mód.02.6" xfId="17"/>
    <cellStyle name="Normál_eus tábla" xfId="10"/>
    <cellStyle name="Normál_Kötelző feladatok" xfId="4"/>
    <cellStyle name="Normál_Munka1" xfId="20"/>
    <cellStyle name="Normál_Munkafüzet1" xfId="18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488315</xdr:colOff>
      <xdr:row>1</xdr:row>
      <xdr:rowOff>349250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07515" y="37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zabolcs\AppData\Local\Microsoft\Windows\Temporary%20Internet%20Files\Content.Outlook\PV8Q2ITB\&#225;th&#250;z&#243;d&#243;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gosztott/K&#246;lts&#233;gvet&#233;s%202021/Eredeti%20k&#246;lts&#233;gvet&#233;s/I%20Mod/I%20mod%20hivatkoz&#225;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klosA/M&#225;solat%20eredetije2021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oglaló"/>
      <sheetName val="önk"/>
      <sheetName val="Munka3"/>
      <sheetName val="hiv"/>
      <sheetName val="Munka2"/>
      <sheetName val="önk előleg"/>
      <sheetName val="városüzemáth"/>
      <sheetName val="Munka4"/>
    </sheetNames>
    <sheetDataSet>
      <sheetData sheetId="0"/>
      <sheetData sheetId="1"/>
      <sheetData sheetId="2"/>
      <sheetData sheetId="3"/>
      <sheetData sheetId="4">
        <row r="2">
          <cell r="G2" t="str">
            <v>Polgármester</v>
          </cell>
        </row>
        <row r="3">
          <cell r="B3" t="str">
            <v>aláírt szerződés</v>
          </cell>
          <cell r="G3" t="str">
            <v>Jegyző</v>
          </cell>
        </row>
        <row r="4">
          <cell r="B4" t="str">
            <v>megrendelő</v>
          </cell>
          <cell r="G4" t="str">
            <v>Gazd. Alpolgármester</v>
          </cell>
        </row>
        <row r="5">
          <cell r="B5" t="str">
            <v>testületi v egyéb döntés</v>
          </cell>
          <cell r="G5" t="str">
            <v>Népjóléti Alpolgármester</v>
          </cell>
        </row>
        <row r="6">
          <cell r="G6" t="str">
            <v>Városüzemelt. Alpolgármester</v>
          </cell>
        </row>
        <row r="7">
          <cell r="G7" t="str">
            <v>Káposztásmegyeri Részönk.</v>
          </cell>
        </row>
        <row r="8">
          <cell r="G8" t="str">
            <v>CSERITI</v>
          </cell>
        </row>
        <row r="9">
          <cell r="G9" t="str">
            <v>Főépítész</v>
          </cell>
        </row>
        <row r="10">
          <cell r="G10" t="str">
            <v>Városüzemelt. és Környv.O.</v>
          </cell>
        </row>
        <row r="11">
          <cell r="G11" t="str">
            <v>Informatikai O.</v>
          </cell>
        </row>
        <row r="12">
          <cell r="G12" t="str">
            <v>Közhaszn.Foglalk.O.</v>
          </cell>
        </row>
        <row r="13">
          <cell r="G13" t="str">
            <v>Közterület-felügyelet</v>
          </cell>
        </row>
        <row r="14">
          <cell r="G14" t="str">
            <v>Ifjúsági, Sport, Művelődési és Oktatási Osztály</v>
          </cell>
        </row>
        <row r="15">
          <cell r="G15" t="str">
            <v>Személyügyi O.</v>
          </cell>
        </row>
        <row r="16">
          <cell r="G16" t="str">
            <v>Pénzügyi és Számviteli O.</v>
          </cell>
        </row>
        <row r="17">
          <cell r="G17" t="str">
            <v>Költségvetési O.</v>
          </cell>
        </row>
        <row r="18">
          <cell r="G18" t="str">
            <v>Vagyongazdálkodási O.</v>
          </cell>
        </row>
        <row r="19">
          <cell r="G19" t="str">
            <v>Adóigazgatási O.</v>
          </cell>
        </row>
        <row r="20">
          <cell r="G20" t="str">
            <v>Szociális O.</v>
          </cell>
        </row>
        <row r="21">
          <cell r="G21" t="str">
            <v>Lakásügyi O.</v>
          </cell>
        </row>
        <row r="22">
          <cell r="G22" t="str">
            <v>Építésigazgatási O.</v>
          </cell>
        </row>
        <row r="23">
          <cell r="G23" t="str">
            <v>Anyakönyvi O.</v>
          </cell>
        </row>
        <row r="24">
          <cell r="G24" t="str">
            <v>Általános Igazgatási O.</v>
          </cell>
        </row>
        <row r="25">
          <cell r="G25" t="str">
            <v>Gondnokság</v>
          </cell>
        </row>
        <row r="26">
          <cell r="G26" t="str">
            <v>Ügyviteli O.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2.Igazgatási osztály"/>
      <sheetName val="1003.Informatika"/>
      <sheetName val="1004.Gondnokság"/>
      <sheetName val="1005. ISMO"/>
      <sheetName val="1006.Személyügy"/>
      <sheetName val="1007.Szociális Főo."/>
      <sheetName val="1008.Ügyviteli O."/>
      <sheetName val="1009 Pénzügy"/>
      <sheetName val="1010.Építésigazg.O."/>
      <sheetName val="1011.Városüzemelt.O"/>
      <sheetName val="1012.Adóosztály"/>
      <sheetName val="1013.Közhasznú Fogl."/>
      <sheetName val="1014.Polgármester"/>
      <sheetName val="1015.Jegyzői Titk."/>
      <sheetName val="1016 Gazdaságért felelős Kabine"/>
      <sheetName val="1017 Népjóléti Kabinet"/>
      <sheetName val="1018.Főépítész"/>
      <sheetName val="1019.Lakásügyi O."/>
      <sheetName val="1020.Rendészet"/>
      <sheetName val="1021.Anyakönyv"/>
      <sheetName val="1022.Költségv.O."/>
      <sheetName val="1023.Vagyongazd.O."/>
      <sheetName val="1024.CSERITI"/>
      <sheetName val="1025.TRÖK"/>
      <sheetName val="1026 Közbiztonságért felelős Ka"/>
      <sheetName val="1027 Kulturáért felelős Kabinet"/>
      <sheetName val="1029 Pályázatok"/>
      <sheetName val="1030 Gazdasági szervezetek"/>
      <sheetName val="Segédtábla -áthúzodó"/>
      <sheetName val="ÖK.ÖSSZESÍTŐ"/>
      <sheetName val="Segédtábla 2.sz.melléklethez"/>
      <sheetName val="Segédtábla - áthúzódó beruházás"/>
      <sheetName val="Segédtábla - áthúzodó felújítás"/>
      <sheetName val="MELLÉKL.JEGYZÉKE"/>
      <sheetName val="7.a sz.mell. Önkor.Korm.funkc."/>
      <sheetName val="7.b.sz.mell. PH.Korm.funkc."/>
      <sheetName val="7.c.sz.mell. GI.Korm.funkc"/>
      <sheetName val="Kiadások"/>
      <sheetName val="Munka1"/>
      <sheetName val="Munka2"/>
    </sheetNames>
    <sheetDataSet>
      <sheetData sheetId="0">
        <row r="6">
          <cell r="S6">
            <v>100</v>
          </cell>
        </row>
        <row r="11">
          <cell r="S11">
            <v>593</v>
          </cell>
        </row>
        <row r="14">
          <cell r="S14">
            <v>0</v>
          </cell>
        </row>
        <row r="17">
          <cell r="S17">
            <v>50</v>
          </cell>
        </row>
        <row r="19">
          <cell r="S19">
            <v>571</v>
          </cell>
        </row>
        <row r="20">
          <cell r="S20">
            <v>508</v>
          </cell>
        </row>
        <row r="21">
          <cell r="O21">
            <v>0</v>
          </cell>
        </row>
      </sheetData>
      <sheetData sheetId="1">
        <row r="5">
          <cell r="S5">
            <v>80</v>
          </cell>
        </row>
        <row r="51">
          <cell r="O51">
            <v>37998</v>
          </cell>
          <cell r="S51">
            <v>82444</v>
          </cell>
        </row>
        <row r="53">
          <cell r="O53">
            <v>5000</v>
          </cell>
        </row>
        <row r="54">
          <cell r="O54">
            <v>5000</v>
          </cell>
        </row>
        <row r="61">
          <cell r="S61">
            <v>8001</v>
          </cell>
        </row>
        <row r="69">
          <cell r="S69">
            <v>8890</v>
          </cell>
        </row>
        <row r="73">
          <cell r="S73">
            <v>5334</v>
          </cell>
        </row>
        <row r="80">
          <cell r="S80">
            <v>4797</v>
          </cell>
        </row>
        <row r="84">
          <cell r="S84">
            <v>3175</v>
          </cell>
        </row>
        <row r="87">
          <cell r="S87">
            <v>5638</v>
          </cell>
        </row>
        <row r="91">
          <cell r="S91">
            <v>35835</v>
          </cell>
        </row>
      </sheetData>
      <sheetData sheetId="2">
        <row r="7">
          <cell r="V7">
            <v>1080</v>
          </cell>
        </row>
        <row r="23">
          <cell r="V23">
            <v>58075.102362204721</v>
          </cell>
        </row>
        <row r="25">
          <cell r="V25">
            <v>2000</v>
          </cell>
        </row>
        <row r="26">
          <cell r="R26">
            <v>1979</v>
          </cell>
          <cell r="V26">
            <v>0</v>
          </cell>
        </row>
        <row r="27">
          <cell r="R27">
            <v>1979</v>
          </cell>
          <cell r="V27">
            <v>2000</v>
          </cell>
        </row>
        <row r="30">
          <cell r="T30">
            <v>22401</v>
          </cell>
          <cell r="U30">
            <v>6049</v>
          </cell>
        </row>
      </sheetData>
      <sheetData sheetId="3">
        <row r="6">
          <cell r="S6">
            <v>80</v>
          </cell>
        </row>
        <row r="21">
          <cell r="O21">
            <v>4000</v>
          </cell>
        </row>
        <row r="23">
          <cell r="O23">
            <v>17333</v>
          </cell>
        </row>
        <row r="25">
          <cell r="O25">
            <v>4000</v>
          </cell>
        </row>
        <row r="29">
          <cell r="O29">
            <v>25218</v>
          </cell>
        </row>
        <row r="34">
          <cell r="O34">
            <v>12000</v>
          </cell>
        </row>
        <row r="36">
          <cell r="O36">
            <v>28000</v>
          </cell>
        </row>
        <row r="37">
          <cell r="O37">
            <v>2000</v>
          </cell>
        </row>
        <row r="38">
          <cell r="O38">
            <v>36000</v>
          </cell>
        </row>
        <row r="39">
          <cell r="O39">
            <v>66000</v>
          </cell>
        </row>
        <row r="40">
          <cell r="O40">
            <v>6000</v>
          </cell>
        </row>
        <row r="41">
          <cell r="O41">
            <v>500</v>
          </cell>
        </row>
        <row r="42">
          <cell r="O42">
            <v>3000</v>
          </cell>
        </row>
        <row r="43">
          <cell r="O43">
            <v>0</v>
          </cell>
        </row>
        <row r="44">
          <cell r="O44">
            <v>6000</v>
          </cell>
        </row>
        <row r="45">
          <cell r="O45">
            <v>5000</v>
          </cell>
        </row>
        <row r="46">
          <cell r="O46">
            <v>0</v>
          </cell>
        </row>
        <row r="47">
          <cell r="O47">
            <v>1000</v>
          </cell>
        </row>
        <row r="48">
          <cell r="O48">
            <v>0</v>
          </cell>
        </row>
        <row r="49">
          <cell r="O49">
            <v>1500</v>
          </cell>
        </row>
        <row r="50">
          <cell r="O50">
            <v>0</v>
          </cell>
        </row>
        <row r="51">
          <cell r="O51">
            <v>6000</v>
          </cell>
        </row>
        <row r="52">
          <cell r="O52">
            <v>3500</v>
          </cell>
        </row>
        <row r="53">
          <cell r="O53">
            <v>1500</v>
          </cell>
        </row>
        <row r="54">
          <cell r="O54">
            <v>1000</v>
          </cell>
        </row>
        <row r="55">
          <cell r="O55">
            <v>35000</v>
          </cell>
        </row>
        <row r="60">
          <cell r="O60">
            <v>0</v>
          </cell>
        </row>
        <row r="61">
          <cell r="O61">
            <v>4500</v>
          </cell>
        </row>
        <row r="62">
          <cell r="O62">
            <v>1000</v>
          </cell>
        </row>
        <row r="63">
          <cell r="O63">
            <v>5500</v>
          </cell>
        </row>
        <row r="64">
          <cell r="O64">
            <v>500</v>
          </cell>
        </row>
        <row r="65">
          <cell r="O65">
            <v>500</v>
          </cell>
        </row>
        <row r="66">
          <cell r="O66">
            <v>500</v>
          </cell>
        </row>
        <row r="67">
          <cell r="O67">
            <v>1500</v>
          </cell>
        </row>
        <row r="68">
          <cell r="O68">
            <v>1000</v>
          </cell>
        </row>
        <row r="69">
          <cell r="O69">
            <v>4000</v>
          </cell>
        </row>
        <row r="70">
          <cell r="O70">
            <v>15000</v>
          </cell>
        </row>
        <row r="72">
          <cell r="O72">
            <v>1800</v>
          </cell>
        </row>
        <row r="73">
          <cell r="O73">
            <v>1800</v>
          </cell>
        </row>
        <row r="74">
          <cell r="O74">
            <v>1000</v>
          </cell>
        </row>
        <row r="80">
          <cell r="O80">
            <v>500</v>
          </cell>
        </row>
        <row r="81">
          <cell r="O81">
            <v>2985</v>
          </cell>
        </row>
        <row r="82">
          <cell r="O82">
            <v>3485</v>
          </cell>
        </row>
        <row r="83">
          <cell r="O83">
            <v>2000</v>
          </cell>
        </row>
        <row r="87">
          <cell r="O87">
            <v>0</v>
          </cell>
        </row>
        <row r="91">
          <cell r="O91">
            <v>9600</v>
          </cell>
        </row>
      </sheetData>
      <sheetData sheetId="4">
        <row r="27">
          <cell r="O27">
            <v>254651</v>
          </cell>
          <cell r="S27">
            <v>1077421</v>
          </cell>
        </row>
        <row r="34">
          <cell r="S34">
            <v>81613</v>
          </cell>
        </row>
        <row r="39">
          <cell r="S39">
            <v>98554</v>
          </cell>
        </row>
        <row r="44">
          <cell r="O44">
            <v>6533</v>
          </cell>
          <cell r="S44">
            <v>121824</v>
          </cell>
        </row>
        <row r="47">
          <cell r="S47">
            <v>44915</v>
          </cell>
        </row>
        <row r="50">
          <cell r="S50">
            <v>11984</v>
          </cell>
        </row>
        <row r="52">
          <cell r="S52">
            <v>5000</v>
          </cell>
        </row>
        <row r="55">
          <cell r="O55">
            <v>41391</v>
          </cell>
          <cell r="S55">
            <v>198039</v>
          </cell>
        </row>
        <row r="57">
          <cell r="S57">
            <v>20192</v>
          </cell>
        </row>
        <row r="59">
          <cell r="S59">
            <v>18484</v>
          </cell>
        </row>
        <row r="67">
          <cell r="O67">
            <v>8602</v>
          </cell>
          <cell r="S67">
            <v>18268</v>
          </cell>
        </row>
      </sheetData>
      <sheetData sheetId="5">
        <row r="6">
          <cell r="S6">
            <v>80</v>
          </cell>
        </row>
        <row r="10">
          <cell r="O10">
            <v>3606</v>
          </cell>
        </row>
        <row r="16">
          <cell r="O16">
            <v>36000</v>
          </cell>
        </row>
        <row r="20">
          <cell r="O20">
            <v>30000</v>
          </cell>
        </row>
        <row r="27">
          <cell r="O27">
            <v>163000</v>
          </cell>
        </row>
        <row r="29">
          <cell r="O29">
            <v>8000</v>
          </cell>
        </row>
        <row r="30">
          <cell r="O30">
            <v>10000</v>
          </cell>
        </row>
        <row r="31">
          <cell r="O31">
            <v>18000</v>
          </cell>
        </row>
        <row r="34">
          <cell r="M34">
            <v>2000</v>
          </cell>
        </row>
      </sheetData>
      <sheetData sheetId="6">
        <row r="6">
          <cell r="S6">
            <v>80</v>
          </cell>
        </row>
        <row r="11">
          <cell r="S11">
            <v>29350</v>
          </cell>
        </row>
      </sheetData>
      <sheetData sheetId="7">
        <row r="6">
          <cell r="S6">
            <v>100</v>
          </cell>
        </row>
        <row r="17">
          <cell r="O17">
            <v>68261</v>
          </cell>
          <cell r="S17">
            <v>4800</v>
          </cell>
        </row>
        <row r="19">
          <cell r="O19">
            <v>7283</v>
          </cell>
        </row>
        <row r="21">
          <cell r="O21">
            <v>3000</v>
          </cell>
        </row>
        <row r="22">
          <cell r="O22">
            <v>3000</v>
          </cell>
        </row>
        <row r="25">
          <cell r="O25">
            <v>7253523</v>
          </cell>
        </row>
        <row r="26">
          <cell r="O26">
            <v>1000000</v>
          </cell>
        </row>
        <row r="31">
          <cell r="O31">
            <v>30000</v>
          </cell>
        </row>
        <row r="34">
          <cell r="M34">
            <v>0</v>
          </cell>
          <cell r="N34">
            <v>0</v>
          </cell>
        </row>
        <row r="36">
          <cell r="O36">
            <v>283000</v>
          </cell>
        </row>
        <row r="38">
          <cell r="O38">
            <v>12000</v>
          </cell>
        </row>
        <row r="41">
          <cell r="O41">
            <v>3000</v>
          </cell>
        </row>
      </sheetData>
      <sheetData sheetId="8"/>
      <sheetData sheetId="9">
        <row r="5">
          <cell r="S5">
            <v>100</v>
          </cell>
        </row>
        <row r="8">
          <cell r="O8">
            <v>8000</v>
          </cell>
        </row>
        <row r="10">
          <cell r="O10">
            <v>4000</v>
          </cell>
        </row>
        <row r="11">
          <cell r="O11">
            <v>13000</v>
          </cell>
        </row>
        <row r="13">
          <cell r="O13">
            <v>40000</v>
          </cell>
        </row>
        <row r="14">
          <cell r="O14">
            <v>2450</v>
          </cell>
        </row>
        <row r="15">
          <cell r="O15">
            <v>1500</v>
          </cell>
        </row>
        <row r="16">
          <cell r="S16">
            <v>69000</v>
          </cell>
        </row>
        <row r="20">
          <cell r="O20">
            <v>83777</v>
          </cell>
        </row>
        <row r="31">
          <cell r="O31">
            <v>251500</v>
          </cell>
          <cell r="S31">
            <v>3810</v>
          </cell>
        </row>
        <row r="32">
          <cell r="O32">
            <v>7000</v>
          </cell>
        </row>
        <row r="45">
          <cell r="O45">
            <v>389200</v>
          </cell>
        </row>
        <row r="46">
          <cell r="O46">
            <v>8000</v>
          </cell>
        </row>
        <row r="49">
          <cell r="O49">
            <v>3000</v>
          </cell>
        </row>
        <row r="50">
          <cell r="O50">
            <v>100</v>
          </cell>
        </row>
        <row r="54">
          <cell r="O54">
            <v>3000</v>
          </cell>
        </row>
        <row r="56">
          <cell r="O56">
            <v>1800</v>
          </cell>
        </row>
        <row r="57">
          <cell r="O57">
            <v>2000</v>
          </cell>
        </row>
        <row r="58">
          <cell r="O58">
            <v>3800</v>
          </cell>
        </row>
        <row r="62">
          <cell r="O62">
            <v>12000</v>
          </cell>
        </row>
        <row r="63">
          <cell r="O63">
            <v>5000</v>
          </cell>
        </row>
        <row r="64">
          <cell r="O64">
            <v>15000</v>
          </cell>
        </row>
        <row r="65">
          <cell r="O65">
            <v>60000</v>
          </cell>
        </row>
        <row r="66">
          <cell r="O66">
            <v>80000</v>
          </cell>
        </row>
        <row r="67">
          <cell r="O67">
            <v>160000</v>
          </cell>
        </row>
        <row r="69">
          <cell r="O69">
            <v>10000</v>
          </cell>
        </row>
        <row r="70">
          <cell r="O70">
            <v>180000</v>
          </cell>
        </row>
        <row r="71">
          <cell r="O71">
            <v>60000</v>
          </cell>
        </row>
        <row r="72">
          <cell r="O72">
            <v>30000</v>
          </cell>
        </row>
        <row r="73">
          <cell r="O73">
            <v>15000</v>
          </cell>
        </row>
        <row r="74">
          <cell r="O74">
            <v>9000</v>
          </cell>
        </row>
        <row r="75">
          <cell r="O75">
            <v>371000</v>
          </cell>
        </row>
        <row r="109">
          <cell r="O109">
            <v>675000</v>
          </cell>
        </row>
        <row r="111">
          <cell r="O111">
            <v>30000</v>
          </cell>
        </row>
        <row r="112">
          <cell r="O112">
            <v>2000</v>
          </cell>
        </row>
        <row r="114">
          <cell r="O114">
            <v>355600</v>
          </cell>
        </row>
        <row r="115">
          <cell r="O115">
            <v>88900</v>
          </cell>
        </row>
        <row r="116">
          <cell r="O116">
            <v>1000</v>
          </cell>
        </row>
        <row r="117">
          <cell r="O117">
            <v>477500</v>
          </cell>
        </row>
        <row r="118">
          <cell r="O118">
            <v>40000</v>
          </cell>
        </row>
        <row r="119">
          <cell r="O119">
            <v>30000</v>
          </cell>
        </row>
        <row r="121">
          <cell r="O121">
            <v>4000</v>
          </cell>
        </row>
        <row r="122">
          <cell r="O122">
            <v>2000</v>
          </cell>
        </row>
        <row r="123">
          <cell r="O123">
            <v>6000</v>
          </cell>
        </row>
        <row r="124">
          <cell r="O124">
            <v>30000</v>
          </cell>
        </row>
        <row r="125">
          <cell r="O125">
            <v>30000</v>
          </cell>
        </row>
        <row r="126">
          <cell r="O126">
            <v>60000</v>
          </cell>
        </row>
        <row r="127">
          <cell r="O127">
            <v>33000</v>
          </cell>
        </row>
        <row r="129">
          <cell r="O129">
            <v>20000</v>
          </cell>
        </row>
        <row r="132">
          <cell r="O132">
            <v>25000</v>
          </cell>
        </row>
        <row r="133">
          <cell r="O133">
            <v>40000</v>
          </cell>
        </row>
        <row r="134">
          <cell r="O134">
            <v>65000</v>
          </cell>
        </row>
        <row r="140">
          <cell r="O140">
            <v>33930</v>
          </cell>
        </row>
        <row r="142">
          <cell r="O142">
            <v>30000</v>
          </cell>
        </row>
        <row r="146">
          <cell r="O146">
            <v>42172</v>
          </cell>
        </row>
        <row r="147">
          <cell r="O147">
            <v>192901</v>
          </cell>
        </row>
        <row r="153">
          <cell r="S153">
            <v>8000</v>
          </cell>
        </row>
        <row r="158">
          <cell r="M158">
            <v>1575</v>
          </cell>
          <cell r="N158">
            <v>425</v>
          </cell>
        </row>
        <row r="159">
          <cell r="M159">
            <v>2205</v>
          </cell>
          <cell r="N159">
            <v>595</v>
          </cell>
        </row>
      </sheetData>
      <sheetData sheetId="10">
        <row r="6">
          <cell r="S6">
            <v>80</v>
          </cell>
        </row>
        <row r="12">
          <cell r="S12">
            <v>6550</v>
          </cell>
        </row>
        <row r="16">
          <cell r="O16">
            <v>0</v>
          </cell>
        </row>
        <row r="17">
          <cell r="O17">
            <v>2698000</v>
          </cell>
        </row>
        <row r="18">
          <cell r="O18">
            <v>555750</v>
          </cell>
        </row>
        <row r="19">
          <cell r="O19">
            <v>95000</v>
          </cell>
        </row>
        <row r="21">
          <cell r="O21">
            <v>35000</v>
          </cell>
        </row>
        <row r="23">
          <cell r="O23">
            <v>9000</v>
          </cell>
        </row>
        <row r="24">
          <cell r="O24">
            <v>1600</v>
          </cell>
        </row>
        <row r="25">
          <cell r="O25">
            <v>6000</v>
          </cell>
        </row>
        <row r="26">
          <cell r="O26">
            <v>4000</v>
          </cell>
        </row>
      </sheetData>
      <sheetData sheetId="11">
        <row r="8">
          <cell r="S8">
            <v>80</v>
          </cell>
        </row>
        <row r="9">
          <cell r="O9">
            <v>86500</v>
          </cell>
        </row>
        <row r="12">
          <cell r="O12">
            <v>5714</v>
          </cell>
        </row>
        <row r="25">
          <cell r="O25">
            <v>26946</v>
          </cell>
        </row>
        <row r="26">
          <cell r="O26">
            <v>1400</v>
          </cell>
        </row>
        <row r="28">
          <cell r="O28">
            <v>1400</v>
          </cell>
        </row>
        <row r="32">
          <cell r="O32">
            <v>55593</v>
          </cell>
        </row>
      </sheetData>
      <sheetData sheetId="12">
        <row r="16">
          <cell r="S16">
            <v>4000</v>
          </cell>
        </row>
        <row r="28">
          <cell r="O28">
            <v>78397</v>
          </cell>
        </row>
        <row r="30">
          <cell r="O30">
            <v>0</v>
          </cell>
        </row>
        <row r="32">
          <cell r="O32">
            <v>1000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10000</v>
          </cell>
        </row>
        <row r="39">
          <cell r="O39">
            <v>10000</v>
          </cell>
        </row>
        <row r="40">
          <cell r="O40">
            <v>19812</v>
          </cell>
        </row>
        <row r="41">
          <cell r="O41">
            <v>39812</v>
          </cell>
        </row>
        <row r="43">
          <cell r="O43">
            <v>478000</v>
          </cell>
        </row>
        <row r="44">
          <cell r="O44">
            <v>73000</v>
          </cell>
        </row>
      </sheetData>
      <sheetData sheetId="13">
        <row r="6">
          <cell r="S6">
            <v>1473</v>
          </cell>
        </row>
        <row r="10">
          <cell r="S10">
            <v>1020</v>
          </cell>
        </row>
        <row r="21">
          <cell r="O21">
            <v>21676</v>
          </cell>
          <cell r="S21">
            <v>10668</v>
          </cell>
        </row>
        <row r="31">
          <cell r="O31">
            <v>3150</v>
          </cell>
          <cell r="S31">
            <v>6357</v>
          </cell>
        </row>
        <row r="34">
          <cell r="O34">
            <v>10000</v>
          </cell>
        </row>
        <row r="35">
          <cell r="O35">
            <v>10000</v>
          </cell>
        </row>
        <row r="38">
          <cell r="O38">
            <v>11000</v>
          </cell>
        </row>
      </sheetData>
      <sheetData sheetId="14">
        <row r="5">
          <cell r="S5">
            <v>800</v>
          </cell>
        </row>
        <row r="10">
          <cell r="O10">
            <v>30006</v>
          </cell>
        </row>
        <row r="12">
          <cell r="O12">
            <v>16549</v>
          </cell>
        </row>
        <row r="13">
          <cell r="O13">
            <v>0</v>
          </cell>
        </row>
        <row r="14">
          <cell r="O14">
            <v>0</v>
          </cell>
        </row>
        <row r="16">
          <cell r="O16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190000</v>
          </cell>
        </row>
        <row r="23">
          <cell r="O23">
            <v>60000</v>
          </cell>
        </row>
        <row r="24">
          <cell r="O24">
            <v>266549</v>
          </cell>
        </row>
        <row r="31">
          <cell r="O31">
            <v>2856354</v>
          </cell>
        </row>
      </sheetData>
      <sheetData sheetId="15">
        <row r="5">
          <cell r="S5">
            <v>800</v>
          </cell>
        </row>
        <row r="8">
          <cell r="O8">
            <v>36446</v>
          </cell>
        </row>
        <row r="16">
          <cell r="O16">
            <v>27040</v>
          </cell>
        </row>
        <row r="18">
          <cell r="O18">
            <v>15000</v>
          </cell>
        </row>
        <row r="21">
          <cell r="O21">
            <v>1700</v>
          </cell>
        </row>
        <row r="23">
          <cell r="O23">
            <v>0</v>
          </cell>
        </row>
        <row r="25">
          <cell r="O25">
            <v>0</v>
          </cell>
        </row>
        <row r="26">
          <cell r="O26">
            <v>13300</v>
          </cell>
        </row>
        <row r="27">
          <cell r="O27">
            <v>13300</v>
          </cell>
        </row>
        <row r="32">
          <cell r="O32">
            <v>1000</v>
          </cell>
        </row>
        <row r="33">
          <cell r="O33">
            <v>1000</v>
          </cell>
        </row>
        <row r="34">
          <cell r="O34">
            <v>1200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8000</v>
          </cell>
        </row>
        <row r="39">
          <cell r="O39">
            <v>0</v>
          </cell>
        </row>
        <row r="40">
          <cell r="O40">
            <v>2000</v>
          </cell>
        </row>
        <row r="42">
          <cell r="O42">
            <v>1000</v>
          </cell>
        </row>
        <row r="43">
          <cell r="O43">
            <v>600</v>
          </cell>
        </row>
        <row r="47">
          <cell r="O47">
            <v>0</v>
          </cell>
        </row>
        <row r="53">
          <cell r="O53">
            <v>1000</v>
          </cell>
        </row>
      </sheetData>
      <sheetData sheetId="16">
        <row r="6">
          <cell r="S6">
            <v>80</v>
          </cell>
        </row>
        <row r="22">
          <cell r="O22">
            <v>29916</v>
          </cell>
          <cell r="S22">
            <v>300</v>
          </cell>
        </row>
        <row r="24">
          <cell r="O24">
            <v>12000</v>
          </cell>
        </row>
        <row r="26">
          <cell r="O26">
            <v>12000</v>
          </cell>
        </row>
        <row r="30">
          <cell r="O30">
            <v>2350</v>
          </cell>
        </row>
        <row r="31">
          <cell r="S31">
            <v>1500</v>
          </cell>
        </row>
        <row r="32">
          <cell r="O32">
            <v>991</v>
          </cell>
        </row>
        <row r="33">
          <cell r="O33">
            <v>2769</v>
          </cell>
        </row>
        <row r="34">
          <cell r="O34">
            <v>1270</v>
          </cell>
        </row>
        <row r="35">
          <cell r="O35">
            <v>7380</v>
          </cell>
        </row>
        <row r="37">
          <cell r="S37">
            <v>1500</v>
          </cell>
        </row>
        <row r="39">
          <cell r="S39">
            <v>1500</v>
          </cell>
        </row>
      </sheetData>
      <sheetData sheetId="17">
        <row r="4">
          <cell r="S4">
            <v>80</v>
          </cell>
        </row>
        <row r="10">
          <cell r="O10">
            <v>2500</v>
          </cell>
        </row>
        <row r="12">
          <cell r="O12">
            <v>20000</v>
          </cell>
        </row>
        <row r="13">
          <cell r="O13">
            <v>0</v>
          </cell>
        </row>
      </sheetData>
      <sheetData sheetId="18">
        <row r="5">
          <cell r="S5">
            <v>10000</v>
          </cell>
        </row>
        <row r="6">
          <cell r="S6">
            <v>10000</v>
          </cell>
        </row>
        <row r="8">
          <cell r="S8">
            <v>80</v>
          </cell>
        </row>
        <row r="25">
          <cell r="S25">
            <v>17900</v>
          </cell>
        </row>
        <row r="28">
          <cell r="O28">
            <v>1000</v>
          </cell>
        </row>
        <row r="31">
          <cell r="O31">
            <v>1000</v>
          </cell>
        </row>
        <row r="32">
          <cell r="M32">
            <v>40000</v>
          </cell>
        </row>
      </sheetData>
      <sheetData sheetId="19">
        <row r="20">
          <cell r="R20">
            <v>0</v>
          </cell>
        </row>
      </sheetData>
      <sheetData sheetId="20">
        <row r="6">
          <cell r="S6">
            <v>80</v>
          </cell>
        </row>
        <row r="8">
          <cell r="O8">
            <v>769</v>
          </cell>
        </row>
        <row r="11">
          <cell r="O11">
            <v>1713515</v>
          </cell>
        </row>
        <row r="14">
          <cell r="O14">
            <v>189546</v>
          </cell>
        </row>
        <row r="25">
          <cell r="O25">
            <v>1077288</v>
          </cell>
        </row>
        <row r="26">
          <cell r="O26">
            <v>1938238</v>
          </cell>
        </row>
        <row r="27">
          <cell r="O27">
            <v>902038</v>
          </cell>
        </row>
        <row r="28">
          <cell r="O28">
            <v>767350</v>
          </cell>
        </row>
        <row r="29">
          <cell r="O29">
            <v>53744</v>
          </cell>
        </row>
        <row r="30">
          <cell r="O30">
            <v>4738658</v>
          </cell>
        </row>
        <row r="32">
          <cell r="O32">
            <v>1410240</v>
          </cell>
        </row>
        <row r="33">
          <cell r="O33">
            <v>0</v>
          </cell>
        </row>
        <row r="34">
          <cell r="O34">
            <v>430000</v>
          </cell>
        </row>
        <row r="35">
          <cell r="O35">
            <v>73000</v>
          </cell>
        </row>
        <row r="37">
          <cell r="O37">
            <v>189546</v>
          </cell>
        </row>
        <row r="38">
          <cell r="O38">
            <v>35716</v>
          </cell>
        </row>
        <row r="39">
          <cell r="O39">
            <v>26213</v>
          </cell>
        </row>
        <row r="40">
          <cell r="O40">
            <v>450</v>
          </cell>
        </row>
      </sheetData>
      <sheetData sheetId="21">
        <row r="6">
          <cell r="S6">
            <v>80</v>
          </cell>
        </row>
        <row r="13">
          <cell r="O13">
            <v>6250</v>
          </cell>
          <cell r="S13">
            <v>3245</v>
          </cell>
        </row>
        <row r="16">
          <cell r="O16">
            <v>10000</v>
          </cell>
        </row>
        <row r="22">
          <cell r="O22">
            <v>115312</v>
          </cell>
        </row>
        <row r="26">
          <cell r="M26">
            <v>100000</v>
          </cell>
          <cell r="N26">
            <v>27000</v>
          </cell>
        </row>
        <row r="27">
          <cell r="M27">
            <v>14000</v>
          </cell>
          <cell r="N27">
            <v>3780</v>
          </cell>
        </row>
      </sheetData>
      <sheetData sheetId="22">
        <row r="10">
          <cell r="O10">
            <v>0</v>
          </cell>
        </row>
      </sheetData>
      <sheetData sheetId="23">
        <row r="4">
          <cell r="O4">
            <v>1500</v>
          </cell>
        </row>
        <row r="5">
          <cell r="O5">
            <v>1500</v>
          </cell>
        </row>
        <row r="7">
          <cell r="O7">
            <v>3000</v>
          </cell>
        </row>
      </sheetData>
      <sheetData sheetId="24">
        <row r="6">
          <cell r="S6">
            <v>800</v>
          </cell>
        </row>
        <row r="12">
          <cell r="O12">
            <v>3000</v>
          </cell>
        </row>
        <row r="13">
          <cell r="S13">
            <v>12482</v>
          </cell>
        </row>
        <row r="15">
          <cell r="O15">
            <v>3030</v>
          </cell>
        </row>
        <row r="17">
          <cell r="O17">
            <v>45000</v>
          </cell>
        </row>
        <row r="19">
          <cell r="O19">
            <v>0</v>
          </cell>
        </row>
        <row r="20">
          <cell r="O20">
            <v>6000</v>
          </cell>
        </row>
        <row r="21">
          <cell r="O21">
            <v>3000</v>
          </cell>
        </row>
        <row r="22">
          <cell r="O22">
            <v>450</v>
          </cell>
        </row>
        <row r="23">
          <cell r="O23">
            <v>9450</v>
          </cell>
        </row>
        <row r="25">
          <cell r="O25">
            <v>0</v>
          </cell>
        </row>
        <row r="26">
          <cell r="O26">
            <v>5000</v>
          </cell>
        </row>
        <row r="27">
          <cell r="O27">
            <v>5500</v>
          </cell>
        </row>
        <row r="28">
          <cell r="O28">
            <v>0</v>
          </cell>
        </row>
        <row r="29">
          <cell r="O29">
            <v>5000</v>
          </cell>
        </row>
        <row r="30">
          <cell r="O30">
            <v>2000</v>
          </cell>
        </row>
        <row r="31">
          <cell r="O31">
            <v>8000</v>
          </cell>
        </row>
        <row r="35">
          <cell r="O35">
            <v>130</v>
          </cell>
        </row>
        <row r="36">
          <cell r="O36">
            <v>500</v>
          </cell>
        </row>
        <row r="37">
          <cell r="O37">
            <v>300</v>
          </cell>
        </row>
        <row r="38">
          <cell r="O38">
            <v>500</v>
          </cell>
        </row>
        <row r="39">
          <cell r="O39">
            <v>100</v>
          </cell>
        </row>
        <row r="42">
          <cell r="O42">
            <v>1800000</v>
          </cell>
        </row>
      </sheetData>
      <sheetData sheetId="25">
        <row r="5">
          <cell r="S5">
            <v>800</v>
          </cell>
        </row>
        <row r="8">
          <cell r="O8">
            <v>3000</v>
          </cell>
        </row>
        <row r="10">
          <cell r="O10">
            <v>82550</v>
          </cell>
        </row>
        <row r="11">
          <cell r="O11">
            <v>1799</v>
          </cell>
        </row>
        <row r="13">
          <cell r="O13">
            <v>2159</v>
          </cell>
        </row>
        <row r="15">
          <cell r="O15">
            <v>999</v>
          </cell>
        </row>
        <row r="16">
          <cell r="O16">
            <v>20169</v>
          </cell>
        </row>
        <row r="17">
          <cell r="O17">
            <v>25000</v>
          </cell>
        </row>
        <row r="18">
          <cell r="O18">
            <v>2396</v>
          </cell>
        </row>
        <row r="21">
          <cell r="O21">
            <v>200000</v>
          </cell>
        </row>
        <row r="25">
          <cell r="O25">
            <v>12852</v>
          </cell>
        </row>
        <row r="27">
          <cell r="O27">
            <v>4000</v>
          </cell>
        </row>
        <row r="28">
          <cell r="O28">
            <v>1000</v>
          </cell>
        </row>
        <row r="29">
          <cell r="O29">
            <v>0</v>
          </cell>
        </row>
        <row r="30">
          <cell r="O30">
            <v>1000</v>
          </cell>
        </row>
        <row r="31">
          <cell r="O31">
            <v>1000</v>
          </cell>
        </row>
        <row r="32">
          <cell r="O32">
            <v>7000</v>
          </cell>
        </row>
        <row r="34">
          <cell r="O34">
            <v>0</v>
          </cell>
        </row>
        <row r="35">
          <cell r="O35">
            <v>15000</v>
          </cell>
        </row>
        <row r="36">
          <cell r="O36">
            <v>2000</v>
          </cell>
        </row>
        <row r="37">
          <cell r="O37">
            <v>500</v>
          </cell>
        </row>
        <row r="38">
          <cell r="O38">
            <v>2000</v>
          </cell>
        </row>
        <row r="39">
          <cell r="O39">
            <v>15000</v>
          </cell>
        </row>
        <row r="40">
          <cell r="O40">
            <v>4000</v>
          </cell>
        </row>
        <row r="41">
          <cell r="O41">
            <v>12808</v>
          </cell>
        </row>
        <row r="42">
          <cell r="O42">
            <v>3000</v>
          </cell>
        </row>
        <row r="43">
          <cell r="O43">
            <v>3000</v>
          </cell>
        </row>
        <row r="44">
          <cell r="O44">
            <v>0</v>
          </cell>
        </row>
        <row r="45">
          <cell r="O45">
            <v>26000</v>
          </cell>
        </row>
        <row r="47">
          <cell r="O47">
            <v>10000</v>
          </cell>
        </row>
        <row r="49">
          <cell r="O49">
            <v>37031</v>
          </cell>
        </row>
        <row r="57">
          <cell r="O57">
            <v>20000</v>
          </cell>
        </row>
        <row r="60">
          <cell r="O60">
            <v>0</v>
          </cell>
        </row>
        <row r="61">
          <cell r="O61">
            <v>240000</v>
          </cell>
        </row>
        <row r="62">
          <cell r="O62">
            <v>240000</v>
          </cell>
        </row>
      </sheetData>
      <sheetData sheetId="26">
        <row r="21">
          <cell r="O21">
            <v>1626679</v>
          </cell>
        </row>
        <row r="22">
          <cell r="O22">
            <v>12700</v>
          </cell>
        </row>
        <row r="23">
          <cell r="O23">
            <v>240</v>
          </cell>
        </row>
        <row r="24">
          <cell r="O24">
            <v>572</v>
          </cell>
        </row>
        <row r="25">
          <cell r="O25">
            <v>92567</v>
          </cell>
        </row>
        <row r="26">
          <cell r="O26">
            <v>134041</v>
          </cell>
        </row>
        <row r="27">
          <cell r="O27">
            <v>69352</v>
          </cell>
        </row>
        <row r="28">
          <cell r="O28">
            <v>205844</v>
          </cell>
        </row>
        <row r="31">
          <cell r="O31">
            <v>148590</v>
          </cell>
        </row>
        <row r="34">
          <cell r="O34">
            <v>225410</v>
          </cell>
        </row>
        <row r="35">
          <cell r="O35">
            <v>44450</v>
          </cell>
        </row>
        <row r="36">
          <cell r="O36">
            <v>37050</v>
          </cell>
        </row>
        <row r="39">
          <cell r="O39">
            <v>2679366</v>
          </cell>
        </row>
        <row r="40">
          <cell r="O40">
            <v>1212</v>
          </cell>
        </row>
        <row r="43">
          <cell r="O43">
            <v>123901</v>
          </cell>
        </row>
        <row r="44">
          <cell r="O44">
            <v>14983</v>
          </cell>
        </row>
      </sheetData>
      <sheetData sheetId="27">
        <row r="3">
          <cell r="O3">
            <v>165000</v>
          </cell>
        </row>
        <row r="5">
          <cell r="O5">
            <v>172000</v>
          </cell>
        </row>
        <row r="7">
          <cell r="O7">
            <v>232000</v>
          </cell>
        </row>
        <row r="10">
          <cell r="O10">
            <v>107787</v>
          </cell>
        </row>
        <row r="11">
          <cell r="O11">
            <v>64000</v>
          </cell>
        </row>
        <row r="13">
          <cell r="O13">
            <v>1129000</v>
          </cell>
        </row>
        <row r="16">
          <cell r="O16">
            <v>6600</v>
          </cell>
        </row>
        <row r="17">
          <cell r="O17">
            <v>8600</v>
          </cell>
        </row>
        <row r="18">
          <cell r="O18">
            <v>0</v>
          </cell>
        </row>
        <row r="19">
          <cell r="O19">
            <v>11600</v>
          </cell>
        </row>
        <row r="20">
          <cell r="O20">
            <v>16041</v>
          </cell>
        </row>
        <row r="21">
          <cell r="O21">
            <v>3200</v>
          </cell>
        </row>
        <row r="22">
          <cell r="O22">
            <v>45160</v>
          </cell>
        </row>
        <row r="26">
          <cell r="O26">
            <v>7403</v>
          </cell>
        </row>
        <row r="30">
          <cell r="O30">
            <v>140000</v>
          </cell>
        </row>
        <row r="31">
          <cell r="O31">
            <v>213033</v>
          </cell>
        </row>
        <row r="33">
          <cell r="O33">
            <v>0</v>
          </cell>
        </row>
        <row r="37">
          <cell r="O37">
            <v>0</v>
          </cell>
        </row>
        <row r="39">
          <cell r="O39">
            <v>0</v>
          </cell>
        </row>
        <row r="41">
          <cell r="O41">
            <v>130000</v>
          </cell>
        </row>
      </sheetData>
      <sheetData sheetId="28">
        <row r="20">
          <cell r="O20">
            <v>1259285</v>
          </cell>
        </row>
        <row r="26">
          <cell r="O26">
            <v>12345</v>
          </cell>
        </row>
        <row r="30">
          <cell r="O30">
            <v>253778</v>
          </cell>
        </row>
        <row r="35">
          <cell r="O35">
            <v>1790379</v>
          </cell>
        </row>
      </sheetData>
      <sheetData sheetId="29">
        <row r="24">
          <cell r="T24">
            <v>4738658</v>
          </cell>
        </row>
        <row r="33">
          <cell r="T33">
            <v>4796993</v>
          </cell>
          <cell r="AB33">
            <v>5021519</v>
          </cell>
        </row>
        <row r="63">
          <cell r="T63">
            <v>0</v>
          </cell>
          <cell r="AI63">
            <v>-2027077.1023622048</v>
          </cell>
        </row>
        <row r="65">
          <cell r="C65">
            <v>4078653</v>
          </cell>
          <cell r="D65">
            <v>613912</v>
          </cell>
          <cell r="E65">
            <v>3707013</v>
          </cell>
          <cell r="F65">
            <v>900</v>
          </cell>
          <cell r="J65">
            <v>127098</v>
          </cell>
          <cell r="K65">
            <v>88415</v>
          </cell>
          <cell r="V65">
            <v>1110979</v>
          </cell>
          <cell r="AL65">
            <v>-7505012</v>
          </cell>
        </row>
        <row r="68">
          <cell r="O68">
            <v>8615991</v>
          </cell>
        </row>
        <row r="70">
          <cell r="C70">
            <v>5884612</v>
          </cell>
          <cell r="D70">
            <v>897732</v>
          </cell>
          <cell r="E70">
            <v>5913422.1023622043</v>
          </cell>
          <cell r="F70">
            <v>333212</v>
          </cell>
          <cell r="G70">
            <v>3946960</v>
          </cell>
          <cell r="H70">
            <v>720201</v>
          </cell>
          <cell r="J70">
            <v>5652972</v>
          </cell>
          <cell r="K70">
            <v>656690</v>
          </cell>
          <cell r="L70">
            <v>536733</v>
          </cell>
          <cell r="M70">
            <v>189546</v>
          </cell>
          <cell r="T70">
            <v>4796993</v>
          </cell>
          <cell r="U70">
            <v>10706873</v>
          </cell>
          <cell r="V70">
            <v>1657738</v>
          </cell>
          <cell r="W70">
            <v>130000</v>
          </cell>
          <cell r="Y70">
            <v>373957</v>
          </cell>
          <cell r="Z70">
            <v>1801000</v>
          </cell>
          <cell r="AA70">
            <v>244000</v>
          </cell>
          <cell r="AB70">
            <v>5021519</v>
          </cell>
          <cell r="AI70">
            <v>-9532089.1023622043</v>
          </cell>
        </row>
        <row r="71">
          <cell r="O71">
            <v>-0.10236220434308052</v>
          </cell>
        </row>
      </sheetData>
      <sheetData sheetId="30">
        <row r="6">
          <cell r="AD6">
            <v>0</v>
          </cell>
          <cell r="BE6">
            <v>0</v>
          </cell>
        </row>
        <row r="7">
          <cell r="AD7">
            <v>4795463</v>
          </cell>
          <cell r="BE7">
            <v>0</v>
          </cell>
        </row>
        <row r="8">
          <cell r="AD8">
            <v>1530</v>
          </cell>
          <cell r="BE8">
            <v>0</v>
          </cell>
        </row>
        <row r="11">
          <cell r="AD11">
            <v>138884</v>
          </cell>
          <cell r="BE11">
            <v>0</v>
          </cell>
        </row>
        <row r="12">
          <cell r="AD12">
            <v>235073</v>
          </cell>
          <cell r="BE12">
            <v>0</v>
          </cell>
        </row>
        <row r="14">
          <cell r="BE14">
            <v>0</v>
          </cell>
        </row>
        <row r="15">
          <cell r="AD15">
            <v>10698873</v>
          </cell>
          <cell r="BE15">
            <v>8000</v>
          </cell>
        </row>
        <row r="16">
          <cell r="AD16">
            <v>0</v>
          </cell>
          <cell r="BE16">
            <v>0</v>
          </cell>
        </row>
        <row r="18">
          <cell r="BE18">
            <v>0</v>
          </cell>
        </row>
        <row r="19">
          <cell r="AD19">
            <v>47800</v>
          </cell>
          <cell r="BE19">
            <v>28500</v>
          </cell>
        </row>
        <row r="20">
          <cell r="AD20">
            <v>469380</v>
          </cell>
          <cell r="BE20">
            <v>1079</v>
          </cell>
        </row>
        <row r="22">
          <cell r="BE22">
            <v>0</v>
          </cell>
        </row>
        <row r="23">
          <cell r="AD23">
            <v>0</v>
          </cell>
          <cell r="BE23">
            <v>0</v>
          </cell>
        </row>
        <row r="24">
          <cell r="AD24">
            <v>1801000</v>
          </cell>
          <cell r="BE24">
            <v>0</v>
          </cell>
        </row>
        <row r="26">
          <cell r="BE26">
            <v>0</v>
          </cell>
        </row>
        <row r="27">
          <cell r="AD27">
            <v>0</v>
          </cell>
          <cell r="BE27">
            <v>0</v>
          </cell>
        </row>
        <row r="28">
          <cell r="AD28">
            <v>130000</v>
          </cell>
          <cell r="BE28">
            <v>0</v>
          </cell>
        </row>
        <row r="30">
          <cell r="BE30">
            <v>0</v>
          </cell>
        </row>
        <row r="31">
          <cell r="BE31">
            <v>0</v>
          </cell>
        </row>
        <row r="32">
          <cell r="AD32">
            <v>244000</v>
          </cell>
          <cell r="BE32">
            <v>0</v>
          </cell>
        </row>
        <row r="44">
          <cell r="AD44">
            <v>2700</v>
          </cell>
          <cell r="BE44">
            <v>0</v>
          </cell>
        </row>
        <row r="45">
          <cell r="AD45">
            <v>346162</v>
          </cell>
          <cell r="BE45">
            <v>1263061</v>
          </cell>
        </row>
        <row r="46">
          <cell r="AD46">
            <v>3833</v>
          </cell>
          <cell r="BE46">
            <v>190203</v>
          </cell>
        </row>
        <row r="48">
          <cell r="AD48">
            <v>0</v>
          </cell>
          <cell r="BE48">
            <v>0</v>
          </cell>
        </row>
        <row r="49">
          <cell r="AD49">
            <v>47105</v>
          </cell>
          <cell r="BE49">
            <v>236715</v>
          </cell>
        </row>
        <row r="50">
          <cell r="AD50">
            <v>0</v>
          </cell>
          <cell r="BE50">
            <v>0</v>
          </cell>
        </row>
        <row r="52">
          <cell r="AD52">
            <v>0</v>
          </cell>
          <cell r="BE52">
            <v>0</v>
          </cell>
        </row>
        <row r="53">
          <cell r="AD53">
            <v>1786551</v>
          </cell>
          <cell r="BE53">
            <v>323542.10236220469</v>
          </cell>
        </row>
        <row r="54">
          <cell r="AD54">
            <v>96016</v>
          </cell>
          <cell r="BE54">
            <v>300</v>
          </cell>
        </row>
        <row r="56">
          <cell r="AD56">
            <v>0</v>
          </cell>
          <cell r="BE56">
            <v>0</v>
          </cell>
        </row>
        <row r="57">
          <cell r="AD57">
            <v>0</v>
          </cell>
          <cell r="BE57">
            <v>0</v>
          </cell>
        </row>
        <row r="58">
          <cell r="AD58">
            <v>332312</v>
          </cell>
          <cell r="BE58">
            <v>0</v>
          </cell>
        </row>
        <row r="60">
          <cell r="AD60">
            <v>0</v>
          </cell>
          <cell r="BE60">
            <v>0</v>
          </cell>
        </row>
        <row r="61">
          <cell r="AD61">
            <v>3435402</v>
          </cell>
          <cell r="BE61">
            <v>0</v>
          </cell>
        </row>
        <row r="62">
          <cell r="AD62">
            <v>511558</v>
          </cell>
          <cell r="BE62">
            <v>0</v>
          </cell>
        </row>
        <row r="64">
          <cell r="AD64">
            <v>0</v>
          </cell>
          <cell r="BE64">
            <v>0</v>
          </cell>
        </row>
        <row r="65">
          <cell r="AD65">
            <v>200201</v>
          </cell>
          <cell r="BE65">
            <v>0</v>
          </cell>
        </row>
        <row r="66">
          <cell r="AD66">
            <v>520000</v>
          </cell>
          <cell r="BE66">
            <v>0</v>
          </cell>
        </row>
        <row r="68">
          <cell r="AD68">
            <v>0</v>
          </cell>
          <cell r="BE68">
            <v>0</v>
          </cell>
        </row>
        <row r="69">
          <cell r="AD69">
            <v>4925539</v>
          </cell>
          <cell r="BE69">
            <v>49335</v>
          </cell>
        </row>
        <row r="70">
          <cell r="AD70">
            <v>551000</v>
          </cell>
          <cell r="BE70">
            <v>0</v>
          </cell>
        </row>
        <row r="72">
          <cell r="AD72">
            <v>0</v>
          </cell>
          <cell r="BE72">
            <v>0</v>
          </cell>
        </row>
        <row r="73">
          <cell r="AD73">
            <v>554430</v>
          </cell>
          <cell r="BE73">
            <v>1500</v>
          </cell>
        </row>
        <row r="74">
          <cell r="AD74">
            <v>12345</v>
          </cell>
          <cell r="BE74">
            <v>0</v>
          </cell>
        </row>
        <row r="76">
          <cell r="AD76">
            <v>0</v>
          </cell>
          <cell r="BE76">
            <v>0</v>
          </cell>
        </row>
        <row r="77">
          <cell r="AD77">
            <v>405033</v>
          </cell>
          <cell r="BE77">
            <v>0</v>
          </cell>
        </row>
        <row r="78">
          <cell r="AD78">
            <v>131700</v>
          </cell>
          <cell r="BE78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a sz.melléklet"/>
      <sheetName val="1. b. Mérlegtábla"/>
      <sheetName val="2.sz.melléklet Önálló int.össz."/>
      <sheetName val="2.a.1.óvodák"/>
      <sheetName val="2.a.2.egyéb"/>
      <sheetName val="2.a.2.1.ovik dologi"/>
      <sheetName val="2.a.2.2.egyéb dologi"/>
      <sheetName val="2.b.felhaszn.eng.kötött"/>
      <sheetName val="3.sz.mell.Felújítás"/>
      <sheetName val="4.mell Beruházás"/>
      <sheetName val="5.a mell. Átadott peszk."/>
      <sheetName val="5.b mell. Átvett peszk."/>
      <sheetName val="6.sz.mell.Tartalék"/>
      <sheetName val="7. sz. mell. ei felhasz. terv"/>
      <sheetName val="8.sz.mell.Többéves"/>
      <sheetName val="9. sz. mell. Adósságk."/>
      <sheetName val="10 sz. mell EU-s "/>
      <sheetName val="11. sz. Kötelező-önként-áll.ig."/>
    </sheetNames>
    <sheetDataSet>
      <sheetData sheetId="0">
        <row r="28">
          <cell r="F28">
            <v>10706873</v>
          </cell>
        </row>
        <row r="47">
          <cell r="F47">
            <v>41000</v>
          </cell>
        </row>
        <row r="48">
          <cell r="F48">
            <v>10000</v>
          </cell>
        </row>
        <row r="50">
          <cell r="F50">
            <v>8000</v>
          </cell>
        </row>
        <row r="63">
          <cell r="F63">
            <v>1801000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70"/>
  <sheetViews>
    <sheetView view="pageBreakPreview" zoomScaleNormal="100" zoomScaleSheetLayoutView="100" workbookViewId="0">
      <selection activeCell="D1" sqref="D1:G1"/>
    </sheetView>
  </sheetViews>
  <sheetFormatPr defaultColWidth="9.140625" defaultRowHeight="12.75" x14ac:dyDescent="0.2"/>
  <cols>
    <col min="1" max="1" width="8.7109375" style="1" customWidth="1"/>
    <col min="2" max="2" width="8.140625" style="1" hidden="1" customWidth="1"/>
    <col min="3" max="3" width="9.7109375" style="1" hidden="1" customWidth="1"/>
    <col min="4" max="4" width="56.5703125" style="1" customWidth="1"/>
    <col min="5" max="5" width="15.140625" style="4" hidden="1" customWidth="1"/>
    <col min="6" max="6" width="15.140625" style="4" customWidth="1"/>
    <col min="7" max="7" width="15.140625" style="1" customWidth="1"/>
    <col min="8" max="8" width="14.140625" style="1" bestFit="1" customWidth="1"/>
    <col min="9" max="16384" width="9.140625" style="1"/>
  </cols>
  <sheetData>
    <row r="1" spans="1:8" ht="39" customHeight="1" x14ac:dyDescent="0.25">
      <c r="D1" s="1282" t="s">
        <v>864</v>
      </c>
      <c r="E1" s="1283"/>
      <c r="F1" s="1283"/>
      <c r="G1" s="1283"/>
    </row>
    <row r="2" spans="1:8" ht="15" x14ac:dyDescent="0.25">
      <c r="E2" s="1"/>
      <c r="F2" s="1"/>
      <c r="G2" s="1284" t="s">
        <v>278</v>
      </c>
      <c r="H2" s="1285"/>
    </row>
    <row r="3" spans="1:8" ht="15" x14ac:dyDescent="0.25">
      <c r="E3" s="1"/>
      <c r="F3" s="1"/>
      <c r="G3" s="205"/>
      <c r="H3" s="204"/>
    </row>
    <row r="4" spans="1:8" ht="13.5" thickBot="1" x14ac:dyDescent="0.25">
      <c r="A4" s="203"/>
      <c r="B4" s="203"/>
      <c r="C4" s="203"/>
      <c r="D4" s="203"/>
      <c r="E4" s="203"/>
      <c r="F4" s="203"/>
      <c r="G4" s="203"/>
      <c r="H4" s="202" t="s">
        <v>277</v>
      </c>
    </row>
    <row r="5" spans="1:8" s="199" customFormat="1" x14ac:dyDescent="0.2">
      <c r="A5" s="1286" t="s">
        <v>276</v>
      </c>
      <c r="B5" s="201"/>
      <c r="C5" s="201"/>
      <c r="D5" s="1288" t="s">
        <v>275</v>
      </c>
      <c r="E5" s="1280" t="s">
        <v>274</v>
      </c>
      <c r="F5" s="1280" t="s">
        <v>273</v>
      </c>
      <c r="G5" s="1280" t="s">
        <v>272</v>
      </c>
      <c r="H5" s="1290" t="s">
        <v>271</v>
      </c>
    </row>
    <row r="6" spans="1:8" s="199" customFormat="1" ht="13.5" thickBot="1" x14ac:dyDescent="0.25">
      <c r="A6" s="1287"/>
      <c r="B6" s="200"/>
      <c r="C6" s="200"/>
      <c r="D6" s="1289"/>
      <c r="E6" s="1281"/>
      <c r="F6" s="1292"/>
      <c r="G6" s="1281"/>
      <c r="H6" s="1291"/>
    </row>
    <row r="7" spans="1:8" s="183" customFormat="1" ht="13.5" thickBot="1" x14ac:dyDescent="0.25">
      <c r="A7" s="198" t="s">
        <v>270</v>
      </c>
      <c r="B7" s="197"/>
      <c r="C7" s="197"/>
      <c r="D7" s="197" t="s">
        <v>70</v>
      </c>
      <c r="E7" s="197" t="s">
        <v>91</v>
      </c>
      <c r="F7" s="197">
        <v>3</v>
      </c>
      <c r="G7" s="197" t="s">
        <v>66</v>
      </c>
      <c r="H7" s="196" t="s">
        <v>200</v>
      </c>
    </row>
    <row r="8" spans="1:8" s="183" customFormat="1" ht="15" customHeight="1" x14ac:dyDescent="0.25">
      <c r="A8" s="195"/>
      <c r="B8" s="65"/>
      <c r="C8" s="65"/>
      <c r="D8" s="194" t="s">
        <v>269</v>
      </c>
      <c r="E8" s="193"/>
      <c r="F8" s="193"/>
      <c r="G8" s="193"/>
      <c r="H8" s="192"/>
    </row>
    <row r="9" spans="1:8" s="183" customFormat="1" ht="15" customHeight="1" x14ac:dyDescent="0.2">
      <c r="A9" s="40" t="s">
        <v>61</v>
      </c>
      <c r="B9" s="139" t="s">
        <v>268</v>
      </c>
      <c r="C9" s="139"/>
      <c r="D9" s="191" t="s">
        <v>267</v>
      </c>
      <c r="E9" s="178">
        <v>3557326</v>
      </c>
      <c r="F9" s="178">
        <v>4796993</v>
      </c>
      <c r="G9" s="190">
        <f>SUM(G10+G21)</f>
        <v>4796993</v>
      </c>
      <c r="H9" s="176">
        <f t="shared" ref="H9:H40" si="0">G9/F9</f>
        <v>1</v>
      </c>
    </row>
    <row r="10" spans="1:8" s="183" customFormat="1" ht="15" customHeight="1" x14ac:dyDescent="0.2">
      <c r="A10" s="40" t="s">
        <v>72</v>
      </c>
      <c r="B10" s="139" t="s">
        <v>266</v>
      </c>
      <c r="C10" s="139"/>
      <c r="D10" s="189" t="s">
        <v>265</v>
      </c>
      <c r="E10" s="162">
        <v>3505384</v>
      </c>
      <c r="F10" s="162">
        <v>4738658</v>
      </c>
      <c r="G10" s="155">
        <f>SUM(G11:G16)</f>
        <v>4738658</v>
      </c>
      <c r="H10" s="154">
        <f t="shared" si="0"/>
        <v>1</v>
      </c>
    </row>
    <row r="11" spans="1:8" ht="15" customHeight="1" x14ac:dyDescent="0.25">
      <c r="A11" s="40" t="s">
        <v>264</v>
      </c>
      <c r="B11" s="139" t="s">
        <v>263</v>
      </c>
      <c r="C11" s="150" t="s">
        <v>262</v>
      </c>
      <c r="D11" s="188" t="s">
        <v>261</v>
      </c>
      <c r="E11" s="149">
        <v>0</v>
      </c>
      <c r="F11" s="149">
        <v>1077288</v>
      </c>
      <c r="G11" s="187">
        <f>SUM('[2]1022.Költségv.O.'!O25)</f>
        <v>1077288</v>
      </c>
      <c r="H11" s="147">
        <f t="shared" si="0"/>
        <v>1</v>
      </c>
    </row>
    <row r="12" spans="1:8" ht="15" customHeight="1" x14ac:dyDescent="0.25">
      <c r="A12" s="40" t="s">
        <v>260</v>
      </c>
      <c r="B12" s="139" t="s">
        <v>259</v>
      </c>
      <c r="C12" s="150" t="s">
        <v>258</v>
      </c>
      <c r="D12" s="188" t="s">
        <v>257</v>
      </c>
      <c r="E12" s="149">
        <v>1850539</v>
      </c>
      <c r="F12" s="149">
        <v>1938238</v>
      </c>
      <c r="G12" s="187">
        <f>SUM('[2]1022.Költségv.O.'!O26)</f>
        <v>1938238</v>
      </c>
      <c r="H12" s="147">
        <f t="shared" si="0"/>
        <v>1</v>
      </c>
    </row>
    <row r="13" spans="1:8" ht="28.15" customHeight="1" x14ac:dyDescent="0.25">
      <c r="A13" s="40" t="s">
        <v>256</v>
      </c>
      <c r="B13" s="139" t="s">
        <v>255</v>
      </c>
      <c r="C13" s="150" t="s">
        <v>254</v>
      </c>
      <c r="D13" s="152" t="s">
        <v>253</v>
      </c>
      <c r="E13" s="149">
        <v>1614955</v>
      </c>
      <c r="F13" s="149">
        <v>1669388</v>
      </c>
      <c r="G13" s="187">
        <f>SUM('[2]1022.Költségv.O.'!O27+'[2]1022.Költségv.O.'!O28)</f>
        <v>1669388</v>
      </c>
      <c r="H13" s="147">
        <f t="shared" si="0"/>
        <v>1</v>
      </c>
    </row>
    <row r="14" spans="1:8" ht="15" customHeight="1" x14ac:dyDescent="0.25">
      <c r="A14" s="40" t="s">
        <v>252</v>
      </c>
      <c r="B14" s="139" t="s">
        <v>251</v>
      </c>
      <c r="C14" s="150" t="s">
        <v>250</v>
      </c>
      <c r="D14" s="188" t="s">
        <v>249</v>
      </c>
      <c r="E14" s="149">
        <v>39890</v>
      </c>
      <c r="F14" s="149">
        <v>53744</v>
      </c>
      <c r="G14" s="187">
        <f>SUM('[2]1022.Költségv.O.'!O29)</f>
        <v>53744</v>
      </c>
      <c r="H14" s="147">
        <f t="shared" si="0"/>
        <v>1</v>
      </c>
    </row>
    <row r="15" spans="1:8" ht="15" hidden="1" customHeight="1" x14ac:dyDescent="0.25">
      <c r="A15" s="40" t="s">
        <v>248</v>
      </c>
      <c r="B15" s="139" t="s">
        <v>247</v>
      </c>
      <c r="C15" s="150" t="s">
        <v>246</v>
      </c>
      <c r="D15" s="188" t="s">
        <v>245</v>
      </c>
      <c r="E15" s="149">
        <v>0</v>
      </c>
      <c r="F15" s="149">
        <v>0</v>
      </c>
      <c r="G15" s="187">
        <v>0</v>
      </c>
      <c r="H15" s="147" t="e">
        <f t="shared" si="0"/>
        <v>#DIV/0!</v>
      </c>
    </row>
    <row r="16" spans="1:8" ht="15" hidden="1" customHeight="1" x14ac:dyDescent="0.2">
      <c r="A16" s="40" t="s">
        <v>244</v>
      </c>
      <c r="B16" s="106" t="s">
        <v>243</v>
      </c>
      <c r="C16" s="103" t="s">
        <v>242</v>
      </c>
      <c r="D16" s="188" t="s">
        <v>241</v>
      </c>
      <c r="E16" s="149"/>
      <c r="F16" s="149"/>
      <c r="G16" s="187"/>
      <c r="H16" s="147" t="e">
        <f t="shared" si="0"/>
        <v>#DIV/0!</v>
      </c>
    </row>
    <row r="17" spans="1:8" s="183" customFormat="1" ht="15" hidden="1" customHeight="1" x14ac:dyDescent="0.2">
      <c r="A17" s="40" t="s">
        <v>70</v>
      </c>
      <c r="B17" s="139" t="s">
        <v>240</v>
      </c>
      <c r="C17" s="139" t="s">
        <v>239</v>
      </c>
      <c r="D17" s="182" t="s">
        <v>238</v>
      </c>
      <c r="E17" s="186"/>
      <c r="F17" s="186"/>
      <c r="G17" s="185"/>
      <c r="H17" s="184" t="e">
        <f t="shared" si="0"/>
        <v>#DIV/0!</v>
      </c>
    </row>
    <row r="18" spans="1:8" ht="15" hidden="1" customHeight="1" x14ac:dyDescent="0.2">
      <c r="A18" s="40" t="s">
        <v>91</v>
      </c>
      <c r="B18" s="139"/>
      <c r="C18" s="139"/>
      <c r="D18" s="182" t="s">
        <v>136</v>
      </c>
      <c r="E18" s="101"/>
      <c r="F18" s="101"/>
      <c r="G18" s="181"/>
      <c r="H18" s="99" t="e">
        <f t="shared" si="0"/>
        <v>#DIV/0!</v>
      </c>
    </row>
    <row r="19" spans="1:8" ht="15" hidden="1" customHeight="1" x14ac:dyDescent="0.25">
      <c r="A19" s="40" t="s">
        <v>66</v>
      </c>
      <c r="B19" s="139"/>
      <c r="C19" s="180" t="s">
        <v>135</v>
      </c>
      <c r="D19" s="157" t="s">
        <v>135</v>
      </c>
      <c r="E19" s="101"/>
      <c r="F19" s="101"/>
      <c r="G19" s="100"/>
      <c r="H19" s="99" t="e">
        <f t="shared" si="0"/>
        <v>#DIV/0!</v>
      </c>
    </row>
    <row r="20" spans="1:8" ht="15" hidden="1" customHeight="1" x14ac:dyDescent="0.2">
      <c r="A20" s="40" t="s">
        <v>200</v>
      </c>
      <c r="B20" s="139"/>
      <c r="C20" s="139"/>
      <c r="D20" s="157" t="s">
        <v>237</v>
      </c>
      <c r="E20" s="101"/>
      <c r="F20" s="101"/>
      <c r="G20" s="100"/>
      <c r="H20" s="99" t="e">
        <f t="shared" si="0"/>
        <v>#DIV/0!</v>
      </c>
    </row>
    <row r="21" spans="1:8" ht="15" customHeight="1" x14ac:dyDescent="0.2">
      <c r="A21" s="40" t="s">
        <v>70</v>
      </c>
      <c r="B21" s="139" t="s">
        <v>236</v>
      </c>
      <c r="C21" s="139" t="s">
        <v>235</v>
      </c>
      <c r="D21" s="157" t="s">
        <v>234</v>
      </c>
      <c r="E21" s="162">
        <v>51942</v>
      </c>
      <c r="F21" s="162">
        <v>58335</v>
      </c>
      <c r="G21" s="161">
        <f>SUM([2]ÖK.ÖSSZESÍTŐ!T65+[2]ÖK.ÖSSZESÍTŐ!T63+[2]ÖK.ÖSSZESÍTŐ!T33-[2]ÖK.ÖSSZESÍTŐ!T24-[2]ÖK.ÖSSZESÍTŐ!T9)</f>
        <v>58335</v>
      </c>
      <c r="H21" s="154">
        <f t="shared" si="0"/>
        <v>1</v>
      </c>
    </row>
    <row r="22" spans="1:8" ht="15" customHeight="1" x14ac:dyDescent="0.2">
      <c r="A22" s="40" t="s">
        <v>58</v>
      </c>
      <c r="B22" s="139" t="s">
        <v>233</v>
      </c>
      <c r="C22" s="139"/>
      <c r="D22" s="179" t="s">
        <v>232</v>
      </c>
      <c r="E22" s="178">
        <v>1078733</v>
      </c>
      <c r="F22" s="178">
        <v>373957</v>
      </c>
      <c r="G22" s="177">
        <f>SUM(G23:G27)</f>
        <v>373957</v>
      </c>
      <c r="H22" s="176">
        <f t="shared" si="0"/>
        <v>1</v>
      </c>
    </row>
    <row r="23" spans="1:8" ht="15" hidden="1" customHeight="1" x14ac:dyDescent="0.2">
      <c r="A23" s="40"/>
      <c r="B23" s="139"/>
      <c r="C23" s="139"/>
      <c r="D23" s="102" t="s">
        <v>231</v>
      </c>
      <c r="E23" s="101"/>
      <c r="F23" s="101"/>
      <c r="G23" s="100"/>
      <c r="H23" s="99" t="e">
        <f t="shared" si="0"/>
        <v>#DIV/0!</v>
      </c>
    </row>
    <row r="24" spans="1:8" ht="15" hidden="1" customHeight="1" x14ac:dyDescent="0.2">
      <c r="A24" s="40"/>
      <c r="B24" s="139"/>
      <c r="C24" s="139"/>
      <c r="D24" s="102" t="s">
        <v>127</v>
      </c>
      <c r="E24" s="101"/>
      <c r="F24" s="101"/>
      <c r="G24" s="100"/>
      <c r="H24" s="99" t="e">
        <f t="shared" si="0"/>
        <v>#DIV/0!</v>
      </c>
    </row>
    <row r="25" spans="1:8" ht="15" hidden="1" customHeight="1" x14ac:dyDescent="0.2">
      <c r="A25" s="40"/>
      <c r="B25" s="139"/>
      <c r="C25" s="139"/>
      <c r="D25" s="102" t="s">
        <v>124</v>
      </c>
      <c r="E25" s="101"/>
      <c r="F25" s="101"/>
      <c r="G25" s="100"/>
      <c r="H25" s="99" t="e">
        <f t="shared" si="0"/>
        <v>#DIV/0!</v>
      </c>
    </row>
    <row r="26" spans="1:8" ht="15" hidden="1" customHeight="1" x14ac:dyDescent="0.2">
      <c r="A26" s="40"/>
      <c r="B26" s="139"/>
      <c r="C26" s="139"/>
      <c r="D26" s="102" t="s">
        <v>230</v>
      </c>
      <c r="E26" s="101"/>
      <c r="F26" s="101"/>
      <c r="G26" s="100"/>
      <c r="H26" s="99" t="e">
        <f t="shared" si="0"/>
        <v>#DIV/0!</v>
      </c>
    </row>
    <row r="27" spans="1:8" ht="15" customHeight="1" x14ac:dyDescent="0.2">
      <c r="A27" s="40"/>
      <c r="B27" s="139" t="s">
        <v>229</v>
      </c>
      <c r="C27" s="139" t="s">
        <v>228</v>
      </c>
      <c r="D27" s="102" t="s">
        <v>227</v>
      </c>
      <c r="E27" s="101">
        <v>1078733</v>
      </c>
      <c r="F27" s="101">
        <v>373957</v>
      </c>
      <c r="G27" s="100">
        <f>SUM([2]ÖK.ÖSSZESÍTŐ!Y70)</f>
        <v>373957</v>
      </c>
      <c r="H27" s="99">
        <f t="shared" si="0"/>
        <v>1</v>
      </c>
    </row>
    <row r="28" spans="1:8" ht="15" customHeight="1" x14ac:dyDescent="0.2">
      <c r="A28" s="40" t="s">
        <v>55</v>
      </c>
      <c r="B28" s="139" t="s">
        <v>226</v>
      </c>
      <c r="C28" s="139"/>
      <c r="D28" s="179" t="s">
        <v>225</v>
      </c>
      <c r="E28" s="178">
        <v>13109950</v>
      </c>
      <c r="F28" s="178">
        <v>10706873</v>
      </c>
      <c r="G28" s="177">
        <f>SUM(G29+G35+G39+G40+G42+G37)</f>
        <v>10706873</v>
      </c>
      <c r="H28" s="176">
        <f t="shared" si="0"/>
        <v>1</v>
      </c>
    </row>
    <row r="29" spans="1:8" s="153" customFormat="1" ht="15" customHeight="1" x14ac:dyDescent="0.25">
      <c r="A29" s="158" t="s">
        <v>72</v>
      </c>
      <c r="B29" s="150" t="s">
        <v>224</v>
      </c>
      <c r="C29" s="150" t="s">
        <v>223</v>
      </c>
      <c r="D29" s="157" t="s">
        <v>222</v>
      </c>
      <c r="E29" s="162">
        <v>3640000</v>
      </c>
      <c r="F29" s="162">
        <v>3348750</v>
      </c>
      <c r="G29" s="161">
        <f>SUM(G30:G34)</f>
        <v>3348750</v>
      </c>
      <c r="H29" s="154">
        <f t="shared" si="0"/>
        <v>1</v>
      </c>
    </row>
    <row r="30" spans="1:8" ht="15" customHeight="1" x14ac:dyDescent="0.2">
      <c r="A30" s="40"/>
      <c r="B30" s="103" t="s">
        <v>219</v>
      </c>
      <c r="C30" s="139"/>
      <c r="D30" s="102" t="s">
        <v>221</v>
      </c>
      <c r="E30" s="101">
        <v>2880000</v>
      </c>
      <c r="F30" s="101">
        <v>2698000</v>
      </c>
      <c r="G30" s="100">
        <f>SUM('[2]1012.Adóosztály'!O17)</f>
        <v>2698000</v>
      </c>
      <c r="H30" s="99">
        <f t="shared" si="0"/>
        <v>1</v>
      </c>
    </row>
    <row r="31" spans="1:8" ht="15" hidden="1" customHeight="1" x14ac:dyDescent="0.2">
      <c r="A31" s="40"/>
      <c r="B31" s="139"/>
      <c r="C31" s="139"/>
      <c r="D31" s="102" t="s">
        <v>220</v>
      </c>
      <c r="E31" s="101"/>
      <c r="F31" s="101"/>
      <c r="G31" s="100"/>
      <c r="H31" s="99" t="e">
        <f t="shared" si="0"/>
        <v>#DIV/0!</v>
      </c>
    </row>
    <row r="32" spans="1:8" ht="15" customHeight="1" x14ac:dyDescent="0.2">
      <c r="A32" s="40"/>
      <c r="B32" s="103" t="s">
        <v>219</v>
      </c>
      <c r="C32" s="139"/>
      <c r="D32" s="102" t="s">
        <v>218</v>
      </c>
      <c r="E32" s="101">
        <v>660000</v>
      </c>
      <c r="F32" s="101">
        <v>555750</v>
      </c>
      <c r="G32" s="100">
        <f>SUM('[2]1012.Adóosztály'!O18)</f>
        <v>555750</v>
      </c>
      <c r="H32" s="99">
        <f t="shared" si="0"/>
        <v>1</v>
      </c>
    </row>
    <row r="33" spans="1:8" ht="15" customHeight="1" x14ac:dyDescent="0.2">
      <c r="A33" s="40"/>
      <c r="B33" s="103" t="s">
        <v>217</v>
      </c>
      <c r="C33" s="139"/>
      <c r="D33" s="102" t="s">
        <v>216</v>
      </c>
      <c r="E33" s="101">
        <v>100000</v>
      </c>
      <c r="F33" s="101">
        <v>95000</v>
      </c>
      <c r="G33" s="100">
        <f>SUM('[2]1012.Adóosztály'!O19)</f>
        <v>95000</v>
      </c>
      <c r="H33" s="99">
        <f t="shared" si="0"/>
        <v>1</v>
      </c>
    </row>
    <row r="34" spans="1:8" s="151" customFormat="1" ht="15" hidden="1" customHeight="1" x14ac:dyDescent="0.2">
      <c r="A34" s="175"/>
      <c r="B34" s="174"/>
      <c r="C34" s="174"/>
      <c r="D34" s="173" t="s">
        <v>215</v>
      </c>
      <c r="E34" s="172"/>
      <c r="F34" s="172"/>
      <c r="G34" s="171"/>
      <c r="H34" s="170" t="e">
        <f t="shared" si="0"/>
        <v>#DIV/0!</v>
      </c>
    </row>
    <row r="35" spans="1:8" s="153" customFormat="1" ht="15" customHeight="1" x14ac:dyDescent="0.25">
      <c r="A35" s="158" t="s">
        <v>70</v>
      </c>
      <c r="B35" s="150" t="s">
        <v>214</v>
      </c>
      <c r="C35" s="150" t="s">
        <v>213</v>
      </c>
      <c r="D35" s="157" t="s">
        <v>212</v>
      </c>
      <c r="E35" s="156">
        <v>9087744</v>
      </c>
      <c r="F35" s="156">
        <v>7253523</v>
      </c>
      <c r="G35" s="155">
        <f>SUM(G36:G36)</f>
        <v>7253523</v>
      </c>
      <c r="H35" s="154">
        <f t="shared" si="0"/>
        <v>1</v>
      </c>
    </row>
    <row r="36" spans="1:8" ht="24.6" customHeight="1" x14ac:dyDescent="0.2">
      <c r="A36" s="40"/>
      <c r="B36" s="139"/>
      <c r="C36" s="139"/>
      <c r="D36" s="152" t="s">
        <v>211</v>
      </c>
      <c r="E36" s="101">
        <v>9087744</v>
      </c>
      <c r="F36" s="101">
        <v>7253523</v>
      </c>
      <c r="G36" s="100">
        <f>SUM('[2]1009 Pénzügy'!O25)</f>
        <v>7253523</v>
      </c>
      <c r="H36" s="99">
        <f t="shared" si="0"/>
        <v>1</v>
      </c>
    </row>
    <row r="37" spans="1:8" ht="15" hidden="1" customHeight="1" x14ac:dyDescent="0.2">
      <c r="A37" s="40">
        <v>3</v>
      </c>
      <c r="B37" s="139"/>
      <c r="C37" s="139" t="s">
        <v>210</v>
      </c>
      <c r="D37" s="157" t="s">
        <v>209</v>
      </c>
      <c r="E37" s="162">
        <v>0</v>
      </c>
      <c r="F37" s="162">
        <v>0</v>
      </c>
      <c r="G37" s="161">
        <v>0</v>
      </c>
      <c r="H37" s="154" t="e">
        <f t="shared" si="0"/>
        <v>#DIV/0!</v>
      </c>
    </row>
    <row r="38" spans="1:8" s="163" customFormat="1" ht="15" customHeight="1" x14ac:dyDescent="0.2">
      <c r="A38" s="169"/>
      <c r="B38" s="168"/>
      <c r="C38" s="168"/>
      <c r="D38" s="167" t="s">
        <v>208</v>
      </c>
      <c r="E38" s="166">
        <v>0</v>
      </c>
      <c r="F38" s="166">
        <v>1000000</v>
      </c>
      <c r="G38" s="165">
        <f>SUM('[2]1009 Pénzügy'!O26)</f>
        <v>1000000</v>
      </c>
      <c r="H38" s="164">
        <f t="shared" si="0"/>
        <v>1</v>
      </c>
    </row>
    <row r="39" spans="1:8" s="153" customFormat="1" ht="15" hidden="1" customHeight="1" x14ac:dyDescent="0.25">
      <c r="A39" s="158" t="s">
        <v>91</v>
      </c>
      <c r="B39" s="150" t="s">
        <v>207</v>
      </c>
      <c r="C39" s="150" t="s">
        <v>206</v>
      </c>
      <c r="D39" s="157" t="s">
        <v>205</v>
      </c>
      <c r="E39" s="162">
        <v>240000</v>
      </c>
      <c r="F39" s="162">
        <v>0</v>
      </c>
      <c r="G39" s="161">
        <f>SUM('[2]1012.Adóosztály'!O16)</f>
        <v>0</v>
      </c>
      <c r="H39" s="154" t="e">
        <f t="shared" si="0"/>
        <v>#DIV/0!</v>
      </c>
    </row>
    <row r="40" spans="1:8" s="159" customFormat="1" ht="15" customHeight="1" x14ac:dyDescent="0.25">
      <c r="A40" s="158" t="s">
        <v>91</v>
      </c>
      <c r="B40" s="150" t="s">
        <v>204</v>
      </c>
      <c r="C40" s="150" t="s">
        <v>203</v>
      </c>
      <c r="D40" s="157" t="s">
        <v>202</v>
      </c>
      <c r="E40" s="156">
        <v>80000</v>
      </c>
      <c r="F40" s="156">
        <v>35000</v>
      </c>
      <c r="G40" s="155">
        <f>+G41</f>
        <v>35000</v>
      </c>
      <c r="H40" s="154">
        <f t="shared" si="0"/>
        <v>1</v>
      </c>
    </row>
    <row r="41" spans="1:8" ht="15" customHeight="1" x14ac:dyDescent="0.2">
      <c r="A41" s="40"/>
      <c r="B41" s="139"/>
      <c r="C41" s="139"/>
      <c r="D41" s="102" t="s">
        <v>201</v>
      </c>
      <c r="E41" s="101">
        <v>80000</v>
      </c>
      <c r="F41" s="101">
        <v>35000</v>
      </c>
      <c r="G41" s="100">
        <f>SUM('[2]1012.Adóosztály'!O21)</f>
        <v>35000</v>
      </c>
      <c r="H41" s="99">
        <f t="shared" ref="H41:H72" si="1">G41/F41</f>
        <v>1</v>
      </c>
    </row>
    <row r="42" spans="1:8" s="153" customFormat="1" ht="15" customHeight="1" x14ac:dyDescent="0.25">
      <c r="A42" s="158" t="s">
        <v>66</v>
      </c>
      <c r="B42" s="150" t="s">
        <v>199</v>
      </c>
      <c r="C42" s="150" t="s">
        <v>198</v>
      </c>
      <c r="D42" s="157" t="s">
        <v>197</v>
      </c>
      <c r="E42" s="156">
        <v>62206</v>
      </c>
      <c r="F42" s="156">
        <v>69600</v>
      </c>
      <c r="G42" s="155">
        <f>SUM(G43:G50)</f>
        <v>69600</v>
      </c>
      <c r="H42" s="154">
        <f t="shared" si="1"/>
        <v>1</v>
      </c>
    </row>
    <row r="43" spans="1:8" ht="15" hidden="1" customHeight="1" x14ac:dyDescent="0.2">
      <c r="A43" s="40"/>
      <c r="B43" s="139"/>
      <c r="C43" s="139"/>
      <c r="D43" s="102" t="s">
        <v>196</v>
      </c>
      <c r="E43" s="101"/>
      <c r="F43" s="101"/>
      <c r="G43" s="100"/>
      <c r="H43" s="99" t="e">
        <f t="shared" si="1"/>
        <v>#DIV/0!</v>
      </c>
    </row>
    <row r="44" spans="1:8" ht="15" hidden="1" customHeight="1" x14ac:dyDescent="0.2">
      <c r="A44" s="40"/>
      <c r="B44" s="139"/>
      <c r="C44" s="139"/>
      <c r="D44" s="102" t="s">
        <v>195</v>
      </c>
      <c r="E44" s="101"/>
      <c r="F44" s="101"/>
      <c r="G44" s="100"/>
      <c r="H44" s="99" t="e">
        <f t="shared" si="1"/>
        <v>#DIV/0!</v>
      </c>
    </row>
    <row r="45" spans="1:8" ht="15" customHeight="1" x14ac:dyDescent="0.2">
      <c r="A45" s="40"/>
      <c r="B45" s="139"/>
      <c r="C45" s="139"/>
      <c r="D45" s="102" t="s">
        <v>194</v>
      </c>
      <c r="E45" s="101">
        <v>10000</v>
      </c>
      <c r="F45" s="101">
        <v>9000</v>
      </c>
      <c r="G45" s="100">
        <f>+'[2]1012.Adóosztály'!O23</f>
        <v>9000</v>
      </c>
      <c r="H45" s="99">
        <f t="shared" si="1"/>
        <v>1</v>
      </c>
    </row>
    <row r="46" spans="1:8" ht="15" hidden="1" customHeight="1" x14ac:dyDescent="0.2">
      <c r="A46" s="40"/>
      <c r="B46" s="139"/>
      <c r="C46" s="139"/>
      <c r="D46" s="102" t="s">
        <v>193</v>
      </c>
      <c r="E46" s="101"/>
      <c r="F46" s="101"/>
      <c r="G46" s="100"/>
      <c r="H46" s="99" t="e">
        <f t="shared" si="1"/>
        <v>#DIV/0!</v>
      </c>
    </row>
    <row r="47" spans="1:8" ht="27.6" customHeight="1" x14ac:dyDescent="0.2">
      <c r="A47" s="40"/>
      <c r="B47" s="139"/>
      <c r="C47" s="139"/>
      <c r="D47" s="152" t="s">
        <v>192</v>
      </c>
      <c r="E47" s="101">
        <v>36100</v>
      </c>
      <c r="F47" s="101">
        <v>41000</v>
      </c>
      <c r="G47" s="100">
        <f>SUM('[2]1020.Rendészet'!M32)+'[2]1020.Rendészet'!O31</f>
        <v>41000</v>
      </c>
      <c r="H47" s="99">
        <f t="shared" si="1"/>
        <v>1</v>
      </c>
    </row>
    <row r="48" spans="1:8" ht="15" customHeight="1" x14ac:dyDescent="0.2">
      <c r="A48" s="40"/>
      <c r="B48" s="139"/>
      <c r="C48" s="139"/>
      <c r="D48" s="102" t="s">
        <v>191</v>
      </c>
      <c r="E48" s="101">
        <v>13000</v>
      </c>
      <c r="F48" s="101">
        <v>10000</v>
      </c>
      <c r="G48" s="100">
        <f>+'[2]1012.Adóosztály'!O25+'[2]1012.Adóosztály'!O26</f>
        <v>10000</v>
      </c>
      <c r="H48" s="99">
        <f t="shared" si="1"/>
        <v>1</v>
      </c>
    </row>
    <row r="49" spans="1:8" ht="15" customHeight="1" x14ac:dyDescent="0.2">
      <c r="A49" s="40"/>
      <c r="B49" s="139"/>
      <c r="C49" s="139"/>
      <c r="D49" s="102" t="s">
        <v>190</v>
      </c>
      <c r="E49" s="101">
        <v>1000</v>
      </c>
      <c r="F49" s="101">
        <v>1600</v>
      </c>
      <c r="G49" s="100">
        <f>+'[2]1012.Adóosztály'!O24</f>
        <v>1600</v>
      </c>
      <c r="H49" s="99">
        <f t="shared" si="1"/>
        <v>1</v>
      </c>
    </row>
    <row r="50" spans="1:8" ht="15" customHeight="1" x14ac:dyDescent="0.2">
      <c r="A50" s="40"/>
      <c r="B50" s="139"/>
      <c r="C50" s="139"/>
      <c r="D50" s="102" t="s">
        <v>189</v>
      </c>
      <c r="E50" s="101">
        <v>2106</v>
      </c>
      <c r="F50" s="101">
        <v>8000</v>
      </c>
      <c r="G50" s="100">
        <f>SUM(+'[2]1010.Építésigazg.O.'!Q13+'[2]1011.Városüzemelt.O'!S153)</f>
        <v>8000</v>
      </c>
      <c r="H50" s="99">
        <f t="shared" si="1"/>
        <v>1</v>
      </c>
    </row>
    <row r="51" spans="1:8" ht="15" customHeight="1" x14ac:dyDescent="0.2">
      <c r="A51" s="40" t="s">
        <v>52</v>
      </c>
      <c r="B51" s="139" t="s">
        <v>188</v>
      </c>
      <c r="C51" s="139"/>
      <c r="D51" s="143" t="s">
        <v>187</v>
      </c>
      <c r="E51" s="146">
        <v>1985805</v>
      </c>
      <c r="F51" s="146">
        <v>1657738</v>
      </c>
      <c r="G51" s="145">
        <f>SUM(G52:G62)</f>
        <v>1657738</v>
      </c>
      <c r="H51" s="144">
        <f t="shared" si="1"/>
        <v>1</v>
      </c>
    </row>
    <row r="52" spans="1:8" ht="15" hidden="1" customHeight="1" x14ac:dyDescent="0.25">
      <c r="A52" s="40"/>
      <c r="B52" s="139" t="s">
        <v>186</v>
      </c>
      <c r="C52" s="150" t="s">
        <v>185</v>
      </c>
      <c r="D52" s="102" t="s">
        <v>184</v>
      </c>
      <c r="E52" s="149"/>
      <c r="F52" s="149"/>
      <c r="G52" s="148"/>
      <c r="H52" s="147" t="e">
        <f t="shared" si="1"/>
        <v>#DIV/0!</v>
      </c>
    </row>
    <row r="53" spans="1:8" ht="15" customHeight="1" x14ac:dyDescent="0.25">
      <c r="A53" s="40"/>
      <c r="B53" s="139" t="s">
        <v>183</v>
      </c>
      <c r="C53" s="150" t="s">
        <v>182</v>
      </c>
      <c r="D53" s="102" t="s">
        <v>181</v>
      </c>
      <c r="E53" s="149">
        <v>207686</v>
      </c>
      <c r="F53" s="149">
        <v>220735</v>
      </c>
      <c r="G53" s="148">
        <f>SUM('[2]1002.Igazgatási osztály'!S17+'[2]1002.Igazgatási osztály'!S19+'[2]1002.Igazgatási osztály'!S20+'[2]1005. ISMO'!O91+'[2]1023.Vagyongazd.O.'!M26+'[2]1023.Vagyongazd.O.'!M27+76006+'[2]1027 Kulturáért felelős Kabinet'!O57)</f>
        <v>220735</v>
      </c>
      <c r="H53" s="147">
        <f t="shared" si="1"/>
        <v>1</v>
      </c>
    </row>
    <row r="54" spans="1:8" ht="15" customHeight="1" x14ac:dyDescent="0.25">
      <c r="A54" s="40"/>
      <c r="B54" s="139" t="s">
        <v>180</v>
      </c>
      <c r="C54" s="150" t="s">
        <v>179</v>
      </c>
      <c r="D54" s="102" t="s">
        <v>178</v>
      </c>
      <c r="E54" s="149">
        <v>110423</v>
      </c>
      <c r="F54" s="149">
        <v>65334</v>
      </c>
      <c r="G54" s="148">
        <f>+'[2]1005. ISMO'!O87+'[2]1004.Gondnokság'!T30+'[2]1009 Pénzügy'!M34+'[2]1009 Pénzügy'!M33+'[2]1009 Pénzügy'!Q34+'[2]1011.Városüzemelt.O'!M158+'[2]1007.Szociális Főo.'!M34+'[2]1011.Városüzemelt.O'!M159+37153</f>
        <v>65334</v>
      </c>
      <c r="H54" s="147">
        <f t="shared" si="1"/>
        <v>1</v>
      </c>
    </row>
    <row r="55" spans="1:8" ht="15" customHeight="1" x14ac:dyDescent="0.25">
      <c r="A55" s="40"/>
      <c r="B55" s="139" t="s">
        <v>177</v>
      </c>
      <c r="C55" s="150" t="s">
        <v>176</v>
      </c>
      <c r="D55" s="102" t="s">
        <v>175</v>
      </c>
      <c r="E55" s="149">
        <v>12000</v>
      </c>
      <c r="F55" s="149">
        <v>12000</v>
      </c>
      <c r="G55" s="148">
        <f>+'[2]1009 Pénzügy'!O38</f>
        <v>12000</v>
      </c>
      <c r="H55" s="147">
        <f t="shared" si="1"/>
        <v>1</v>
      </c>
    </row>
    <row r="56" spans="1:8" ht="15" customHeight="1" x14ac:dyDescent="0.25">
      <c r="A56" s="40"/>
      <c r="B56" s="139" t="s">
        <v>174</v>
      </c>
      <c r="C56" s="150" t="s">
        <v>173</v>
      </c>
      <c r="D56" s="102" t="s">
        <v>172</v>
      </c>
      <c r="E56" s="149">
        <v>675297</v>
      </c>
      <c r="F56" s="149">
        <v>651989</v>
      </c>
      <c r="G56" s="148">
        <v>651989</v>
      </c>
      <c r="H56" s="147">
        <f t="shared" si="1"/>
        <v>1</v>
      </c>
    </row>
    <row r="57" spans="1:8" ht="15" customHeight="1" x14ac:dyDescent="0.25">
      <c r="A57" s="40"/>
      <c r="B57" s="139" t="s">
        <v>171</v>
      </c>
      <c r="C57" s="150" t="s">
        <v>170</v>
      </c>
      <c r="D57" s="102" t="s">
        <v>169</v>
      </c>
      <c r="E57" s="149">
        <v>233069</v>
      </c>
      <c r="F57" s="149">
        <v>383680</v>
      </c>
      <c r="G57" s="148">
        <f>+'[2]1017 Népjóléti Kabinet'!N50+'[2]1021.Anyakönyv'!R20+'[2]1023.Vagyongazd.O.'!N26+'[2]1023.Vagyongazd.O.'!N27+'[2]1009 Pénzügy'!N34+'[2]1009 Pénzügy'!N33+'[2]1009 Pénzügy'!R34+'[2]1011.Városüzemelt.O'!N158+'[2]1004.Gondnokság'!U30+'[2]1007.Szociális Főo.'!N34+'[2]1011.Városüzemelt.O'!N159+345831</f>
        <v>383680</v>
      </c>
      <c r="H57" s="147">
        <f t="shared" si="1"/>
        <v>1</v>
      </c>
    </row>
    <row r="58" spans="1:8" ht="15" customHeight="1" x14ac:dyDescent="0.25">
      <c r="A58" s="40"/>
      <c r="B58" s="139" t="s">
        <v>168</v>
      </c>
      <c r="C58" s="150" t="s">
        <v>167</v>
      </c>
      <c r="D58" s="102" t="s">
        <v>166</v>
      </c>
      <c r="E58" s="149">
        <v>425044</v>
      </c>
      <c r="F58" s="149">
        <v>30000</v>
      </c>
      <c r="G58" s="148">
        <f>'[2]1009 Pénzügy'!O31</f>
        <v>30000</v>
      </c>
      <c r="H58" s="147">
        <f t="shared" si="1"/>
        <v>1</v>
      </c>
    </row>
    <row r="59" spans="1:8" ht="15" customHeight="1" x14ac:dyDescent="0.25">
      <c r="A59" s="40"/>
      <c r="B59" s="139" t="s">
        <v>165</v>
      </c>
      <c r="C59" s="150" t="s">
        <v>164</v>
      </c>
      <c r="D59" s="102" t="s">
        <v>163</v>
      </c>
      <c r="E59" s="149">
        <v>302286</v>
      </c>
      <c r="F59" s="149">
        <v>283000</v>
      </c>
      <c r="G59" s="148">
        <f>+'[2]1009 Pénzügy'!O36</f>
        <v>283000</v>
      </c>
      <c r="H59" s="147">
        <f t="shared" si="1"/>
        <v>1</v>
      </c>
    </row>
    <row r="60" spans="1:8" ht="15" hidden="1" customHeight="1" x14ac:dyDescent="0.25">
      <c r="A60" s="40"/>
      <c r="B60" s="139" t="s">
        <v>162</v>
      </c>
      <c r="C60" s="150" t="s">
        <v>161</v>
      </c>
      <c r="D60" s="102" t="s">
        <v>160</v>
      </c>
      <c r="E60" s="149"/>
      <c r="F60" s="149"/>
      <c r="G60" s="148"/>
      <c r="H60" s="147" t="e">
        <f t="shared" si="1"/>
        <v>#DIV/0!</v>
      </c>
    </row>
    <row r="61" spans="1:8" ht="15" hidden="1" customHeight="1" x14ac:dyDescent="0.25">
      <c r="A61" s="40"/>
      <c r="B61" s="139" t="s">
        <v>159</v>
      </c>
      <c r="C61" s="150" t="s">
        <v>158</v>
      </c>
      <c r="D61" s="102" t="s">
        <v>157</v>
      </c>
      <c r="E61" s="149">
        <v>0</v>
      </c>
      <c r="F61" s="149">
        <v>0</v>
      </c>
      <c r="G61" s="148">
        <v>0</v>
      </c>
      <c r="H61" s="147" t="e">
        <f t="shared" si="1"/>
        <v>#DIV/0!</v>
      </c>
    </row>
    <row r="62" spans="1:8" ht="15" customHeight="1" x14ac:dyDescent="0.25">
      <c r="A62" s="40"/>
      <c r="B62" s="139" t="s">
        <v>156</v>
      </c>
      <c r="C62" s="150" t="s">
        <v>155</v>
      </c>
      <c r="D62" s="102" t="s">
        <v>154</v>
      </c>
      <c r="E62" s="149">
        <v>20000</v>
      </c>
      <c r="F62" s="149">
        <v>11000</v>
      </c>
      <c r="G62" s="148">
        <f>'[2]1002.Igazgatási osztály'!O21+'[2]1015.Jegyzői Titk.'!O38</f>
        <v>11000</v>
      </c>
      <c r="H62" s="147">
        <f t="shared" si="1"/>
        <v>1</v>
      </c>
    </row>
    <row r="63" spans="1:8" ht="15" customHeight="1" x14ac:dyDescent="0.2">
      <c r="A63" s="40" t="s">
        <v>49</v>
      </c>
      <c r="B63" s="139" t="s">
        <v>153</v>
      </c>
      <c r="C63" s="139"/>
      <c r="D63" s="143" t="s">
        <v>152</v>
      </c>
      <c r="E63" s="146">
        <v>2760</v>
      </c>
      <c r="F63" s="146">
        <v>1801000</v>
      </c>
      <c r="G63" s="145">
        <f>+'[2]1026 Közbiztonságért felelős Ka'!O42+'[2]1020.Rendészet'!O28</f>
        <v>1801000</v>
      </c>
      <c r="H63" s="144">
        <f t="shared" si="1"/>
        <v>1</v>
      </c>
    </row>
    <row r="64" spans="1:8" ht="15" hidden="1" customHeight="1" x14ac:dyDescent="0.2">
      <c r="A64" s="40"/>
      <c r="B64" s="139"/>
      <c r="C64" s="139"/>
      <c r="D64" s="102" t="s">
        <v>151</v>
      </c>
      <c r="E64" s="101"/>
      <c r="F64" s="101"/>
      <c r="G64" s="100"/>
      <c r="H64" s="99" t="e">
        <f t="shared" si="1"/>
        <v>#DIV/0!</v>
      </c>
    </row>
    <row r="65" spans="1:8" ht="15" hidden="1" customHeight="1" x14ac:dyDescent="0.2">
      <c r="A65" s="40"/>
      <c r="B65" s="139" t="s">
        <v>150</v>
      </c>
      <c r="C65" s="139" t="s">
        <v>149</v>
      </c>
      <c r="D65" s="102" t="s">
        <v>148</v>
      </c>
      <c r="E65" s="101">
        <v>0</v>
      </c>
      <c r="F65" s="101"/>
      <c r="G65" s="100"/>
      <c r="H65" s="99" t="e">
        <f t="shared" si="1"/>
        <v>#DIV/0!</v>
      </c>
    </row>
    <row r="66" spans="1:8" ht="15" hidden="1" customHeight="1" x14ac:dyDescent="0.2">
      <c r="A66" s="40"/>
      <c r="B66" s="139" t="s">
        <v>147</v>
      </c>
      <c r="C66" s="139" t="s">
        <v>146</v>
      </c>
      <c r="D66" s="102" t="s">
        <v>145</v>
      </c>
      <c r="E66" s="101">
        <v>0</v>
      </c>
      <c r="F66" s="101">
        <v>0</v>
      </c>
      <c r="G66" s="100">
        <v>0</v>
      </c>
      <c r="H66" s="99" t="e">
        <f t="shared" si="1"/>
        <v>#DIV/0!</v>
      </c>
    </row>
    <row r="67" spans="1:8" ht="15" hidden="1" customHeight="1" x14ac:dyDescent="0.2">
      <c r="A67" s="40"/>
      <c r="B67" s="139" t="s">
        <v>144</v>
      </c>
      <c r="C67" s="139" t="s">
        <v>143</v>
      </c>
      <c r="D67" s="102" t="s">
        <v>142</v>
      </c>
      <c r="E67" s="101">
        <v>0</v>
      </c>
      <c r="F67" s="101">
        <v>0</v>
      </c>
      <c r="G67" s="100">
        <v>0</v>
      </c>
      <c r="H67" s="99" t="e">
        <f t="shared" si="1"/>
        <v>#DIV/0!</v>
      </c>
    </row>
    <row r="68" spans="1:8" ht="15" hidden="1" customHeight="1" x14ac:dyDescent="0.2">
      <c r="A68" s="40"/>
      <c r="B68" s="139" t="s">
        <v>141</v>
      </c>
      <c r="C68" s="139" t="s">
        <v>140</v>
      </c>
      <c r="D68" s="102" t="s">
        <v>139</v>
      </c>
      <c r="E68" s="101">
        <v>0</v>
      </c>
      <c r="F68" s="101">
        <v>0</v>
      </c>
      <c r="G68" s="100">
        <v>0</v>
      </c>
      <c r="H68" s="99" t="e">
        <f t="shared" si="1"/>
        <v>#DIV/0!</v>
      </c>
    </row>
    <row r="69" spans="1:8" ht="15" customHeight="1" x14ac:dyDescent="0.2">
      <c r="A69" s="40" t="s">
        <v>37</v>
      </c>
      <c r="B69" s="139" t="s">
        <v>138</v>
      </c>
      <c r="C69" s="139"/>
      <c r="D69" s="143" t="s">
        <v>137</v>
      </c>
      <c r="E69" s="142">
        <v>1000</v>
      </c>
      <c r="F69" s="142">
        <v>130000</v>
      </c>
      <c r="G69" s="141">
        <f>SUM(G70:G72)</f>
        <v>130000</v>
      </c>
      <c r="H69" s="140">
        <f t="shared" si="1"/>
        <v>1</v>
      </c>
    </row>
    <row r="70" spans="1:8" ht="15" hidden="1" customHeight="1" x14ac:dyDescent="0.2">
      <c r="A70" s="40"/>
      <c r="B70" s="139"/>
      <c r="C70" s="139"/>
      <c r="D70" s="102" t="s">
        <v>136</v>
      </c>
      <c r="E70" s="101"/>
      <c r="F70" s="101"/>
      <c r="G70" s="100"/>
      <c r="H70" s="99" t="e">
        <f t="shared" si="1"/>
        <v>#DIV/0!</v>
      </c>
    </row>
    <row r="71" spans="1:8" ht="15" hidden="1" customHeight="1" x14ac:dyDescent="0.2">
      <c r="A71" s="40"/>
      <c r="B71" s="139"/>
      <c r="C71" s="139"/>
      <c r="D71" s="102" t="s">
        <v>135</v>
      </c>
      <c r="E71" s="101"/>
      <c r="F71" s="101"/>
      <c r="G71" s="100"/>
      <c r="H71" s="99" t="e">
        <f t="shared" si="1"/>
        <v>#DIV/0!</v>
      </c>
    </row>
    <row r="72" spans="1:8" ht="15" customHeight="1" x14ac:dyDescent="0.2">
      <c r="A72" s="40"/>
      <c r="B72" s="139" t="s">
        <v>134</v>
      </c>
      <c r="C72" s="139" t="s">
        <v>133</v>
      </c>
      <c r="D72" s="102" t="s">
        <v>132</v>
      </c>
      <c r="E72" s="101">
        <v>1000</v>
      </c>
      <c r="F72" s="101">
        <v>130000</v>
      </c>
      <c r="G72" s="100">
        <f>SUM([2]ÖK.ÖSSZESÍTŐ!W70)</f>
        <v>130000</v>
      </c>
      <c r="H72" s="99">
        <f t="shared" si="1"/>
        <v>1</v>
      </c>
    </row>
    <row r="73" spans="1:8" ht="15" customHeight="1" x14ac:dyDescent="0.2">
      <c r="A73" s="40" t="s">
        <v>34</v>
      </c>
      <c r="B73" s="139" t="s">
        <v>131</v>
      </c>
      <c r="C73" s="139"/>
      <c r="D73" s="143" t="s">
        <v>130</v>
      </c>
      <c r="E73" s="142">
        <v>588000</v>
      </c>
      <c r="F73" s="142">
        <v>244000</v>
      </c>
      <c r="G73" s="141">
        <f>SUM(G74:G76)</f>
        <v>244000</v>
      </c>
      <c r="H73" s="140">
        <f t="shared" ref="H73:H104" si="2">G73/F73</f>
        <v>1</v>
      </c>
    </row>
    <row r="74" spans="1:8" ht="15" hidden="1" customHeight="1" x14ac:dyDescent="0.2">
      <c r="A74" s="40"/>
      <c r="B74" s="139" t="s">
        <v>129</v>
      </c>
      <c r="C74" s="139" t="s">
        <v>128</v>
      </c>
      <c r="D74" s="102" t="s">
        <v>127</v>
      </c>
      <c r="E74" s="101"/>
      <c r="F74" s="101"/>
      <c r="G74" s="100"/>
      <c r="H74" s="99" t="e">
        <f t="shared" si="2"/>
        <v>#DIV/0!</v>
      </c>
    </row>
    <row r="75" spans="1:8" ht="15" customHeight="1" x14ac:dyDescent="0.2">
      <c r="A75" s="40"/>
      <c r="B75" s="139" t="s">
        <v>126</v>
      </c>
      <c r="C75" s="139" t="s">
        <v>125</v>
      </c>
      <c r="D75" s="102" t="s">
        <v>124</v>
      </c>
      <c r="E75" s="101">
        <v>587000</v>
      </c>
      <c r="F75" s="101">
        <v>243000</v>
      </c>
      <c r="G75" s="100">
        <f>SUM('[2]1009 Pénzügy'!O41)+'[2]1027 Kulturáért felelős Kabinet'!O62</f>
        <v>243000</v>
      </c>
      <c r="H75" s="99">
        <f t="shared" si="2"/>
        <v>1</v>
      </c>
    </row>
    <row r="76" spans="1:8" ht="15" customHeight="1" thickBot="1" x14ac:dyDescent="0.25">
      <c r="A76" s="34"/>
      <c r="B76" s="138" t="s">
        <v>123</v>
      </c>
      <c r="C76" s="138" t="s">
        <v>122</v>
      </c>
      <c r="D76" s="129" t="s">
        <v>121</v>
      </c>
      <c r="E76" s="128">
        <v>1000</v>
      </c>
      <c r="F76" s="128">
        <v>1000</v>
      </c>
      <c r="G76" s="127">
        <f>+'[2]1017 Népjóléti Kabinet'!O53</f>
        <v>1000</v>
      </c>
      <c r="H76" s="126">
        <f t="shared" si="2"/>
        <v>1</v>
      </c>
    </row>
    <row r="77" spans="1:8" ht="15" customHeight="1" thickBot="1" x14ac:dyDescent="0.25">
      <c r="A77" s="137" t="s">
        <v>64</v>
      </c>
      <c r="B77" s="136"/>
      <c r="C77" s="136"/>
      <c r="D77" s="52" t="s">
        <v>120</v>
      </c>
      <c r="E77" s="51">
        <v>20323574</v>
      </c>
      <c r="F77" s="51">
        <v>19710561</v>
      </c>
      <c r="G77" s="50">
        <f>+G9+G22+G28+G51+G63+G69+G73</f>
        <v>19710561</v>
      </c>
      <c r="H77" s="49">
        <f t="shared" si="2"/>
        <v>1</v>
      </c>
    </row>
    <row r="78" spans="1:8" ht="15" customHeight="1" thickBot="1" x14ac:dyDescent="0.25">
      <c r="A78" s="137" t="s">
        <v>119</v>
      </c>
      <c r="B78" s="136" t="s">
        <v>118</v>
      </c>
      <c r="C78" s="136"/>
      <c r="D78" s="52" t="s">
        <v>117</v>
      </c>
      <c r="E78" s="135">
        <v>9151831</v>
      </c>
      <c r="F78" s="135">
        <v>5386323</v>
      </c>
      <c r="G78" s="134">
        <f>G82+G87</f>
        <v>5021519</v>
      </c>
      <c r="H78" s="49">
        <f t="shared" si="2"/>
        <v>0.93227216414611602</v>
      </c>
    </row>
    <row r="79" spans="1:8" ht="15" hidden="1" customHeight="1" x14ac:dyDescent="0.2">
      <c r="A79" s="107"/>
      <c r="B79" s="106"/>
      <c r="C79" s="106"/>
      <c r="D79" s="105" t="s">
        <v>116</v>
      </c>
      <c r="E79" s="37"/>
      <c r="F79" s="37"/>
      <c r="G79" s="36"/>
      <c r="H79" s="35" t="e">
        <f t="shared" si="2"/>
        <v>#DIV/0!</v>
      </c>
    </row>
    <row r="80" spans="1:8" ht="15" hidden="1" customHeight="1" x14ac:dyDescent="0.2">
      <c r="A80" s="104"/>
      <c r="B80" s="103"/>
      <c r="C80" s="103"/>
      <c r="D80" s="102" t="s">
        <v>115</v>
      </c>
      <c r="E80" s="101"/>
      <c r="F80" s="101"/>
      <c r="G80" s="100"/>
      <c r="H80" s="99" t="e">
        <f t="shared" si="2"/>
        <v>#DIV/0!</v>
      </c>
    </row>
    <row r="81" spans="1:8" ht="15" hidden="1" customHeight="1" x14ac:dyDescent="0.2">
      <c r="A81" s="104"/>
      <c r="B81" s="103"/>
      <c r="C81" s="103"/>
      <c r="D81" s="102" t="s">
        <v>114</v>
      </c>
      <c r="E81" s="101"/>
      <c r="F81" s="101"/>
      <c r="G81" s="100"/>
      <c r="H81" s="99" t="e">
        <f t="shared" si="2"/>
        <v>#DIV/0!</v>
      </c>
    </row>
    <row r="82" spans="1:8" ht="15" customHeight="1" x14ac:dyDescent="0.2">
      <c r="A82" s="40" t="s">
        <v>61</v>
      </c>
      <c r="B82" s="103"/>
      <c r="C82" s="103"/>
      <c r="D82" s="102" t="s">
        <v>113</v>
      </c>
      <c r="E82" s="101">
        <v>5668511</v>
      </c>
      <c r="F82" s="101">
        <v>3221158</v>
      </c>
      <c r="G82" s="100">
        <f>G86</f>
        <v>2856354</v>
      </c>
      <c r="H82" s="99">
        <f t="shared" si="2"/>
        <v>0.88674756097030949</v>
      </c>
    </row>
    <row r="83" spans="1:8" ht="15" hidden="1" customHeight="1" x14ac:dyDescent="0.2">
      <c r="A83" s="104"/>
      <c r="B83" s="103"/>
      <c r="C83" s="103"/>
      <c r="D83" s="102" t="s">
        <v>112</v>
      </c>
      <c r="E83" s="101"/>
      <c r="F83" s="101"/>
      <c r="G83" s="100"/>
      <c r="H83" s="99" t="e">
        <f t="shared" si="2"/>
        <v>#DIV/0!</v>
      </c>
    </row>
    <row r="84" spans="1:8" ht="15" hidden="1" customHeight="1" x14ac:dyDescent="0.2">
      <c r="A84" s="104"/>
      <c r="B84" s="103"/>
      <c r="C84" s="103"/>
      <c r="D84" s="102" t="s">
        <v>111</v>
      </c>
      <c r="E84" s="101"/>
      <c r="F84" s="101"/>
      <c r="G84" s="100"/>
      <c r="H84" s="99" t="e">
        <f t="shared" si="2"/>
        <v>#DIV/0!</v>
      </c>
    </row>
    <row r="85" spans="1:8" ht="15" hidden="1" customHeight="1" x14ac:dyDescent="0.2">
      <c r="A85" s="104"/>
      <c r="B85" s="103"/>
      <c r="C85" s="103"/>
      <c r="D85" s="102" t="s">
        <v>110</v>
      </c>
      <c r="E85" s="101"/>
      <c r="F85" s="101"/>
      <c r="G85" s="100"/>
      <c r="H85" s="99" t="e">
        <f t="shared" si="2"/>
        <v>#DIV/0!</v>
      </c>
    </row>
    <row r="86" spans="1:8" ht="24.6" customHeight="1" x14ac:dyDescent="0.2">
      <c r="A86" s="104"/>
      <c r="B86" s="103"/>
      <c r="C86" s="103"/>
      <c r="D86" s="121" t="s">
        <v>109</v>
      </c>
      <c r="E86" s="120">
        <v>2162358</v>
      </c>
      <c r="F86" s="120">
        <v>3221158</v>
      </c>
      <c r="G86" s="119">
        <f>'[2]1016 Gazdaságért felelős Kabine'!O31</f>
        <v>2856354</v>
      </c>
      <c r="H86" s="118">
        <f t="shared" si="2"/>
        <v>0.88674756097030949</v>
      </c>
    </row>
    <row r="87" spans="1:8" ht="15" customHeight="1" x14ac:dyDescent="0.2">
      <c r="A87" s="40" t="s">
        <v>58</v>
      </c>
      <c r="B87" s="103" t="s">
        <v>108</v>
      </c>
      <c r="C87" s="103" t="s">
        <v>107</v>
      </c>
      <c r="D87" s="102" t="s">
        <v>106</v>
      </c>
      <c r="E87" s="101">
        <v>3483320</v>
      </c>
      <c r="F87" s="101">
        <v>2165165</v>
      </c>
      <c r="G87" s="133">
        <f>SUM(G89:G96)</f>
        <v>2165165</v>
      </c>
      <c r="H87" s="132">
        <f t="shared" si="2"/>
        <v>1</v>
      </c>
    </row>
    <row r="88" spans="1:8" ht="15" hidden="1" customHeight="1" x14ac:dyDescent="0.2">
      <c r="A88" s="131"/>
      <c r="B88" s="130"/>
      <c r="C88" s="130"/>
      <c r="D88" s="129" t="s">
        <v>105</v>
      </c>
      <c r="E88" s="128"/>
      <c r="F88" s="128"/>
      <c r="G88" s="127"/>
      <c r="H88" s="126" t="e">
        <f t="shared" si="2"/>
        <v>#DIV/0!</v>
      </c>
    </row>
    <row r="89" spans="1:8" ht="15" customHeight="1" x14ac:dyDescent="0.2">
      <c r="A89" s="104"/>
      <c r="B89" s="103"/>
      <c r="C89" s="103"/>
      <c r="D89" s="121" t="s">
        <v>104</v>
      </c>
      <c r="E89" s="120">
        <v>1783320</v>
      </c>
      <c r="F89" s="120">
        <v>1410240</v>
      </c>
      <c r="G89" s="119">
        <f>SUM('[2]1022.Költségv.O.'!O32)</f>
        <v>1410240</v>
      </c>
      <c r="H89" s="118">
        <f t="shared" si="2"/>
        <v>1</v>
      </c>
    </row>
    <row r="90" spans="1:8" ht="15" hidden="1" customHeight="1" x14ac:dyDescent="0.2">
      <c r="A90" s="104"/>
      <c r="B90" s="103"/>
      <c r="C90" s="103"/>
      <c r="D90" s="121" t="s">
        <v>103</v>
      </c>
      <c r="E90" s="120">
        <v>1700000</v>
      </c>
      <c r="F90" s="120">
        <v>0</v>
      </c>
      <c r="G90" s="119">
        <f>SUM('[2]1022.Költségv.O.'!O33)</f>
        <v>0</v>
      </c>
      <c r="H90" s="118" t="e">
        <f t="shared" si="2"/>
        <v>#DIV/0!</v>
      </c>
    </row>
    <row r="91" spans="1:8" ht="15" customHeight="1" x14ac:dyDescent="0.2">
      <c r="A91" s="104"/>
      <c r="B91" s="103"/>
      <c r="C91" s="103"/>
      <c r="D91" s="121" t="s">
        <v>102</v>
      </c>
      <c r="E91" s="120">
        <v>0</v>
      </c>
      <c r="F91" s="120">
        <v>430000</v>
      </c>
      <c r="G91" s="119">
        <f>SUM('[2]1022.Költségv.O.'!O34)</f>
        <v>430000</v>
      </c>
      <c r="H91" s="118">
        <f t="shared" si="2"/>
        <v>1</v>
      </c>
    </row>
    <row r="92" spans="1:8" ht="15" customHeight="1" x14ac:dyDescent="0.2">
      <c r="A92" s="104"/>
      <c r="B92" s="103"/>
      <c r="C92" s="103"/>
      <c r="D92" s="121" t="s">
        <v>101</v>
      </c>
      <c r="E92" s="120">
        <v>0</v>
      </c>
      <c r="F92" s="120">
        <v>73000</v>
      </c>
      <c r="G92" s="119">
        <f>SUM('[2]1022.Költségv.O.'!O35)</f>
        <v>73000</v>
      </c>
      <c r="H92" s="118">
        <f t="shared" si="2"/>
        <v>1</v>
      </c>
    </row>
    <row r="93" spans="1:8" ht="15" customHeight="1" x14ac:dyDescent="0.2">
      <c r="A93" s="104"/>
      <c r="B93" s="103"/>
      <c r="C93" s="103"/>
      <c r="D93" s="121" t="s">
        <v>100</v>
      </c>
      <c r="E93" s="120">
        <v>0</v>
      </c>
      <c r="F93" s="120">
        <v>189546</v>
      </c>
      <c r="G93" s="119">
        <f>SUM('[2]1022.Költségv.O.'!O37)</f>
        <v>189546</v>
      </c>
      <c r="H93" s="118">
        <f t="shared" si="2"/>
        <v>1</v>
      </c>
    </row>
    <row r="94" spans="1:8" ht="27.6" customHeight="1" x14ac:dyDescent="0.2">
      <c r="A94" s="104"/>
      <c r="B94" s="125"/>
      <c r="C94" s="125"/>
      <c r="D94" s="121" t="s">
        <v>99</v>
      </c>
      <c r="E94" s="124">
        <v>0</v>
      </c>
      <c r="F94" s="124">
        <v>35716</v>
      </c>
      <c r="G94" s="123">
        <f>SUM('[2]1022.Költségv.O.'!O38)</f>
        <v>35716</v>
      </c>
      <c r="H94" s="122">
        <f t="shared" si="2"/>
        <v>1</v>
      </c>
    </row>
    <row r="95" spans="1:8" ht="15" customHeight="1" x14ac:dyDescent="0.2">
      <c r="A95" s="104"/>
      <c r="B95" s="103"/>
      <c r="C95" s="103"/>
      <c r="D95" s="121" t="s">
        <v>98</v>
      </c>
      <c r="E95" s="120">
        <v>0</v>
      </c>
      <c r="F95" s="120">
        <v>26213</v>
      </c>
      <c r="G95" s="119">
        <f>SUM('[2]1022.Költségv.O.'!O39)</f>
        <v>26213</v>
      </c>
      <c r="H95" s="118">
        <f t="shared" si="2"/>
        <v>1</v>
      </c>
    </row>
    <row r="96" spans="1:8" ht="27" customHeight="1" thickBot="1" x14ac:dyDescent="0.25">
      <c r="A96" s="117"/>
      <c r="B96" s="116"/>
      <c r="C96" s="116"/>
      <c r="D96" s="115" t="s">
        <v>97</v>
      </c>
      <c r="E96" s="114">
        <v>0</v>
      </c>
      <c r="F96" s="114">
        <v>450</v>
      </c>
      <c r="G96" s="113">
        <f>SUM('[2]1022.Költségv.O.'!O40)</f>
        <v>450</v>
      </c>
      <c r="H96" s="112">
        <f t="shared" si="2"/>
        <v>1</v>
      </c>
    </row>
    <row r="97" spans="1:9" s="21" customFormat="1" ht="30.6" customHeight="1" thickBot="1" x14ac:dyDescent="0.3">
      <c r="A97" s="28" t="s">
        <v>96</v>
      </c>
      <c r="B97" s="111"/>
      <c r="C97" s="111"/>
      <c r="D97" s="26" t="s">
        <v>95</v>
      </c>
      <c r="E97" s="110">
        <v>29475405</v>
      </c>
      <c r="F97" s="110">
        <v>25096884</v>
      </c>
      <c r="G97" s="109">
        <f>G77+G78</f>
        <v>24732080</v>
      </c>
      <c r="H97" s="108">
        <f t="shared" si="2"/>
        <v>0.98546417156807198</v>
      </c>
      <c r="I97" s="22"/>
    </row>
    <row r="98" spans="1:9" ht="15" hidden="1" customHeight="1" x14ac:dyDescent="0.2">
      <c r="A98" s="107"/>
      <c r="B98" s="106"/>
      <c r="C98" s="106"/>
      <c r="D98" s="105"/>
      <c r="E98" s="37"/>
      <c r="F98" s="37"/>
      <c r="G98" s="36"/>
      <c r="H98" s="35" t="e">
        <f t="shared" si="2"/>
        <v>#DIV/0!</v>
      </c>
    </row>
    <row r="99" spans="1:9" ht="15" hidden="1" customHeight="1" x14ac:dyDescent="0.2">
      <c r="A99" s="104"/>
      <c r="B99" s="103"/>
      <c r="C99" s="103"/>
      <c r="D99" s="102"/>
      <c r="E99" s="101"/>
      <c r="F99" s="101"/>
      <c r="G99" s="100"/>
      <c r="H99" s="99" t="e">
        <f t="shared" si="2"/>
        <v>#DIV/0!</v>
      </c>
    </row>
    <row r="100" spans="1:9" s="73" customFormat="1" ht="15" hidden="1" customHeight="1" x14ac:dyDescent="0.2">
      <c r="A100" s="79" t="s">
        <v>55</v>
      </c>
      <c r="B100" s="78"/>
      <c r="C100" s="78"/>
      <c r="D100" s="77" t="s">
        <v>94</v>
      </c>
      <c r="E100" s="89" t="e">
        <v>#REF!</v>
      </c>
      <c r="F100" s="89" t="e">
        <v>#REF!</v>
      </c>
      <c r="G100" s="88" t="e">
        <f>SUM(G101:G103)</f>
        <v>#REF!</v>
      </c>
      <c r="H100" s="87" t="e">
        <f t="shared" si="2"/>
        <v>#REF!</v>
      </c>
    </row>
    <row r="101" spans="1:9" s="4" customFormat="1" ht="15" hidden="1" customHeight="1" x14ac:dyDescent="0.2">
      <c r="A101" s="85" t="s">
        <v>72</v>
      </c>
      <c r="B101" s="84"/>
      <c r="C101" s="84"/>
      <c r="D101" s="86" t="s">
        <v>93</v>
      </c>
      <c r="E101" s="82" t="e">
        <v>#REF!</v>
      </c>
      <c r="F101" s="82" t="e">
        <v>#REF!</v>
      </c>
      <c r="G101" s="81" t="e">
        <f>SUM([2]ÖK.ÖSSZESÍTŐ!#REF!)</f>
        <v>#REF!</v>
      </c>
      <c r="H101" s="80" t="e">
        <f t="shared" si="2"/>
        <v>#REF!</v>
      </c>
    </row>
    <row r="102" spans="1:9" s="4" customFormat="1" ht="15" hidden="1" customHeight="1" x14ac:dyDescent="0.2">
      <c r="A102" s="85" t="s">
        <v>70</v>
      </c>
      <c r="B102" s="84"/>
      <c r="C102" s="84"/>
      <c r="D102" s="86" t="s">
        <v>92</v>
      </c>
      <c r="E102" s="82" t="e">
        <v>#REF!</v>
      </c>
      <c r="F102" s="82" t="e">
        <v>#REF!</v>
      </c>
      <c r="G102" s="81" t="e">
        <f>SUM([2]ÖK.ÖSSZESÍTŐ!#REF!)</f>
        <v>#REF!</v>
      </c>
      <c r="H102" s="80" t="e">
        <f t="shared" si="2"/>
        <v>#REF!</v>
      </c>
    </row>
    <row r="103" spans="1:9" s="4" customFormat="1" ht="15" hidden="1" customHeight="1" x14ac:dyDescent="0.2">
      <c r="A103" s="85" t="s">
        <v>91</v>
      </c>
      <c r="B103" s="84"/>
      <c r="C103" s="84"/>
      <c r="D103" s="86" t="s">
        <v>90</v>
      </c>
      <c r="E103" s="82" t="e">
        <v>#REF!</v>
      </c>
      <c r="F103" s="82" t="e">
        <v>#REF!</v>
      </c>
      <c r="G103" s="81" t="e">
        <f>SUM([2]ÖK.ÖSSZESÍTŐ!#REF!)</f>
        <v>#REF!</v>
      </c>
      <c r="H103" s="80" t="e">
        <f t="shared" si="2"/>
        <v>#REF!</v>
      </c>
    </row>
    <row r="104" spans="1:9" s="73" customFormat="1" ht="15" hidden="1" customHeight="1" x14ac:dyDescent="0.2">
      <c r="A104" s="79" t="s">
        <v>52</v>
      </c>
      <c r="B104" s="78"/>
      <c r="C104" s="78"/>
      <c r="D104" s="77" t="s">
        <v>89</v>
      </c>
      <c r="E104" s="89" t="e">
        <v>#REF!</v>
      </c>
      <c r="F104" s="89" t="e">
        <v>#REF!</v>
      </c>
      <c r="G104" s="88" t="e">
        <f>SUM(G105:G108)</f>
        <v>#REF!</v>
      </c>
      <c r="H104" s="87" t="e">
        <f t="shared" si="2"/>
        <v>#REF!</v>
      </c>
    </row>
    <row r="105" spans="1:9" s="4" customFormat="1" ht="15" hidden="1" customHeight="1" x14ac:dyDescent="0.2">
      <c r="A105" s="85" t="s">
        <v>88</v>
      </c>
      <c r="B105" s="84"/>
      <c r="C105" s="84"/>
      <c r="D105" s="86" t="s">
        <v>87</v>
      </c>
      <c r="E105" s="82" t="e">
        <v>#REF!</v>
      </c>
      <c r="F105" s="82" t="e">
        <v>#REF!</v>
      </c>
      <c r="G105" s="81" t="e">
        <f>SUM([2]ÖK.ÖSSZESÍTŐ!#REF!-[2]ÖK.ÖSSZESÍTŐ!#REF!)</f>
        <v>#REF!</v>
      </c>
      <c r="H105" s="80" t="e">
        <f t="shared" ref="H105:H122" si="3">G105/F105</f>
        <v>#REF!</v>
      </c>
    </row>
    <row r="106" spans="1:9" s="4" customFormat="1" ht="15" hidden="1" customHeight="1" x14ac:dyDescent="0.2">
      <c r="A106" s="85" t="s">
        <v>86</v>
      </c>
      <c r="B106" s="84"/>
      <c r="C106" s="84"/>
      <c r="D106" s="86" t="s">
        <v>82</v>
      </c>
      <c r="E106" s="82" t="e">
        <v>#REF!</v>
      </c>
      <c r="F106" s="82" t="e">
        <v>#REF!</v>
      </c>
      <c r="G106" s="81" t="e">
        <f>SUM([2]ÖK.ÖSSZESÍTŐ!#REF!)</f>
        <v>#REF!</v>
      </c>
      <c r="H106" s="80" t="e">
        <f t="shared" si="3"/>
        <v>#REF!</v>
      </c>
    </row>
    <row r="107" spans="1:9" s="4" customFormat="1" ht="15" hidden="1" customHeight="1" x14ac:dyDescent="0.2">
      <c r="A107" s="85" t="s">
        <v>85</v>
      </c>
      <c r="B107" s="84"/>
      <c r="C107" s="84"/>
      <c r="D107" s="86" t="s">
        <v>84</v>
      </c>
      <c r="E107" s="82">
        <v>1078733</v>
      </c>
      <c r="F107" s="82">
        <v>373957</v>
      </c>
      <c r="G107" s="81">
        <f>SUM([2]ÖK.ÖSSZESÍTŐ!Y70)</f>
        <v>373957</v>
      </c>
      <c r="H107" s="80">
        <f t="shared" si="3"/>
        <v>1</v>
      </c>
    </row>
    <row r="108" spans="1:9" s="4" customFormat="1" ht="15" hidden="1" customHeight="1" x14ac:dyDescent="0.2">
      <c r="A108" s="85" t="s">
        <v>83</v>
      </c>
      <c r="B108" s="84"/>
      <c r="C108" s="84"/>
      <c r="D108" s="86" t="s">
        <v>82</v>
      </c>
      <c r="E108" s="82"/>
      <c r="F108" s="82"/>
      <c r="G108" s="81"/>
      <c r="H108" s="80" t="e">
        <f t="shared" si="3"/>
        <v>#DIV/0!</v>
      </c>
    </row>
    <row r="109" spans="1:9" s="73" customFormat="1" ht="15" hidden="1" customHeight="1" x14ac:dyDescent="0.2">
      <c r="A109" s="79" t="s">
        <v>49</v>
      </c>
      <c r="B109" s="78"/>
      <c r="C109" s="78"/>
      <c r="D109" s="77" t="s">
        <v>81</v>
      </c>
      <c r="E109" s="89" t="e">
        <v>#REF!</v>
      </c>
      <c r="F109" s="89" t="e">
        <v>#REF!</v>
      </c>
      <c r="G109" s="88" t="e">
        <f>SUM(G110:G111)</f>
        <v>#REF!</v>
      </c>
      <c r="H109" s="87" t="e">
        <f t="shared" si="3"/>
        <v>#REF!</v>
      </c>
    </row>
    <row r="110" spans="1:9" s="4" customFormat="1" ht="15" hidden="1" customHeight="1" x14ac:dyDescent="0.2">
      <c r="A110" s="85" t="s">
        <v>72</v>
      </c>
      <c r="B110" s="84"/>
      <c r="C110" s="84"/>
      <c r="D110" s="86" t="s">
        <v>80</v>
      </c>
      <c r="E110" s="82" t="e">
        <v>#REF!</v>
      </c>
      <c r="F110" s="82" t="e">
        <v>#REF!</v>
      </c>
      <c r="G110" s="81" t="e">
        <f>SUM([2]ÖK.ÖSSZESÍTŐ!#REF!)</f>
        <v>#REF!</v>
      </c>
      <c r="H110" s="80" t="e">
        <f t="shared" si="3"/>
        <v>#REF!</v>
      </c>
    </row>
    <row r="111" spans="1:9" s="4" customFormat="1" ht="15" hidden="1" customHeight="1" x14ac:dyDescent="0.2">
      <c r="A111" s="85" t="s">
        <v>70</v>
      </c>
      <c r="B111" s="84"/>
      <c r="C111" s="84"/>
      <c r="D111" s="86" t="s">
        <v>79</v>
      </c>
      <c r="E111" s="82">
        <v>2760</v>
      </c>
      <c r="F111" s="82">
        <v>1801000</v>
      </c>
      <c r="G111" s="81">
        <f>SUM([2]ÖK.ÖSSZESÍTŐ!Z70)</f>
        <v>1801000</v>
      </c>
      <c r="H111" s="80">
        <f t="shared" si="3"/>
        <v>1</v>
      </c>
    </row>
    <row r="112" spans="1:9" s="73" customFormat="1" ht="15" hidden="1" customHeight="1" x14ac:dyDescent="0.2">
      <c r="A112" s="98" t="s">
        <v>37</v>
      </c>
      <c r="B112" s="97"/>
      <c r="C112" s="97"/>
      <c r="D112" s="96" t="s">
        <v>78</v>
      </c>
      <c r="E112" s="95">
        <v>9151831</v>
      </c>
      <c r="F112" s="95">
        <v>5386323</v>
      </c>
      <c r="G112" s="94">
        <f>SUM([2]ÖK.ÖSSZESÍTŐ!AB70)</f>
        <v>5021519</v>
      </c>
      <c r="H112" s="93">
        <f t="shared" si="3"/>
        <v>0.93227216414611602</v>
      </c>
    </row>
    <row r="113" spans="1:8" s="73" customFormat="1" ht="15" hidden="1" customHeight="1" x14ac:dyDescent="0.2">
      <c r="A113" s="79" t="s">
        <v>34</v>
      </c>
      <c r="B113" s="78"/>
      <c r="C113" s="78"/>
      <c r="D113" s="92" t="s">
        <v>77</v>
      </c>
      <c r="E113" s="91">
        <v>0</v>
      </c>
      <c r="F113" s="91">
        <v>0</v>
      </c>
      <c r="G113" s="90">
        <f>SUM(G114:G115)</f>
        <v>0</v>
      </c>
      <c r="H113" s="87" t="e">
        <f t="shared" si="3"/>
        <v>#DIV/0!</v>
      </c>
    </row>
    <row r="114" spans="1:8" s="4" customFormat="1" ht="15" hidden="1" customHeight="1" x14ac:dyDescent="0.2">
      <c r="A114" s="85" t="s">
        <v>72</v>
      </c>
      <c r="B114" s="84"/>
      <c r="C114" s="84"/>
      <c r="D114" s="86" t="s">
        <v>76</v>
      </c>
      <c r="E114" s="82"/>
      <c r="F114" s="82"/>
      <c r="G114" s="81"/>
      <c r="H114" s="80" t="e">
        <f t="shared" si="3"/>
        <v>#DIV/0!</v>
      </c>
    </row>
    <row r="115" spans="1:8" s="4" customFormat="1" ht="15" hidden="1" customHeight="1" x14ac:dyDescent="0.2">
      <c r="A115" s="85" t="s">
        <v>70</v>
      </c>
      <c r="B115" s="84"/>
      <c r="C115" s="84"/>
      <c r="D115" s="86" t="s">
        <v>75</v>
      </c>
      <c r="E115" s="82"/>
      <c r="F115" s="82"/>
      <c r="G115" s="81"/>
      <c r="H115" s="80" t="e">
        <f t="shared" si="3"/>
        <v>#DIV/0!</v>
      </c>
    </row>
    <row r="116" spans="1:8" s="73" customFormat="1" ht="15" hidden="1" customHeight="1" x14ac:dyDescent="0.2">
      <c r="A116" s="79"/>
      <c r="B116" s="78"/>
      <c r="C116" s="78"/>
      <c r="D116" s="77" t="s">
        <v>74</v>
      </c>
      <c r="E116" s="91" t="e">
        <v>#REF!</v>
      </c>
      <c r="F116" s="91" t="e">
        <v>#REF!</v>
      </c>
      <c r="G116" s="90" t="e">
        <f>+G113+G112+G109+G104+G100+G9+#REF!+#REF!+#REF!</f>
        <v>#REF!</v>
      </c>
      <c r="H116" s="87" t="e">
        <f t="shared" si="3"/>
        <v>#REF!</v>
      </c>
    </row>
    <row r="117" spans="1:8" s="73" customFormat="1" ht="15" hidden="1" customHeight="1" x14ac:dyDescent="0.2">
      <c r="A117" s="79" t="s">
        <v>31</v>
      </c>
      <c r="B117" s="78"/>
      <c r="C117" s="78"/>
      <c r="D117" s="77" t="s">
        <v>73</v>
      </c>
      <c r="E117" s="89"/>
      <c r="F117" s="89"/>
      <c r="G117" s="88"/>
      <c r="H117" s="87" t="e">
        <f t="shared" si="3"/>
        <v>#DIV/0!</v>
      </c>
    </row>
    <row r="118" spans="1:8" s="4" customFormat="1" ht="15" hidden="1" customHeight="1" x14ac:dyDescent="0.2">
      <c r="A118" s="85" t="s">
        <v>72</v>
      </c>
      <c r="B118" s="84"/>
      <c r="C118" s="84"/>
      <c r="D118" s="86" t="s">
        <v>71</v>
      </c>
      <c r="E118" s="82"/>
      <c r="F118" s="82"/>
      <c r="G118" s="81"/>
      <c r="H118" s="80" t="e">
        <f t="shared" si="3"/>
        <v>#DIV/0!</v>
      </c>
    </row>
    <row r="119" spans="1:8" s="4" customFormat="1" ht="15" hidden="1" customHeight="1" x14ac:dyDescent="0.2">
      <c r="A119" s="85" t="s">
        <v>70</v>
      </c>
      <c r="B119" s="84"/>
      <c r="C119" s="84"/>
      <c r="D119" s="86" t="s">
        <v>69</v>
      </c>
      <c r="E119" s="82"/>
      <c r="F119" s="82"/>
      <c r="G119" s="81"/>
      <c r="H119" s="80" t="e">
        <f t="shared" si="3"/>
        <v>#DIV/0!</v>
      </c>
    </row>
    <row r="120" spans="1:8" s="4" customFormat="1" ht="15" hidden="1" customHeight="1" x14ac:dyDescent="0.2">
      <c r="A120" s="85" t="s">
        <v>68</v>
      </c>
      <c r="B120" s="84"/>
      <c r="C120" s="84"/>
      <c r="D120" s="86" t="s">
        <v>67</v>
      </c>
      <c r="E120" s="82"/>
      <c r="F120" s="82"/>
      <c r="G120" s="81"/>
      <c r="H120" s="80" t="e">
        <f t="shared" si="3"/>
        <v>#DIV/0!</v>
      </c>
    </row>
    <row r="121" spans="1:8" s="4" customFormat="1" ht="15" hidden="1" customHeight="1" x14ac:dyDescent="0.2">
      <c r="A121" s="85" t="s">
        <v>66</v>
      </c>
      <c r="B121" s="84"/>
      <c r="C121" s="84"/>
      <c r="D121" s="83" t="s">
        <v>65</v>
      </c>
      <c r="E121" s="82"/>
      <c r="F121" s="82"/>
      <c r="G121" s="81"/>
      <c r="H121" s="80" t="e">
        <f t="shared" si="3"/>
        <v>#DIV/0!</v>
      </c>
    </row>
    <row r="122" spans="1:8" s="73" customFormat="1" ht="15" hidden="1" customHeight="1" x14ac:dyDescent="0.2">
      <c r="A122" s="79" t="s">
        <v>64</v>
      </c>
      <c r="B122" s="78"/>
      <c r="C122" s="78"/>
      <c r="D122" s="77" t="s">
        <v>63</v>
      </c>
      <c r="E122" s="76" t="e">
        <v>#REF!</v>
      </c>
      <c r="F122" s="76" t="e">
        <v>#REF!</v>
      </c>
      <c r="G122" s="75" t="e">
        <f>SUM(G116,G117)</f>
        <v>#REF!</v>
      </c>
      <c r="H122" s="74" t="e">
        <f t="shared" si="3"/>
        <v>#REF!</v>
      </c>
    </row>
    <row r="123" spans="1:8" s="4" customFormat="1" ht="15" customHeight="1" thickBot="1" x14ac:dyDescent="0.25">
      <c r="A123" s="72"/>
      <c r="B123" s="71"/>
      <c r="C123" s="71"/>
      <c r="D123" s="70"/>
      <c r="E123" s="69"/>
      <c r="F123" s="69"/>
      <c r="G123" s="68"/>
      <c r="H123" s="67"/>
    </row>
    <row r="124" spans="1:8" s="4" customFormat="1" ht="15" customHeight="1" x14ac:dyDescent="0.25">
      <c r="A124" s="66"/>
      <c r="B124" s="65"/>
      <c r="C124" s="65"/>
      <c r="D124" s="64" t="s">
        <v>62</v>
      </c>
      <c r="E124" s="63"/>
      <c r="F124" s="63"/>
      <c r="G124" s="62"/>
      <c r="H124" s="61"/>
    </row>
    <row r="125" spans="1:8" s="21" customFormat="1" ht="15" customHeight="1" x14ac:dyDescent="0.25">
      <c r="A125" s="40" t="s">
        <v>61</v>
      </c>
      <c r="B125" s="39" t="s">
        <v>60</v>
      </c>
      <c r="C125" s="39"/>
      <c r="D125" s="58" t="s">
        <v>59</v>
      </c>
      <c r="E125" s="57">
        <v>5766183</v>
      </c>
      <c r="F125" s="57">
        <v>5884612</v>
      </c>
      <c r="G125" s="56">
        <f>SUM([2]ÖK.ÖSSZESÍTŐ!C70)</f>
        <v>5884612</v>
      </c>
      <c r="H125" s="55">
        <f t="shared" ref="H125:H162" si="4">G125/F125</f>
        <v>1</v>
      </c>
    </row>
    <row r="126" spans="1:8" s="21" customFormat="1" ht="15" customHeight="1" x14ac:dyDescent="0.25">
      <c r="A126" s="40" t="s">
        <v>58</v>
      </c>
      <c r="B126" s="39" t="s">
        <v>57</v>
      </c>
      <c r="C126" s="39"/>
      <c r="D126" s="58" t="s">
        <v>56</v>
      </c>
      <c r="E126" s="57">
        <v>1030703.995</v>
      </c>
      <c r="F126" s="57">
        <v>897732</v>
      </c>
      <c r="G126" s="56">
        <f>SUM([2]ÖK.ÖSSZESÍTŐ!D70)</f>
        <v>897732</v>
      </c>
      <c r="H126" s="55">
        <f t="shared" si="4"/>
        <v>1</v>
      </c>
    </row>
    <row r="127" spans="1:8" s="21" customFormat="1" ht="15" customHeight="1" x14ac:dyDescent="0.25">
      <c r="A127" s="40" t="s">
        <v>55</v>
      </c>
      <c r="B127" s="39" t="s">
        <v>54</v>
      </c>
      <c r="C127" s="39"/>
      <c r="D127" s="58" t="s">
        <v>53</v>
      </c>
      <c r="E127" s="57">
        <v>5640555.4900000002</v>
      </c>
      <c r="F127" s="57">
        <v>5913422.1023622043</v>
      </c>
      <c r="G127" s="56">
        <f>SUM([2]ÖK.ÖSSZESÍTŐ!E70)</f>
        <v>5913422.1023622043</v>
      </c>
      <c r="H127" s="55">
        <f t="shared" si="4"/>
        <v>1</v>
      </c>
    </row>
    <row r="128" spans="1:8" s="21" customFormat="1" ht="15" customHeight="1" x14ac:dyDescent="0.25">
      <c r="A128" s="40" t="s">
        <v>52</v>
      </c>
      <c r="B128" s="39" t="s">
        <v>51</v>
      </c>
      <c r="C128" s="39"/>
      <c r="D128" s="58" t="s">
        <v>50</v>
      </c>
      <c r="E128" s="57">
        <v>308609</v>
      </c>
      <c r="F128" s="57">
        <v>333212</v>
      </c>
      <c r="G128" s="56">
        <f>SUM([2]ÖK.ÖSSZESÍTŐ!F70)</f>
        <v>333212</v>
      </c>
      <c r="H128" s="55">
        <f t="shared" si="4"/>
        <v>1</v>
      </c>
    </row>
    <row r="129" spans="1:8" s="21" customFormat="1" ht="15" customHeight="1" x14ac:dyDescent="0.25">
      <c r="A129" s="40" t="s">
        <v>49</v>
      </c>
      <c r="B129" s="39" t="s">
        <v>48</v>
      </c>
      <c r="C129" s="39"/>
      <c r="D129" s="58" t="s">
        <v>47</v>
      </c>
      <c r="E129" s="57">
        <v>3458281</v>
      </c>
      <c r="F129" s="57">
        <v>3946960</v>
      </c>
      <c r="G129" s="56">
        <f>SUM(G130:G138)</f>
        <v>3946960</v>
      </c>
      <c r="H129" s="55">
        <f t="shared" si="4"/>
        <v>1</v>
      </c>
    </row>
    <row r="130" spans="1:8" ht="15" hidden="1" customHeight="1" x14ac:dyDescent="0.2">
      <c r="A130" s="40"/>
      <c r="B130" s="39"/>
      <c r="C130" s="39"/>
      <c r="D130" s="38" t="s">
        <v>46</v>
      </c>
      <c r="E130" s="37"/>
      <c r="F130" s="37"/>
      <c r="G130" s="36"/>
      <c r="H130" s="35" t="e">
        <f t="shared" si="4"/>
        <v>#DIV/0!</v>
      </c>
    </row>
    <row r="131" spans="1:8" ht="15" hidden="1" customHeight="1" x14ac:dyDescent="0.2">
      <c r="A131" s="40"/>
      <c r="B131" s="39"/>
      <c r="C131" s="39"/>
      <c r="D131" s="38" t="s">
        <v>45</v>
      </c>
      <c r="E131" s="37"/>
      <c r="F131" s="37"/>
      <c r="G131" s="36"/>
      <c r="H131" s="35" t="e">
        <f t="shared" si="4"/>
        <v>#DIV/0!</v>
      </c>
    </row>
    <row r="132" spans="1:8" ht="15" hidden="1" customHeight="1" x14ac:dyDescent="0.2">
      <c r="A132" s="40"/>
      <c r="B132" s="39"/>
      <c r="C132" s="39"/>
      <c r="D132" s="38" t="s">
        <v>44</v>
      </c>
      <c r="E132" s="37"/>
      <c r="F132" s="37"/>
      <c r="G132" s="36"/>
      <c r="H132" s="35" t="e">
        <f t="shared" si="4"/>
        <v>#DIV/0!</v>
      </c>
    </row>
    <row r="133" spans="1:8" ht="15" hidden="1" customHeight="1" x14ac:dyDescent="0.2">
      <c r="A133" s="40"/>
      <c r="B133" s="39"/>
      <c r="C133" s="39"/>
      <c r="D133" s="38" t="s">
        <v>43</v>
      </c>
      <c r="E133" s="37"/>
      <c r="F133" s="37"/>
      <c r="G133" s="36"/>
      <c r="H133" s="35" t="e">
        <f t="shared" si="4"/>
        <v>#DIV/0!</v>
      </c>
    </row>
    <row r="134" spans="1:8" ht="15" customHeight="1" x14ac:dyDescent="0.2">
      <c r="A134" s="40"/>
      <c r="B134" s="39"/>
      <c r="C134" s="39"/>
      <c r="D134" s="38" t="s">
        <v>42</v>
      </c>
      <c r="E134" s="37">
        <v>834737</v>
      </c>
      <c r="F134" s="37">
        <v>1778345</v>
      </c>
      <c r="G134" s="60">
        <f>+'5.a mell. Átadott peszk.'!E9+[2]ÖK.ÖSSZESÍTŐ!G65</f>
        <v>1778345</v>
      </c>
      <c r="H134" s="59">
        <f t="shared" si="4"/>
        <v>1</v>
      </c>
    </row>
    <row r="135" spans="1:8" ht="15" hidden="1" customHeight="1" x14ac:dyDescent="0.2">
      <c r="A135" s="40"/>
      <c r="B135" s="39"/>
      <c r="C135" s="39"/>
      <c r="D135" s="38" t="s">
        <v>41</v>
      </c>
      <c r="E135" s="37"/>
      <c r="F135" s="37"/>
      <c r="G135" s="60"/>
      <c r="H135" s="59" t="e">
        <f t="shared" si="4"/>
        <v>#DIV/0!</v>
      </c>
    </row>
    <row r="136" spans="1:8" ht="15" hidden="1" customHeight="1" x14ac:dyDescent="0.2">
      <c r="A136" s="40"/>
      <c r="B136" s="39"/>
      <c r="C136" s="39"/>
      <c r="D136" s="38" t="s">
        <v>40</v>
      </c>
      <c r="E136" s="37"/>
      <c r="F136" s="37"/>
      <c r="G136" s="60"/>
      <c r="H136" s="59" t="e">
        <f t="shared" si="4"/>
        <v>#DIV/0!</v>
      </c>
    </row>
    <row r="137" spans="1:8" ht="15" hidden="1" customHeight="1" x14ac:dyDescent="0.2">
      <c r="A137" s="40"/>
      <c r="B137" s="39"/>
      <c r="C137" s="39"/>
      <c r="D137" s="38" t="s">
        <v>39</v>
      </c>
      <c r="E137" s="37"/>
      <c r="F137" s="37"/>
      <c r="G137" s="60"/>
      <c r="H137" s="59" t="e">
        <f t="shared" si="4"/>
        <v>#DIV/0!</v>
      </c>
    </row>
    <row r="138" spans="1:8" ht="15" customHeight="1" x14ac:dyDescent="0.2">
      <c r="A138" s="40"/>
      <c r="B138" s="39"/>
      <c r="C138" s="39"/>
      <c r="D138" s="38" t="s">
        <v>38</v>
      </c>
      <c r="E138" s="37">
        <v>2623544</v>
      </c>
      <c r="F138" s="37">
        <v>2168615</v>
      </c>
      <c r="G138" s="60">
        <f>SUM([2]ÖK.ÖSSZESÍTŐ!G70-G134)</f>
        <v>2168615</v>
      </c>
      <c r="H138" s="59">
        <f t="shared" si="4"/>
        <v>1</v>
      </c>
    </row>
    <row r="139" spans="1:8" s="21" customFormat="1" ht="15" customHeight="1" x14ac:dyDescent="0.25">
      <c r="A139" s="40" t="s">
        <v>37</v>
      </c>
      <c r="B139" s="39" t="s">
        <v>36</v>
      </c>
      <c r="C139" s="39"/>
      <c r="D139" s="58" t="s">
        <v>35</v>
      </c>
      <c r="E139" s="57">
        <v>3779361</v>
      </c>
      <c r="F139" s="57">
        <v>1085005</v>
      </c>
      <c r="G139" s="56">
        <f>SUM([2]ÖK.ÖSSZESÍTŐ!H70)</f>
        <v>720201</v>
      </c>
      <c r="H139" s="55">
        <f t="shared" si="4"/>
        <v>0.66377666462366536</v>
      </c>
    </row>
    <row r="140" spans="1:8" s="21" customFormat="1" ht="15" customHeight="1" x14ac:dyDescent="0.25">
      <c r="A140" s="40" t="s">
        <v>34</v>
      </c>
      <c r="B140" s="39" t="s">
        <v>33</v>
      </c>
      <c r="C140" s="39"/>
      <c r="D140" s="58" t="s">
        <v>32</v>
      </c>
      <c r="E140" s="57">
        <v>7258926</v>
      </c>
      <c r="F140" s="57">
        <v>5652972</v>
      </c>
      <c r="G140" s="56">
        <f>SUM([2]ÖK.ÖSSZESÍTŐ!J70)</f>
        <v>5652972</v>
      </c>
      <c r="H140" s="55">
        <f t="shared" si="4"/>
        <v>1</v>
      </c>
    </row>
    <row r="141" spans="1:8" s="21" customFormat="1" ht="15" customHeight="1" x14ac:dyDescent="0.25">
      <c r="A141" s="40" t="s">
        <v>31</v>
      </c>
      <c r="B141" s="39" t="s">
        <v>30</v>
      </c>
      <c r="C141" s="39"/>
      <c r="D141" s="58" t="s">
        <v>29</v>
      </c>
      <c r="E141" s="57">
        <v>1086983</v>
      </c>
      <c r="F141" s="57">
        <v>656690</v>
      </c>
      <c r="G141" s="56">
        <f>SUM([2]ÖK.ÖSSZESÍTŐ!K70)</f>
        <v>656690</v>
      </c>
      <c r="H141" s="55">
        <f t="shared" si="4"/>
        <v>1</v>
      </c>
    </row>
    <row r="142" spans="1:8" s="21" customFormat="1" ht="15" customHeight="1" x14ac:dyDescent="0.25">
      <c r="A142" s="40" t="s">
        <v>28</v>
      </c>
      <c r="B142" s="39" t="s">
        <v>27</v>
      </c>
      <c r="C142" s="39"/>
      <c r="D142" s="58" t="s">
        <v>26</v>
      </c>
      <c r="E142" s="57">
        <v>1145803</v>
      </c>
      <c r="F142" s="57">
        <v>536733</v>
      </c>
      <c r="G142" s="56">
        <f>SUM(G143:G149)</f>
        <v>536733</v>
      </c>
      <c r="H142" s="55">
        <f t="shared" si="4"/>
        <v>1</v>
      </c>
    </row>
    <row r="143" spans="1:8" ht="15" hidden="1" customHeight="1" x14ac:dyDescent="0.2">
      <c r="A143" s="40"/>
      <c r="B143" s="39"/>
      <c r="C143" s="39"/>
      <c r="D143" s="38" t="s">
        <v>25</v>
      </c>
      <c r="E143" s="37"/>
      <c r="F143" s="37"/>
      <c r="G143" s="36"/>
      <c r="H143" s="35" t="e">
        <f t="shared" si="4"/>
        <v>#DIV/0!</v>
      </c>
    </row>
    <row r="144" spans="1:8" ht="15" hidden="1" customHeight="1" x14ac:dyDescent="0.2">
      <c r="A144" s="40"/>
      <c r="B144" s="39"/>
      <c r="C144" s="39"/>
      <c r="D144" s="38" t="s">
        <v>24</v>
      </c>
      <c r="E144" s="37"/>
      <c r="F144" s="37"/>
      <c r="G144" s="36"/>
      <c r="H144" s="35" t="e">
        <f t="shared" si="4"/>
        <v>#DIV/0!</v>
      </c>
    </row>
    <row r="145" spans="1:8" ht="15" hidden="1" customHeight="1" x14ac:dyDescent="0.2">
      <c r="A145" s="40"/>
      <c r="B145" s="39"/>
      <c r="C145" s="39"/>
      <c r="D145" s="38" t="s">
        <v>23</v>
      </c>
      <c r="E145" s="37"/>
      <c r="F145" s="37"/>
      <c r="G145" s="36"/>
      <c r="H145" s="35" t="e">
        <f t="shared" si="4"/>
        <v>#DIV/0!</v>
      </c>
    </row>
    <row r="146" spans="1:8" ht="15" hidden="1" customHeight="1" x14ac:dyDescent="0.2">
      <c r="A146" s="40"/>
      <c r="B146" s="39"/>
      <c r="C146" s="39"/>
      <c r="D146" s="38" t="s">
        <v>22</v>
      </c>
      <c r="E146" s="37"/>
      <c r="F146" s="37"/>
      <c r="G146" s="36"/>
      <c r="H146" s="35" t="e">
        <f t="shared" si="4"/>
        <v>#DIV/0!</v>
      </c>
    </row>
    <row r="147" spans="1:8" ht="15" hidden="1" customHeight="1" x14ac:dyDescent="0.2">
      <c r="A147" s="40"/>
      <c r="B147" s="39"/>
      <c r="C147" s="39"/>
      <c r="D147" s="38" t="s">
        <v>21</v>
      </c>
      <c r="E147" s="37"/>
      <c r="F147" s="37"/>
      <c r="G147" s="36"/>
      <c r="H147" s="35" t="e">
        <f t="shared" si="4"/>
        <v>#DIV/0!</v>
      </c>
    </row>
    <row r="148" spans="1:8" ht="31.9" customHeight="1" x14ac:dyDescent="0.2">
      <c r="A148" s="40"/>
      <c r="B148" s="39"/>
      <c r="C148" s="39"/>
      <c r="D148" s="42" t="s">
        <v>20</v>
      </c>
      <c r="E148" s="37">
        <v>3000</v>
      </c>
      <c r="F148" s="37">
        <v>3000</v>
      </c>
      <c r="G148" s="36">
        <f>SUM('[2]1009 Pénzügy'!O21)</f>
        <v>3000</v>
      </c>
      <c r="H148" s="35">
        <f t="shared" si="4"/>
        <v>1</v>
      </c>
    </row>
    <row r="149" spans="1:8" ht="15" customHeight="1" thickBot="1" x14ac:dyDescent="0.25">
      <c r="A149" s="34"/>
      <c r="B149" s="33"/>
      <c r="C149" s="33"/>
      <c r="D149" s="32" t="s">
        <v>19</v>
      </c>
      <c r="E149" s="31">
        <v>1142803</v>
      </c>
      <c r="F149" s="31">
        <v>533733</v>
      </c>
      <c r="G149" s="30">
        <f>SUM([2]ÖK.ÖSSZESÍTŐ!L70-G148)</f>
        <v>533733</v>
      </c>
      <c r="H149" s="29">
        <f t="shared" si="4"/>
        <v>1</v>
      </c>
    </row>
    <row r="150" spans="1:8" ht="15" customHeight="1" thickBot="1" x14ac:dyDescent="0.25">
      <c r="A150" s="54" t="s">
        <v>18</v>
      </c>
      <c r="B150" s="53"/>
      <c r="C150" s="53"/>
      <c r="D150" s="52" t="s">
        <v>17</v>
      </c>
      <c r="E150" s="51">
        <v>29475405.484999999</v>
      </c>
      <c r="F150" s="51">
        <v>24907338.102362204</v>
      </c>
      <c r="G150" s="50">
        <f>G125+G126+G127+G128+G129+G139+G140+G141+G142</f>
        <v>24542534.102362204</v>
      </c>
      <c r="H150" s="49">
        <f t="shared" si="4"/>
        <v>0.9853535532981984</v>
      </c>
    </row>
    <row r="151" spans="1:8" s="21" customFormat="1" ht="15" customHeight="1" thickBot="1" x14ac:dyDescent="0.3">
      <c r="A151" s="48" t="s">
        <v>16</v>
      </c>
      <c r="B151" s="47" t="s">
        <v>15</v>
      </c>
      <c r="C151" s="47"/>
      <c r="D151" s="46" t="s">
        <v>14</v>
      </c>
      <c r="E151" s="45">
        <v>0</v>
      </c>
      <c r="F151" s="45">
        <v>189546</v>
      </c>
      <c r="G151" s="44">
        <f>SUM(G152)</f>
        <v>189546</v>
      </c>
      <c r="H151" s="43">
        <f t="shared" si="4"/>
        <v>1</v>
      </c>
    </row>
    <row r="152" spans="1:8" ht="15" customHeight="1" thickBot="1" x14ac:dyDescent="0.25">
      <c r="A152" s="40"/>
      <c r="B152" s="39"/>
      <c r="C152" s="39"/>
      <c r="D152" s="42" t="s">
        <v>13</v>
      </c>
      <c r="E152" s="37">
        <v>0</v>
      </c>
      <c r="F152" s="37">
        <v>189546</v>
      </c>
      <c r="G152" s="36">
        <f>SUM('[2]1022.Költségv.O.'!O14)</f>
        <v>189546</v>
      </c>
      <c r="H152" s="35">
        <f t="shared" si="4"/>
        <v>1</v>
      </c>
    </row>
    <row r="153" spans="1:8" ht="15" hidden="1" customHeight="1" x14ac:dyDescent="0.2">
      <c r="A153" s="41"/>
      <c r="B153" s="39"/>
      <c r="C153" s="39"/>
      <c r="D153" s="38" t="s">
        <v>12</v>
      </c>
      <c r="E153" s="37"/>
      <c r="F153" s="37"/>
      <c r="G153" s="36"/>
      <c r="H153" s="35" t="e">
        <f t="shared" si="4"/>
        <v>#DIV/0!</v>
      </c>
    </row>
    <row r="154" spans="1:8" ht="15" hidden="1" customHeight="1" x14ac:dyDescent="0.2">
      <c r="A154" s="40"/>
      <c r="B154" s="39"/>
      <c r="C154" s="39"/>
      <c r="D154" s="38" t="s">
        <v>11</v>
      </c>
      <c r="E154" s="37"/>
      <c r="F154" s="37"/>
      <c r="G154" s="36"/>
      <c r="H154" s="35" t="e">
        <f t="shared" si="4"/>
        <v>#DIV/0!</v>
      </c>
    </row>
    <row r="155" spans="1:8" ht="15" hidden="1" customHeight="1" x14ac:dyDescent="0.2">
      <c r="A155" s="40"/>
      <c r="B155" s="39"/>
      <c r="C155" s="39"/>
      <c r="D155" s="38" t="s">
        <v>10</v>
      </c>
      <c r="E155" s="37"/>
      <c r="F155" s="37"/>
      <c r="G155" s="36"/>
      <c r="H155" s="35" t="e">
        <f t="shared" si="4"/>
        <v>#DIV/0!</v>
      </c>
    </row>
    <row r="156" spans="1:8" ht="15" hidden="1" customHeight="1" x14ac:dyDescent="0.2">
      <c r="A156" s="40"/>
      <c r="B156" s="39"/>
      <c r="C156" s="39"/>
      <c r="D156" s="38" t="s">
        <v>9</v>
      </c>
      <c r="E156" s="37"/>
      <c r="F156" s="37"/>
      <c r="G156" s="36"/>
      <c r="H156" s="35" t="e">
        <f t="shared" si="4"/>
        <v>#DIV/0!</v>
      </c>
    </row>
    <row r="157" spans="1:8" ht="15" hidden="1" customHeight="1" x14ac:dyDescent="0.2">
      <c r="A157" s="40"/>
      <c r="B157" s="39"/>
      <c r="C157" s="39"/>
      <c r="D157" s="38" t="s">
        <v>8</v>
      </c>
      <c r="E157" s="37"/>
      <c r="F157" s="37"/>
      <c r="G157" s="36"/>
      <c r="H157" s="35" t="e">
        <f t="shared" si="4"/>
        <v>#DIV/0!</v>
      </c>
    </row>
    <row r="158" spans="1:8" ht="15" hidden="1" customHeight="1" x14ac:dyDescent="0.2">
      <c r="A158" s="40"/>
      <c r="B158" s="39"/>
      <c r="C158" s="39"/>
      <c r="D158" s="38" t="s">
        <v>7</v>
      </c>
      <c r="E158" s="37"/>
      <c r="F158" s="37"/>
      <c r="G158" s="36"/>
      <c r="H158" s="35" t="e">
        <f t="shared" si="4"/>
        <v>#DIV/0!</v>
      </c>
    </row>
    <row r="159" spans="1:8" ht="15" hidden="1" customHeight="1" x14ac:dyDescent="0.2">
      <c r="A159" s="40"/>
      <c r="B159" s="39"/>
      <c r="C159" s="39"/>
      <c r="D159" s="38" t="s">
        <v>6</v>
      </c>
      <c r="E159" s="37"/>
      <c r="F159" s="37"/>
      <c r="G159" s="36"/>
      <c r="H159" s="35" t="e">
        <f t="shared" si="4"/>
        <v>#DIV/0!</v>
      </c>
    </row>
    <row r="160" spans="1:8" ht="15" hidden="1" customHeight="1" thickBot="1" x14ac:dyDescent="0.25">
      <c r="A160" s="34"/>
      <c r="B160" s="33"/>
      <c r="C160" s="33"/>
      <c r="D160" s="32" t="s">
        <v>5</v>
      </c>
      <c r="E160" s="31"/>
      <c r="F160" s="31"/>
      <c r="G160" s="30"/>
      <c r="H160" s="29" t="e">
        <f t="shared" si="4"/>
        <v>#DIV/0!</v>
      </c>
    </row>
    <row r="161" spans="1:8" s="21" customFormat="1" ht="29.45" customHeight="1" thickBot="1" x14ac:dyDescent="0.3">
      <c r="A161" s="28" t="s">
        <v>4</v>
      </c>
      <c r="B161" s="27"/>
      <c r="C161" s="27"/>
      <c r="D161" s="26" t="s">
        <v>3</v>
      </c>
      <c r="E161" s="25">
        <v>29475405.484999999</v>
      </c>
      <c r="F161" s="25">
        <v>25096884.102362204</v>
      </c>
      <c r="G161" s="24">
        <f>G150+G151</f>
        <v>24732080.102362204</v>
      </c>
      <c r="H161" s="23">
        <f t="shared" si="4"/>
        <v>0.985464171627359</v>
      </c>
    </row>
    <row r="162" spans="1:8" ht="20.45" customHeight="1" thickBot="1" x14ac:dyDescent="0.25">
      <c r="A162" s="20"/>
      <c r="B162" s="19"/>
      <c r="C162" s="19"/>
      <c r="D162" s="18" t="s">
        <v>2</v>
      </c>
      <c r="E162" s="17">
        <v>-0.48499999940395355</v>
      </c>
      <c r="F162" s="17">
        <v>-0.10236220434308052</v>
      </c>
      <c r="G162" s="16">
        <f>SUM(G97-G161)</f>
        <v>-0.10236220434308052</v>
      </c>
      <c r="H162" s="15">
        <f t="shared" si="4"/>
        <v>1</v>
      </c>
    </row>
    <row r="163" spans="1:8" ht="15" customHeight="1" x14ac:dyDescent="0.2">
      <c r="A163" s="1277" t="s">
        <v>1</v>
      </c>
      <c r="B163" s="1278"/>
      <c r="C163" s="1278"/>
      <c r="D163" s="1279"/>
      <c r="E163" s="14"/>
      <c r="F163" s="14"/>
      <c r="G163" s="13"/>
      <c r="H163" s="12"/>
    </row>
    <row r="164" spans="1:8" ht="15" customHeight="1" thickBot="1" x14ac:dyDescent="0.25">
      <c r="A164" s="11"/>
      <c r="B164" s="10"/>
      <c r="C164" s="10"/>
      <c r="D164" s="9" t="s">
        <v>0</v>
      </c>
      <c r="E164" s="8">
        <v>8982631.995000001</v>
      </c>
      <c r="F164" s="8">
        <v>9532089.1023622043</v>
      </c>
      <c r="G164" s="7">
        <f>SUM([2]ÖK.ÖSSZESÍTŐ!AI70*(-1))</f>
        <v>9532089.1023622043</v>
      </c>
      <c r="H164" s="6">
        <f>G164/F164</f>
        <v>1</v>
      </c>
    </row>
    <row r="165" spans="1:8" x14ac:dyDescent="0.2">
      <c r="E165" s="3"/>
      <c r="F165" s="3"/>
      <c r="G165" s="3"/>
    </row>
    <row r="166" spans="1:8" x14ac:dyDescent="0.2">
      <c r="E166" s="3"/>
      <c r="F166" s="3">
        <v>-0.10236220434308052</v>
      </c>
      <c r="G166" s="3">
        <f>SUM([2]ÖK.ÖSSZESÍTŐ!O71)</f>
        <v>-0.10236220434308052</v>
      </c>
      <c r="H166" s="3"/>
    </row>
    <row r="167" spans="1:8" x14ac:dyDescent="0.2">
      <c r="E167" s="3"/>
      <c r="F167" s="3"/>
      <c r="G167" s="3"/>
      <c r="H167" s="3"/>
    </row>
    <row r="168" spans="1:8" x14ac:dyDescent="0.2">
      <c r="E168" s="1"/>
      <c r="F168" s="1"/>
      <c r="G168" s="3"/>
    </row>
    <row r="169" spans="1:8" x14ac:dyDescent="0.2">
      <c r="E169" s="1"/>
      <c r="F169" s="1"/>
      <c r="G169" s="3"/>
      <c r="H169" s="3"/>
    </row>
    <row r="170" spans="1:8" x14ac:dyDescent="0.2">
      <c r="E170" s="5"/>
      <c r="F170" s="5"/>
      <c r="G170" s="3"/>
    </row>
  </sheetData>
  <mergeCells count="9">
    <mergeCell ref="A163:D163"/>
    <mergeCell ref="G5:G6"/>
    <mergeCell ref="D1:G1"/>
    <mergeCell ref="G2:H2"/>
    <mergeCell ref="A5:A6"/>
    <mergeCell ref="D5:D6"/>
    <mergeCell ref="H5:H6"/>
    <mergeCell ref="E5:E6"/>
    <mergeCell ref="F5:F6"/>
  </mergeCells>
  <printOptions horizontalCentered="1"/>
  <pageMargins left="0.31496062992125984" right="0.31496062992125984" top="0.39370078740157483" bottom="0" header="0.31496062992125984" footer="0.31496062992125984"/>
  <pageSetup paperSize="9" scale="76" fitToHeight="2" orientation="portrait" r:id="rId1"/>
  <headerFooter>
    <oddFooter>&amp;P. oldal</oddFooter>
  </headerFooter>
  <rowBreaks count="1" manualBreakCount="1">
    <brk id="97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C62"/>
  <sheetViews>
    <sheetView view="pageBreakPreview" zoomScaleNormal="120" zoomScaleSheetLayoutView="100" workbookViewId="0">
      <selection activeCell="H4" sqref="H4"/>
    </sheetView>
  </sheetViews>
  <sheetFormatPr defaultColWidth="9.140625" defaultRowHeight="15" x14ac:dyDescent="0.25"/>
  <cols>
    <col min="1" max="1" width="8" style="652" customWidth="1"/>
    <col min="2" max="2" width="70.42578125" style="652" customWidth="1"/>
    <col min="3" max="3" width="15.5703125" style="652" hidden="1" customWidth="1"/>
    <col min="4" max="5" width="15.5703125" style="652" customWidth="1"/>
    <col min="6" max="6" width="15.5703125" style="652" bestFit="1" customWidth="1"/>
    <col min="7" max="16384" width="9.140625" style="652"/>
  </cols>
  <sheetData>
    <row r="1" spans="1:10" s="527" customFormat="1" x14ac:dyDescent="0.25">
      <c r="A1" s="568"/>
      <c r="E1" s="720"/>
    </row>
    <row r="2" spans="1:10" s="527" customFormat="1" ht="44.25" customHeight="1" x14ac:dyDescent="0.25">
      <c r="A2" s="1282" t="s">
        <v>867</v>
      </c>
      <c r="B2" s="1377"/>
      <c r="C2" s="1377"/>
      <c r="D2" s="1377"/>
      <c r="E2" s="1377"/>
      <c r="F2" s="1377"/>
    </row>
    <row r="3" spans="1:10" s="527" customFormat="1" ht="15.75" customHeight="1" x14ac:dyDescent="0.25">
      <c r="A3" s="651"/>
      <c r="B3" s="719"/>
      <c r="C3" s="719"/>
      <c r="D3" s="719"/>
      <c r="E3" s="1373" t="s">
        <v>753</v>
      </c>
      <c r="F3" s="1378"/>
    </row>
    <row r="4" spans="1:10" s="527" customFormat="1" ht="15.75" customHeight="1" x14ac:dyDescent="0.25">
      <c r="A4" s="1256"/>
      <c r="B4" s="1264"/>
      <c r="C4" s="1264"/>
      <c r="D4" s="1264"/>
      <c r="E4" s="1263"/>
      <c r="F4" s="1265"/>
    </row>
    <row r="5" spans="1:10" ht="15.75" thickBot="1" x14ac:dyDescent="0.3">
      <c r="F5" s="202" t="s">
        <v>277</v>
      </c>
    </row>
    <row r="6" spans="1:10" ht="43.15" customHeight="1" thickBot="1" x14ac:dyDescent="0.3">
      <c r="A6" s="648" t="s">
        <v>276</v>
      </c>
      <c r="B6" s="647" t="s">
        <v>275</v>
      </c>
      <c r="C6" s="647" t="s">
        <v>752</v>
      </c>
      <c r="D6" s="646" t="s">
        <v>273</v>
      </c>
      <c r="E6" s="718" t="s">
        <v>272</v>
      </c>
      <c r="F6" s="645" t="s">
        <v>598</v>
      </c>
      <c r="I6" s="652" t="s">
        <v>751</v>
      </c>
    </row>
    <row r="7" spans="1:10" ht="19.5" customHeight="1" thickBot="1" x14ac:dyDescent="0.3">
      <c r="A7" s="717" t="s">
        <v>72</v>
      </c>
      <c r="B7" s="716" t="s">
        <v>70</v>
      </c>
      <c r="C7" s="716" t="s">
        <v>91</v>
      </c>
      <c r="D7" s="715" t="s">
        <v>91</v>
      </c>
      <c r="E7" s="714" t="s">
        <v>66</v>
      </c>
      <c r="F7" s="713" t="s">
        <v>200</v>
      </c>
    </row>
    <row r="8" spans="1:10" s="711" customFormat="1" ht="19.899999999999999" customHeight="1" thickBot="1" x14ac:dyDescent="0.25">
      <c r="A8" s="54" t="s">
        <v>61</v>
      </c>
      <c r="B8" s="703" t="s">
        <v>750</v>
      </c>
      <c r="C8" s="702">
        <v>120069</v>
      </c>
      <c r="D8" s="712">
        <v>49335</v>
      </c>
      <c r="E8" s="712">
        <f>SUM(E9:E16)</f>
        <v>49335</v>
      </c>
      <c r="F8" s="701">
        <f t="shared" ref="F8:F39" si="0">E8/D8</f>
        <v>1</v>
      </c>
      <c r="G8" s="421"/>
    </row>
    <row r="9" spans="1:10" s="421" customFormat="1" ht="19.899999999999999" customHeight="1" x14ac:dyDescent="0.2">
      <c r="A9" s="611">
        <v>1</v>
      </c>
      <c r="B9" s="686" t="s">
        <v>749</v>
      </c>
      <c r="C9" s="706">
        <v>24727</v>
      </c>
      <c r="D9" s="705">
        <v>8001</v>
      </c>
      <c r="E9" s="705">
        <f>SUM('[2]1003.Informatika'!S61)</f>
        <v>8001</v>
      </c>
      <c r="F9" s="704">
        <f t="shared" si="0"/>
        <v>1</v>
      </c>
      <c r="G9" s="710"/>
      <c r="H9" s="450"/>
    </row>
    <row r="10" spans="1:10" s="421" customFormat="1" ht="19.899999999999999" customHeight="1" x14ac:dyDescent="0.2">
      <c r="A10" s="611">
        <v>2</v>
      </c>
      <c r="B10" s="616" t="s">
        <v>748</v>
      </c>
      <c r="C10" s="706">
        <v>31750</v>
      </c>
      <c r="D10" s="705">
        <v>8890</v>
      </c>
      <c r="E10" s="705">
        <f>SUM('[2]1003.Informatika'!S69)</f>
        <v>8890</v>
      </c>
      <c r="F10" s="704">
        <f t="shared" si="0"/>
        <v>1</v>
      </c>
      <c r="G10" s="710"/>
      <c r="H10" s="450"/>
    </row>
    <row r="11" spans="1:10" s="707" customFormat="1" ht="19.899999999999999" customHeight="1" x14ac:dyDescent="0.2">
      <c r="A11" s="611">
        <v>3</v>
      </c>
      <c r="B11" s="686" t="s">
        <v>747</v>
      </c>
      <c r="C11" s="706">
        <v>3810</v>
      </c>
      <c r="D11" s="705">
        <v>5334</v>
      </c>
      <c r="E11" s="705">
        <f>SUM('[2]1003.Informatika'!S73)</f>
        <v>5334</v>
      </c>
      <c r="F11" s="704">
        <f t="shared" si="0"/>
        <v>1</v>
      </c>
      <c r="G11" s="709"/>
      <c r="H11" s="709"/>
      <c r="J11" s="708"/>
    </row>
    <row r="12" spans="1:10" s="707" customFormat="1" ht="19.899999999999999" customHeight="1" x14ac:dyDescent="0.2">
      <c r="A12" s="611">
        <v>4</v>
      </c>
      <c r="B12" s="686" t="s">
        <v>746</v>
      </c>
      <c r="C12" s="706">
        <v>14022</v>
      </c>
      <c r="D12" s="705">
        <v>3500</v>
      </c>
      <c r="E12" s="705">
        <f>SUM('[2]1004.Gondnokság'!V25+'[2]1004.Gondnokság'!V26+'[2]1018.Főépítész'!S31)</f>
        <v>3500</v>
      </c>
      <c r="F12" s="704">
        <f t="shared" si="0"/>
        <v>1</v>
      </c>
    </row>
    <row r="13" spans="1:10" s="707" customFormat="1" ht="19.899999999999999" customHeight="1" x14ac:dyDescent="0.2">
      <c r="A13" s="611">
        <v>5</v>
      </c>
      <c r="B13" s="686" t="s">
        <v>745</v>
      </c>
      <c r="C13" s="706">
        <v>21590</v>
      </c>
      <c r="D13" s="705">
        <v>4797</v>
      </c>
      <c r="E13" s="705">
        <f>SUM('[2]1003.Informatika'!S80)</f>
        <v>4797</v>
      </c>
      <c r="F13" s="704">
        <f t="shared" si="0"/>
        <v>1</v>
      </c>
    </row>
    <row r="14" spans="1:10" s="421" customFormat="1" ht="24.6" customHeight="1" x14ac:dyDescent="0.2">
      <c r="A14" s="611">
        <v>6</v>
      </c>
      <c r="B14" s="616" t="s">
        <v>744</v>
      </c>
      <c r="C14" s="706">
        <v>12700</v>
      </c>
      <c r="D14" s="705">
        <v>3175</v>
      </c>
      <c r="E14" s="705">
        <f>SUM('[2]1003.Informatika'!S84)</f>
        <v>3175</v>
      </c>
      <c r="F14" s="704">
        <f t="shared" si="0"/>
        <v>1</v>
      </c>
    </row>
    <row r="15" spans="1:10" s="421" customFormat="1" ht="19.899999999999999" customHeight="1" x14ac:dyDescent="0.2">
      <c r="A15" s="611">
        <v>7</v>
      </c>
      <c r="B15" s="616" t="s">
        <v>743</v>
      </c>
      <c r="C15" s="706">
        <v>6350</v>
      </c>
      <c r="D15" s="705">
        <v>5638</v>
      </c>
      <c r="E15" s="705">
        <f>SUM('[2]1003.Informatika'!S87)</f>
        <v>5638</v>
      </c>
      <c r="F15" s="704">
        <f t="shared" si="0"/>
        <v>1</v>
      </c>
    </row>
    <row r="16" spans="1:10" s="421" customFormat="1" ht="19.899999999999999" customHeight="1" thickBot="1" x14ac:dyDescent="0.25">
      <c r="A16" s="611">
        <v>8</v>
      </c>
      <c r="B16" s="616" t="s">
        <v>742</v>
      </c>
      <c r="C16" s="706">
        <v>0</v>
      </c>
      <c r="D16" s="705">
        <v>10000</v>
      </c>
      <c r="E16" s="705">
        <f>SUM('[2]1020.Rendészet'!S5)</f>
        <v>10000</v>
      </c>
      <c r="F16" s="704">
        <f t="shared" si="0"/>
        <v>1</v>
      </c>
    </row>
    <row r="17" spans="1:185" ht="19.899999999999999" customHeight="1" thickBot="1" x14ac:dyDescent="0.3">
      <c r="A17" s="54" t="s">
        <v>58</v>
      </c>
      <c r="B17" s="703" t="s">
        <v>741</v>
      </c>
      <c r="C17" s="702">
        <v>235459</v>
      </c>
      <c r="D17" s="702">
        <v>127098</v>
      </c>
      <c r="E17" s="702">
        <f>E18</f>
        <v>127098</v>
      </c>
      <c r="F17" s="701">
        <f t="shared" si="0"/>
        <v>1</v>
      </c>
    </row>
    <row r="18" spans="1:185" ht="19.899999999999999" customHeight="1" thickBot="1" x14ac:dyDescent="0.3">
      <c r="A18" s="700">
        <v>1</v>
      </c>
      <c r="B18" s="676" t="s">
        <v>740</v>
      </c>
      <c r="C18" s="699">
        <v>235459</v>
      </c>
      <c r="D18" s="698">
        <v>127098</v>
      </c>
      <c r="E18" s="698">
        <f>SUM([2]ÖK.ÖSSZESÍTŐ!J65)</f>
        <v>127098</v>
      </c>
      <c r="F18" s="697">
        <f t="shared" si="0"/>
        <v>1</v>
      </c>
    </row>
    <row r="19" spans="1:185" ht="19.899999999999999" customHeight="1" thickBot="1" x14ac:dyDescent="0.3">
      <c r="A19" s="665" t="s">
        <v>64</v>
      </c>
      <c r="B19" s="664" t="s">
        <v>739</v>
      </c>
      <c r="C19" s="696">
        <v>355528</v>
      </c>
      <c r="D19" s="695">
        <v>176433</v>
      </c>
      <c r="E19" s="695">
        <f>SUM(+E17+E8)</f>
        <v>176433</v>
      </c>
      <c r="F19" s="694">
        <f t="shared" si="0"/>
        <v>1</v>
      </c>
    </row>
    <row r="20" spans="1:185" ht="19.899999999999999" customHeight="1" x14ac:dyDescent="0.25">
      <c r="A20" s="693">
        <v>1</v>
      </c>
      <c r="B20" s="692" t="s">
        <v>738</v>
      </c>
      <c r="C20" s="691">
        <v>120478</v>
      </c>
      <c r="D20" s="691">
        <v>60000</v>
      </c>
      <c r="E20" s="690">
        <f>SUM('[2]1011.Városüzemelt.O'!O65)</f>
        <v>60000</v>
      </c>
      <c r="F20" s="689">
        <f t="shared" si="0"/>
        <v>1</v>
      </c>
    </row>
    <row r="21" spans="1:185" ht="19.899999999999999" customHeight="1" x14ac:dyDescent="0.25">
      <c r="A21" s="611">
        <v>2</v>
      </c>
      <c r="B21" s="687" t="s">
        <v>737</v>
      </c>
      <c r="C21" s="590">
        <v>275000</v>
      </c>
      <c r="D21" s="590">
        <v>30000</v>
      </c>
      <c r="E21" s="672">
        <f>SUM('[2]1011.Városüzemelt.O'!O124)</f>
        <v>30000</v>
      </c>
      <c r="F21" s="671">
        <f t="shared" si="0"/>
        <v>1</v>
      </c>
    </row>
    <row r="22" spans="1:185" ht="19.899999999999999" customHeight="1" x14ac:dyDescent="0.25">
      <c r="A22" s="611">
        <v>3</v>
      </c>
      <c r="B22" s="687" t="s">
        <v>736</v>
      </c>
      <c r="C22" s="590">
        <v>290000</v>
      </c>
      <c r="D22" s="590">
        <v>80000</v>
      </c>
      <c r="E22" s="672">
        <f>SUM('[2]1011.Városüzemelt.O'!O66)</f>
        <v>80000</v>
      </c>
      <c r="F22" s="671">
        <f t="shared" si="0"/>
        <v>1</v>
      </c>
    </row>
    <row r="23" spans="1:185" ht="19.899999999999999" customHeight="1" x14ac:dyDescent="0.25">
      <c r="A23" s="611">
        <v>4</v>
      </c>
      <c r="B23" s="687" t="s">
        <v>735</v>
      </c>
      <c r="C23" s="590">
        <v>1424599</v>
      </c>
      <c r="D23" s="590">
        <v>675000</v>
      </c>
      <c r="E23" s="672">
        <f>SUM(E24:E30)</f>
        <v>675000</v>
      </c>
      <c r="F23" s="671">
        <f t="shared" si="0"/>
        <v>1</v>
      </c>
    </row>
    <row r="24" spans="1:185" ht="19.899999999999999" customHeight="1" x14ac:dyDescent="0.25">
      <c r="A24" s="683" t="s">
        <v>734</v>
      </c>
      <c r="B24" s="688" t="s">
        <v>733</v>
      </c>
      <c r="C24" s="590">
        <v>0</v>
      </c>
      <c r="D24" s="590">
        <v>10000</v>
      </c>
      <c r="E24" s="672">
        <f>SUM('[2]1011.Városüzemelt.O'!O69)</f>
        <v>10000</v>
      </c>
      <c r="F24" s="671">
        <f t="shared" si="0"/>
        <v>1</v>
      </c>
    </row>
    <row r="25" spans="1:185" ht="19.899999999999999" customHeight="1" x14ac:dyDescent="0.25">
      <c r="A25" s="683" t="s">
        <v>732</v>
      </c>
      <c r="B25" s="688" t="s">
        <v>731</v>
      </c>
      <c r="C25" s="590">
        <v>0</v>
      </c>
      <c r="D25" s="590">
        <v>180000</v>
      </c>
      <c r="E25" s="672">
        <f>SUM('[2]1011.Városüzemelt.O'!O70)</f>
        <v>180000</v>
      </c>
      <c r="F25" s="671">
        <f t="shared" si="0"/>
        <v>1</v>
      </c>
    </row>
    <row r="26" spans="1:185" ht="19.899999999999999" customHeight="1" x14ac:dyDescent="0.25">
      <c r="A26" s="683" t="s">
        <v>730</v>
      </c>
      <c r="B26" s="688" t="s">
        <v>729</v>
      </c>
      <c r="C26" s="590">
        <v>0</v>
      </c>
      <c r="D26" s="590">
        <v>60000</v>
      </c>
      <c r="E26" s="672">
        <f>SUM('[2]1011.Városüzemelt.O'!O71)</f>
        <v>60000</v>
      </c>
      <c r="F26" s="671">
        <f t="shared" si="0"/>
        <v>1</v>
      </c>
    </row>
    <row r="27" spans="1:185" ht="19.899999999999999" customHeight="1" x14ac:dyDescent="0.25">
      <c r="A27" s="683" t="s">
        <v>728</v>
      </c>
      <c r="B27" s="688" t="s">
        <v>727</v>
      </c>
      <c r="C27" s="590">
        <v>0</v>
      </c>
      <c r="D27" s="590">
        <v>30000</v>
      </c>
      <c r="E27" s="672">
        <f>SUM('[2]1011.Városüzemelt.O'!O72)</f>
        <v>30000</v>
      </c>
      <c r="F27" s="671">
        <f t="shared" si="0"/>
        <v>1</v>
      </c>
    </row>
    <row r="28" spans="1:185" ht="19.899999999999999" customHeight="1" x14ac:dyDescent="0.25">
      <c r="A28" s="683" t="s">
        <v>726</v>
      </c>
      <c r="B28" s="688" t="s">
        <v>725</v>
      </c>
      <c r="C28" s="590">
        <v>0</v>
      </c>
      <c r="D28" s="590">
        <v>15000</v>
      </c>
      <c r="E28" s="672">
        <f>SUM('[2]1011.Városüzemelt.O'!O73)</f>
        <v>15000</v>
      </c>
      <c r="F28" s="671">
        <f t="shared" si="0"/>
        <v>1</v>
      </c>
    </row>
    <row r="29" spans="1:185" ht="19.899999999999999" customHeight="1" x14ac:dyDescent="0.25">
      <c r="A29" s="683" t="s">
        <v>724</v>
      </c>
      <c r="B29" s="688" t="s">
        <v>723</v>
      </c>
      <c r="C29" s="590">
        <v>0</v>
      </c>
      <c r="D29" s="590">
        <v>9000</v>
      </c>
      <c r="E29" s="672">
        <f>SUM('[2]1011.Városüzemelt.O'!O74)</f>
        <v>9000</v>
      </c>
      <c r="F29" s="671">
        <f t="shared" si="0"/>
        <v>1</v>
      </c>
    </row>
    <row r="30" spans="1:185" ht="26.45" customHeight="1" x14ac:dyDescent="0.25">
      <c r="A30" s="683" t="s">
        <v>722</v>
      </c>
      <c r="B30" s="688" t="s">
        <v>721</v>
      </c>
      <c r="C30" s="590">
        <v>0</v>
      </c>
      <c r="D30" s="590">
        <v>371000</v>
      </c>
      <c r="E30" s="672">
        <f>SUM('[2]1011.Városüzemelt.O'!O75)</f>
        <v>371000</v>
      </c>
      <c r="F30" s="671">
        <f t="shared" si="0"/>
        <v>1</v>
      </c>
    </row>
    <row r="31" spans="1:185" ht="19.899999999999999" customHeight="1" x14ac:dyDescent="0.25">
      <c r="A31" s="611">
        <v>5</v>
      </c>
      <c r="B31" s="687" t="s">
        <v>720</v>
      </c>
      <c r="C31" s="590">
        <v>5000</v>
      </c>
      <c r="D31" s="590">
        <v>33000</v>
      </c>
      <c r="E31" s="672">
        <f>SUM('[2]1011.Városüzemelt.O'!O127)</f>
        <v>33000</v>
      </c>
      <c r="F31" s="671">
        <f t="shared" si="0"/>
        <v>1</v>
      </c>
      <c r="GC31" s="653">
        <f>SUM(C31:GB31)</f>
        <v>71001</v>
      </c>
    </row>
    <row r="32" spans="1:185" ht="19.899999999999999" customHeight="1" x14ac:dyDescent="0.25">
      <c r="A32" s="611">
        <v>6</v>
      </c>
      <c r="B32" s="687" t="s">
        <v>719</v>
      </c>
      <c r="C32" s="590">
        <v>60000</v>
      </c>
      <c r="D32" s="590">
        <v>40000</v>
      </c>
      <c r="E32" s="672">
        <f>SUM('[2]1011.Városüzemelt.O'!O118)</f>
        <v>40000</v>
      </c>
      <c r="F32" s="671">
        <f t="shared" si="0"/>
        <v>1</v>
      </c>
    </row>
    <row r="33" spans="1:6" ht="19.899999999999999" customHeight="1" x14ac:dyDescent="0.25">
      <c r="A33" s="611">
        <v>7</v>
      </c>
      <c r="B33" s="687" t="s">
        <v>718</v>
      </c>
      <c r="C33" s="590">
        <v>72390</v>
      </c>
      <c r="D33" s="590">
        <v>20000</v>
      </c>
      <c r="E33" s="672">
        <f>SUM('[2]1011.Városüzemelt.O'!O129)</f>
        <v>20000</v>
      </c>
      <c r="F33" s="671">
        <f t="shared" si="0"/>
        <v>1</v>
      </c>
    </row>
    <row r="34" spans="1:6" ht="19.899999999999999" customHeight="1" x14ac:dyDescent="0.25">
      <c r="A34" s="611">
        <v>8</v>
      </c>
      <c r="B34" s="687" t="s">
        <v>717</v>
      </c>
      <c r="C34" s="590">
        <v>204800</v>
      </c>
      <c r="D34" s="590">
        <v>60000</v>
      </c>
      <c r="E34" s="672">
        <f>SUM('[2]1011.Városüzemelt.O'!O125+'[2]1011.Városüzemelt.O'!O111)</f>
        <v>60000</v>
      </c>
      <c r="F34" s="671">
        <f t="shared" si="0"/>
        <v>1</v>
      </c>
    </row>
    <row r="35" spans="1:6" ht="19.899999999999999" customHeight="1" x14ac:dyDescent="0.25">
      <c r="A35" s="611">
        <v>9</v>
      </c>
      <c r="B35" s="687" t="s">
        <v>716</v>
      </c>
      <c r="C35" s="590">
        <v>25000</v>
      </c>
      <c r="D35" s="590">
        <v>2000</v>
      </c>
      <c r="E35" s="672">
        <f>SUM('[2]1011.Városüzemelt.O'!O112)</f>
        <v>2000</v>
      </c>
      <c r="F35" s="671">
        <f t="shared" si="0"/>
        <v>1</v>
      </c>
    </row>
    <row r="36" spans="1:6" ht="19.899999999999999" customHeight="1" x14ac:dyDescent="0.25">
      <c r="A36" s="611">
        <v>10</v>
      </c>
      <c r="B36" s="687" t="s">
        <v>715</v>
      </c>
      <c r="C36" s="590">
        <v>30000</v>
      </c>
      <c r="D36" s="590">
        <v>5000</v>
      </c>
      <c r="E36" s="672">
        <f>SUM('[2]1011.Városüzemelt.O'!O63)</f>
        <v>5000</v>
      </c>
      <c r="F36" s="671">
        <f t="shared" si="0"/>
        <v>1</v>
      </c>
    </row>
    <row r="37" spans="1:6" ht="29.45" customHeight="1" x14ac:dyDescent="0.25">
      <c r="A37" s="611">
        <v>11</v>
      </c>
      <c r="B37" s="616" t="s">
        <v>714</v>
      </c>
      <c r="C37" s="590">
        <v>7400</v>
      </c>
      <c r="D37" s="590">
        <v>1400</v>
      </c>
      <c r="E37" s="672">
        <f>SUM('[2]1013.Közhasznú Fogl.'!O26:O26)</f>
        <v>1400</v>
      </c>
      <c r="F37" s="671">
        <f t="shared" si="0"/>
        <v>1</v>
      </c>
    </row>
    <row r="38" spans="1:6" ht="19.899999999999999" customHeight="1" x14ac:dyDescent="0.25">
      <c r="A38" s="611">
        <v>12</v>
      </c>
      <c r="B38" s="686" t="s">
        <v>713</v>
      </c>
      <c r="C38" s="590">
        <v>19438</v>
      </c>
      <c r="D38" s="590">
        <v>6000</v>
      </c>
      <c r="E38" s="672">
        <f>+'[2]1011.Városüzemelt.O'!O121+'[2]1011.Városüzemelt.O'!O122</f>
        <v>6000</v>
      </c>
      <c r="F38" s="671">
        <f t="shared" si="0"/>
        <v>1</v>
      </c>
    </row>
    <row r="39" spans="1:6" ht="19.899999999999999" customHeight="1" x14ac:dyDescent="0.25">
      <c r="A39" s="611">
        <v>13</v>
      </c>
      <c r="B39" s="616" t="s">
        <v>712</v>
      </c>
      <c r="C39" s="590">
        <v>175000</v>
      </c>
      <c r="D39" s="590">
        <v>15000</v>
      </c>
      <c r="E39" s="672">
        <f>+'[2]1011.Városüzemelt.O'!O64</f>
        <v>15000</v>
      </c>
      <c r="F39" s="671">
        <f t="shared" si="0"/>
        <v>1</v>
      </c>
    </row>
    <row r="40" spans="1:6" ht="19.899999999999999" customHeight="1" x14ac:dyDescent="0.25">
      <c r="A40" s="611">
        <v>14</v>
      </c>
      <c r="B40" s="616" t="s">
        <v>711</v>
      </c>
      <c r="C40" s="590">
        <v>10000</v>
      </c>
      <c r="D40" s="590">
        <v>1000</v>
      </c>
      <c r="E40" s="672">
        <f>SUM('[2]1011.Városüzemelt.O'!O116)</f>
        <v>1000</v>
      </c>
      <c r="F40" s="671">
        <f t="shared" ref="F40:F62" si="1">E40/D40</f>
        <v>1</v>
      </c>
    </row>
    <row r="41" spans="1:6" ht="19.899999999999999" customHeight="1" x14ac:dyDescent="0.25">
      <c r="A41" s="611">
        <v>15</v>
      </c>
      <c r="B41" s="616" t="s">
        <v>710</v>
      </c>
      <c r="C41" s="669">
        <v>150000</v>
      </c>
      <c r="D41" s="669">
        <v>12000</v>
      </c>
      <c r="E41" s="678">
        <f>+'[2]1011.Városüzemelt.O'!O62</f>
        <v>12000</v>
      </c>
      <c r="F41" s="677">
        <f t="shared" si="1"/>
        <v>1</v>
      </c>
    </row>
    <row r="42" spans="1:6" ht="40.15" customHeight="1" x14ac:dyDescent="0.25">
      <c r="A42" s="611">
        <v>16</v>
      </c>
      <c r="B42" s="616" t="s">
        <v>709</v>
      </c>
      <c r="C42" s="590">
        <v>392700</v>
      </c>
      <c r="D42" s="590">
        <v>355600</v>
      </c>
      <c r="E42" s="672">
        <f>+'[2]1011.Városüzemelt.O'!O114</f>
        <v>355600</v>
      </c>
      <c r="F42" s="671">
        <f t="shared" si="1"/>
        <v>1</v>
      </c>
    </row>
    <row r="43" spans="1:6" ht="45" customHeight="1" x14ac:dyDescent="0.25">
      <c r="A43" s="611">
        <v>17</v>
      </c>
      <c r="B43" s="616" t="s">
        <v>708</v>
      </c>
      <c r="C43" s="590">
        <v>0</v>
      </c>
      <c r="D43" s="590">
        <v>88900</v>
      </c>
      <c r="E43" s="672">
        <f>'[2]1011.Városüzemelt.O'!O115</f>
        <v>88900</v>
      </c>
      <c r="F43" s="671">
        <f t="shared" si="1"/>
        <v>1</v>
      </c>
    </row>
    <row r="44" spans="1:6" ht="19.899999999999999" customHeight="1" x14ac:dyDescent="0.25">
      <c r="A44" s="611">
        <v>18</v>
      </c>
      <c r="B44" s="616" t="s">
        <v>707</v>
      </c>
      <c r="C44" s="590">
        <v>397764</v>
      </c>
      <c r="D44" s="590">
        <v>205844</v>
      </c>
      <c r="E44" s="672">
        <f>+'[2]1029 Pályázatok'!O28</f>
        <v>205844</v>
      </c>
      <c r="F44" s="671">
        <f t="shared" si="1"/>
        <v>1</v>
      </c>
    </row>
    <row r="45" spans="1:6" ht="19.899999999999999" customHeight="1" x14ac:dyDescent="0.25">
      <c r="A45" s="611">
        <v>19</v>
      </c>
      <c r="B45" s="616" t="s">
        <v>295</v>
      </c>
      <c r="C45" s="590">
        <v>1647381</v>
      </c>
      <c r="D45" s="590">
        <v>3126084</v>
      </c>
      <c r="E45" s="672">
        <f>SUM(E47:E52)</f>
        <v>3126084</v>
      </c>
      <c r="F45" s="671">
        <f t="shared" si="1"/>
        <v>1</v>
      </c>
    </row>
    <row r="46" spans="1:6" ht="27.6" customHeight="1" x14ac:dyDescent="0.25">
      <c r="A46" s="682" t="s">
        <v>706</v>
      </c>
      <c r="B46" s="681" t="s">
        <v>705</v>
      </c>
      <c r="C46" s="680">
        <f>SUM(C47:C51)</f>
        <v>1389938</v>
      </c>
      <c r="D46" s="680">
        <v>1866799</v>
      </c>
      <c r="E46" s="680">
        <f>SUM(E47:E51)</f>
        <v>1866799</v>
      </c>
      <c r="F46" s="679">
        <f t="shared" si="1"/>
        <v>1</v>
      </c>
    </row>
    <row r="47" spans="1:6" ht="29.45" customHeight="1" x14ac:dyDescent="0.25">
      <c r="A47" s="683" t="s">
        <v>704</v>
      </c>
      <c r="B47" s="685" t="s">
        <v>703</v>
      </c>
      <c r="C47" s="680">
        <v>6350</v>
      </c>
      <c r="D47" s="680">
        <v>12700</v>
      </c>
      <c r="E47" s="680">
        <f>SUM('[2]1029 Pályázatok'!O22)</f>
        <v>12700</v>
      </c>
      <c r="F47" s="679">
        <f t="shared" si="1"/>
        <v>1</v>
      </c>
    </row>
    <row r="48" spans="1:6" ht="31.15" customHeight="1" x14ac:dyDescent="0.25">
      <c r="A48" s="683" t="s">
        <v>702</v>
      </c>
      <c r="B48" s="685" t="s">
        <v>701</v>
      </c>
      <c r="C48" s="680">
        <v>240</v>
      </c>
      <c r="D48" s="680">
        <v>240</v>
      </c>
      <c r="E48" s="680">
        <f>SUM('[2]1029 Pályázatok'!O23)</f>
        <v>240</v>
      </c>
      <c r="F48" s="679">
        <f t="shared" si="1"/>
        <v>1</v>
      </c>
    </row>
    <row r="49" spans="1:7" ht="25.9" customHeight="1" x14ac:dyDescent="0.25">
      <c r="A49" s="683" t="s">
        <v>700</v>
      </c>
      <c r="B49" s="685" t="s">
        <v>699</v>
      </c>
      <c r="C49" s="680">
        <v>572</v>
      </c>
      <c r="D49" s="680">
        <v>572</v>
      </c>
      <c r="E49" s="680">
        <f>SUM('[2]1029 Pályázatok'!O24)</f>
        <v>572</v>
      </c>
      <c r="F49" s="679">
        <f t="shared" si="1"/>
        <v>1</v>
      </c>
    </row>
    <row r="50" spans="1:7" ht="32.450000000000003" customHeight="1" x14ac:dyDescent="0.25">
      <c r="A50" s="683" t="s">
        <v>698</v>
      </c>
      <c r="B50" s="684" t="s">
        <v>697</v>
      </c>
      <c r="C50" s="680">
        <v>31250</v>
      </c>
      <c r="D50" s="680">
        <v>226608</v>
      </c>
      <c r="E50" s="680">
        <f>SUM('[2]1029 Pályázatok'!O25+'[2]1029 Pályázatok'!O26)</f>
        <v>226608</v>
      </c>
      <c r="F50" s="679">
        <f t="shared" si="1"/>
        <v>1</v>
      </c>
    </row>
    <row r="51" spans="1:7" ht="25.9" customHeight="1" x14ac:dyDescent="0.25">
      <c r="A51" s="683" t="s">
        <v>696</v>
      </c>
      <c r="B51" s="681" t="s">
        <v>695</v>
      </c>
      <c r="C51" s="680">
        <v>1351526</v>
      </c>
      <c r="D51" s="680">
        <v>1626679</v>
      </c>
      <c r="E51" s="680">
        <f>SUM('[2]1029 Pályázatok'!O21)</f>
        <v>1626679</v>
      </c>
      <c r="F51" s="679">
        <f t="shared" si="1"/>
        <v>1</v>
      </c>
    </row>
    <row r="52" spans="1:7" ht="19.899999999999999" customHeight="1" x14ac:dyDescent="0.25">
      <c r="A52" s="682" t="s">
        <v>694</v>
      </c>
      <c r="B52" s="681" t="s">
        <v>693</v>
      </c>
      <c r="C52" s="680">
        <v>0</v>
      </c>
      <c r="D52" s="680">
        <v>1259285</v>
      </c>
      <c r="E52" s="680">
        <f>SUM('[2]Segédtábla -áthúzodó'!O20)</f>
        <v>1259285</v>
      </c>
      <c r="F52" s="679">
        <f t="shared" si="1"/>
        <v>1</v>
      </c>
    </row>
    <row r="53" spans="1:7" ht="19.899999999999999" customHeight="1" x14ac:dyDescent="0.25">
      <c r="A53" s="611">
        <v>20</v>
      </c>
      <c r="B53" s="616" t="s">
        <v>453</v>
      </c>
      <c r="C53" s="669">
        <v>0</v>
      </c>
      <c r="D53" s="669">
        <v>478000</v>
      </c>
      <c r="E53" s="678">
        <f>SUM('[2]1014.Polgármester'!O43)</f>
        <v>478000</v>
      </c>
      <c r="F53" s="677">
        <f t="shared" si="1"/>
        <v>1</v>
      </c>
    </row>
    <row r="54" spans="1:7" ht="19.899999999999999" customHeight="1" x14ac:dyDescent="0.25">
      <c r="A54" s="611">
        <v>20</v>
      </c>
      <c r="B54" s="616" t="s">
        <v>692</v>
      </c>
      <c r="C54" s="669">
        <v>0</v>
      </c>
      <c r="D54" s="669">
        <v>73000</v>
      </c>
      <c r="E54" s="678">
        <f>SUM('[2]1014.Polgármester'!O44)</f>
        <v>73000</v>
      </c>
      <c r="F54" s="677">
        <f t="shared" si="1"/>
        <v>1</v>
      </c>
    </row>
    <row r="55" spans="1:7" ht="19.899999999999999" customHeight="1" x14ac:dyDescent="0.25">
      <c r="A55" s="611">
        <v>20</v>
      </c>
      <c r="B55" s="616" t="s">
        <v>691</v>
      </c>
      <c r="C55" s="669">
        <v>0</v>
      </c>
      <c r="D55" s="669">
        <v>30000</v>
      </c>
      <c r="E55" s="672">
        <f>SUM('[2]1011.Városüzemelt.O'!O119)</f>
        <v>30000</v>
      </c>
      <c r="F55" s="671">
        <f t="shared" si="1"/>
        <v>1</v>
      </c>
    </row>
    <row r="56" spans="1:7" ht="19.899999999999999" customHeight="1" x14ac:dyDescent="0.25">
      <c r="A56" s="611">
        <v>20</v>
      </c>
      <c r="B56" s="616" t="s">
        <v>690</v>
      </c>
      <c r="C56" s="669">
        <v>0</v>
      </c>
      <c r="D56" s="669">
        <v>2350</v>
      </c>
      <c r="E56" s="672">
        <f>SUM('[2]1018.Főépítész'!O30)</f>
        <v>2350</v>
      </c>
      <c r="F56" s="671">
        <f t="shared" si="1"/>
        <v>1</v>
      </c>
    </row>
    <row r="57" spans="1:7" ht="19.899999999999999" customHeight="1" x14ac:dyDescent="0.25">
      <c r="A57" s="611">
        <v>20</v>
      </c>
      <c r="B57" s="616" t="s">
        <v>689</v>
      </c>
      <c r="C57" s="669">
        <v>0</v>
      </c>
      <c r="D57" s="669">
        <v>991</v>
      </c>
      <c r="E57" s="672">
        <f>SUM('[2]1018.Főépítész'!O32)</f>
        <v>991</v>
      </c>
      <c r="F57" s="671">
        <f t="shared" si="1"/>
        <v>1</v>
      </c>
    </row>
    <row r="58" spans="1:7" ht="19.899999999999999" customHeight="1" x14ac:dyDescent="0.25">
      <c r="A58" s="611">
        <v>20</v>
      </c>
      <c r="B58" s="676" t="s">
        <v>688</v>
      </c>
      <c r="C58" s="669">
        <v>0</v>
      </c>
      <c r="D58" s="675">
        <v>4039</v>
      </c>
      <c r="E58" s="674">
        <f>SUM('[2]1018.Főépítész'!O33:O34)</f>
        <v>4039</v>
      </c>
      <c r="F58" s="673">
        <f t="shared" si="1"/>
        <v>1</v>
      </c>
    </row>
    <row r="59" spans="1:7" ht="19.899999999999999" customHeight="1" x14ac:dyDescent="0.25">
      <c r="A59" s="611">
        <v>20</v>
      </c>
      <c r="B59" s="616" t="s">
        <v>687</v>
      </c>
      <c r="C59" s="669">
        <v>0</v>
      </c>
      <c r="D59" s="669">
        <v>1979</v>
      </c>
      <c r="E59" s="672">
        <f>SUM('[2]1004.Gondnokság'!R26)</f>
        <v>1979</v>
      </c>
      <c r="F59" s="671">
        <f t="shared" si="1"/>
        <v>1</v>
      </c>
    </row>
    <row r="60" spans="1:7" ht="28.9" customHeight="1" thickBot="1" x14ac:dyDescent="0.3">
      <c r="A60" s="611">
        <v>20</v>
      </c>
      <c r="B60" s="670" t="s">
        <v>686</v>
      </c>
      <c r="C60" s="669">
        <v>0</v>
      </c>
      <c r="D60" s="668">
        <v>69352</v>
      </c>
      <c r="E60" s="667">
        <f>SUM('[2]1029 Pályázatok'!O27)</f>
        <v>69352</v>
      </c>
      <c r="F60" s="666">
        <f t="shared" si="1"/>
        <v>1</v>
      </c>
    </row>
    <row r="61" spans="1:7" s="660" customFormat="1" ht="19.899999999999999" customHeight="1" thickBot="1" x14ac:dyDescent="0.3">
      <c r="A61" s="665" t="s">
        <v>119</v>
      </c>
      <c r="B61" s="664" t="s">
        <v>685</v>
      </c>
      <c r="C61" s="663">
        <f>6903398</f>
        <v>6903398</v>
      </c>
      <c r="D61" s="662">
        <v>5476539</v>
      </c>
      <c r="E61" s="662">
        <f>SUM(E20:E60)-E45-E23-E46</f>
        <v>5476539</v>
      </c>
      <c r="F61" s="661">
        <f t="shared" si="1"/>
        <v>1</v>
      </c>
      <c r="G61" s="652"/>
    </row>
    <row r="62" spans="1:7" s="654" customFormat="1" ht="19.899999999999999" customHeight="1" thickBot="1" x14ac:dyDescent="0.3">
      <c r="A62" s="659"/>
      <c r="B62" s="658" t="s">
        <v>684</v>
      </c>
      <c r="C62" s="657">
        <v>7258926</v>
      </c>
      <c r="D62" s="657">
        <v>5652972</v>
      </c>
      <c r="E62" s="656">
        <f>SUM(E61+E19)</f>
        <v>5652972</v>
      </c>
      <c r="F62" s="655">
        <f t="shared" si="1"/>
        <v>1</v>
      </c>
    </row>
  </sheetData>
  <mergeCells count="2">
    <mergeCell ref="A2:F2"/>
    <mergeCell ref="E3:F3"/>
  </mergeCells>
  <printOptions horizontalCentered="1"/>
  <pageMargins left="0" right="0" top="0.39370078740157483" bottom="0.35433070866141736" header="0" footer="0"/>
  <pageSetup paperSize="9" scale="79" fitToHeight="2" orientation="portrait" r:id="rId1"/>
  <headerFooter>
    <oddHeader xml:space="preserve">&amp;L
&amp;C
</oddHeader>
    <oddFooter>&amp;P. oldal</oddFooter>
  </headerFooter>
  <rowBreaks count="1" manualBreakCount="1">
    <brk id="44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G67"/>
  <sheetViews>
    <sheetView view="pageBreakPreview" zoomScaleNormal="120" zoomScaleSheetLayoutView="100" workbookViewId="0">
      <selection activeCell="G6" sqref="G6"/>
    </sheetView>
  </sheetViews>
  <sheetFormatPr defaultColWidth="9.140625" defaultRowHeight="15" x14ac:dyDescent="0.25"/>
  <cols>
    <col min="1" max="1" width="9.140625" style="527"/>
    <col min="2" max="2" width="59.28515625" style="527" customWidth="1"/>
    <col min="3" max="3" width="14.28515625" style="527" hidden="1" customWidth="1"/>
    <col min="4" max="4" width="14.28515625" style="527" customWidth="1"/>
    <col min="5" max="5" width="15.7109375" style="527" customWidth="1"/>
    <col min="6" max="6" width="15.5703125" style="527" bestFit="1" customWidth="1"/>
    <col min="7" max="16384" width="9.140625" style="527"/>
  </cols>
  <sheetData>
    <row r="2" spans="1:7" ht="33.75" customHeight="1" x14ac:dyDescent="0.25">
      <c r="A2" s="1282" t="s">
        <v>868</v>
      </c>
      <c r="B2" s="1381"/>
      <c r="C2" s="1381"/>
      <c r="D2" s="1381"/>
      <c r="E2" s="1381"/>
      <c r="F2" s="1381"/>
    </row>
    <row r="3" spans="1:7" x14ac:dyDescent="0.25">
      <c r="A3" s="651"/>
      <c r="B3" s="650"/>
      <c r="C3" s="650"/>
      <c r="D3" s="650"/>
      <c r="E3" s="1379" t="s">
        <v>683</v>
      </c>
      <c r="F3" s="1380"/>
    </row>
    <row r="4" spans="1:7" x14ac:dyDescent="0.25">
      <c r="A4" s="651"/>
      <c r="B4" s="650"/>
      <c r="C4" s="650"/>
      <c r="D4" s="650"/>
      <c r="E4" s="420"/>
      <c r="F4" s="649"/>
    </row>
    <row r="5" spans="1:7" ht="15.75" thickBot="1" x14ac:dyDescent="0.3">
      <c r="F5" s="202" t="s">
        <v>277</v>
      </c>
    </row>
    <row r="6" spans="1:7" ht="30" customHeight="1" thickBot="1" x14ac:dyDescent="0.3">
      <c r="A6" s="648" t="s">
        <v>276</v>
      </c>
      <c r="B6" s="647" t="s">
        <v>275</v>
      </c>
      <c r="C6" s="647" t="s">
        <v>599</v>
      </c>
      <c r="D6" s="646" t="s">
        <v>273</v>
      </c>
      <c r="E6" s="646" t="s">
        <v>272</v>
      </c>
      <c r="F6" s="645" t="s">
        <v>598</v>
      </c>
    </row>
    <row r="7" spans="1:7" s="457" customFormat="1" ht="15" customHeight="1" thickBot="1" x14ac:dyDescent="0.25">
      <c r="A7" s="644" t="s">
        <v>72</v>
      </c>
      <c r="B7" s="643" t="s">
        <v>70</v>
      </c>
      <c r="C7" s="642" t="s">
        <v>91</v>
      </c>
      <c r="D7" s="641" t="s">
        <v>91</v>
      </c>
      <c r="E7" s="641" t="s">
        <v>66</v>
      </c>
      <c r="F7" s="640" t="s">
        <v>200</v>
      </c>
    </row>
    <row r="8" spans="1:7" ht="19.899999999999999" customHeight="1" thickBot="1" x14ac:dyDescent="0.3">
      <c r="A8" s="639" t="s">
        <v>61</v>
      </c>
      <c r="B8" s="638" t="s">
        <v>682</v>
      </c>
      <c r="C8" s="637">
        <v>3458281</v>
      </c>
      <c r="D8" s="637">
        <v>3946960</v>
      </c>
      <c r="E8" s="637">
        <f>SUM(E9+E17)</f>
        <v>3946960</v>
      </c>
      <c r="F8" s="636">
        <f t="shared" ref="F8:F46" si="0">E8/D8</f>
        <v>1</v>
      </c>
    </row>
    <row r="9" spans="1:7" s="529" customFormat="1" ht="19.899999999999999" customHeight="1" x14ac:dyDescent="0.25">
      <c r="A9" s="635" t="s">
        <v>64</v>
      </c>
      <c r="B9" s="602" t="s">
        <v>681</v>
      </c>
      <c r="C9" s="605">
        <v>834737</v>
      </c>
      <c r="D9" s="634">
        <v>1778345</v>
      </c>
      <c r="E9" s="633">
        <f>SUM(E10:E16)-E11</f>
        <v>1778345</v>
      </c>
      <c r="F9" s="632">
        <f t="shared" si="0"/>
        <v>1</v>
      </c>
      <c r="G9" s="631"/>
    </row>
    <row r="10" spans="1:7" ht="19.899999999999999" customHeight="1" x14ac:dyDescent="0.25">
      <c r="A10" s="592">
        <v>1</v>
      </c>
      <c r="B10" s="591" t="s">
        <v>680</v>
      </c>
      <c r="C10" s="590">
        <v>3400</v>
      </c>
      <c r="D10" s="615">
        <v>18030</v>
      </c>
      <c r="E10" s="625">
        <f>SUM('[2]1026 Közbiztonságért felelős Ka'!O15+E11)</f>
        <v>18030</v>
      </c>
      <c r="F10" s="624">
        <f t="shared" si="0"/>
        <v>1</v>
      </c>
      <c r="G10" s="570"/>
    </row>
    <row r="11" spans="1:7" s="1" customFormat="1" ht="19.899999999999999" customHeight="1" x14ac:dyDescent="0.2">
      <c r="A11" s="629" t="s">
        <v>679</v>
      </c>
      <c r="B11" s="628" t="s">
        <v>678</v>
      </c>
      <c r="C11" s="627">
        <v>0</v>
      </c>
      <c r="D11" s="626">
        <v>15000</v>
      </c>
      <c r="E11" s="625">
        <f>SUM('[2]1005. ISMO'!O70)</f>
        <v>15000</v>
      </c>
      <c r="F11" s="624">
        <f t="shared" si="0"/>
        <v>1</v>
      </c>
      <c r="G11" s="419"/>
    </row>
    <row r="12" spans="1:7" ht="19.899999999999999" customHeight="1" x14ac:dyDescent="0.25">
      <c r="A12" s="592">
        <v>2</v>
      </c>
      <c r="B12" s="595" t="s">
        <v>677</v>
      </c>
      <c r="C12" s="590">
        <v>90000</v>
      </c>
      <c r="D12" s="615">
        <v>45000</v>
      </c>
      <c r="E12" s="625">
        <f>SUM('[2]1026 Közbiztonságért felelős Ka'!O17)</f>
        <v>45000</v>
      </c>
      <c r="F12" s="624">
        <f t="shared" si="0"/>
        <v>1</v>
      </c>
      <c r="G12" s="568"/>
    </row>
    <row r="13" spans="1:7" ht="19.899999999999999" hidden="1" customHeight="1" x14ac:dyDescent="0.25">
      <c r="A13" s="592">
        <v>3</v>
      </c>
      <c r="B13" s="595" t="s">
        <v>676</v>
      </c>
      <c r="C13" s="590">
        <v>3500</v>
      </c>
      <c r="D13" s="615">
        <v>0</v>
      </c>
      <c r="E13" s="615">
        <f>SUM('[2]1014.Polgármester'!O30)</f>
        <v>0</v>
      </c>
      <c r="F13" s="589" t="e">
        <f t="shared" si="0"/>
        <v>#DIV/0!</v>
      </c>
    </row>
    <row r="14" spans="1:7" ht="19.899999999999999" hidden="1" customHeight="1" x14ac:dyDescent="0.25">
      <c r="A14" s="592">
        <v>5</v>
      </c>
      <c r="B14" s="623" t="s">
        <v>675</v>
      </c>
      <c r="C14" s="590">
        <v>24000</v>
      </c>
      <c r="D14" s="615">
        <v>0</v>
      </c>
      <c r="E14" s="615">
        <f>+'[2]1017 Népjóléti Kabinet'!O23</f>
        <v>0</v>
      </c>
      <c r="F14" s="589" t="e">
        <f t="shared" si="0"/>
        <v>#DIV/0!</v>
      </c>
    </row>
    <row r="15" spans="1:7" ht="19.899999999999999" customHeight="1" x14ac:dyDescent="0.25">
      <c r="A15" s="592">
        <v>3</v>
      </c>
      <c r="B15" s="623" t="s">
        <v>320</v>
      </c>
      <c r="C15" s="590">
        <v>713837</v>
      </c>
      <c r="D15" s="615">
        <v>1713515</v>
      </c>
      <c r="E15" s="615">
        <f>+'[2]1022.Költségv.O.'!O11</f>
        <v>1713515</v>
      </c>
      <c r="F15" s="589">
        <f t="shared" si="0"/>
        <v>1</v>
      </c>
    </row>
    <row r="16" spans="1:7" ht="19.899999999999999" customHeight="1" x14ac:dyDescent="0.25">
      <c r="A16" s="592">
        <v>4</v>
      </c>
      <c r="B16" s="623" t="s">
        <v>674</v>
      </c>
      <c r="C16" s="590">
        <v>0</v>
      </c>
      <c r="D16" s="615">
        <v>1800</v>
      </c>
      <c r="E16" s="615">
        <f>SUM('[2]1005. ISMO'!O72)</f>
        <v>1800</v>
      </c>
      <c r="F16" s="589">
        <f t="shared" si="0"/>
        <v>1</v>
      </c>
    </row>
    <row r="17" spans="1:6" s="529" customFormat="1" ht="19.899999999999999" customHeight="1" x14ac:dyDescent="0.25">
      <c r="A17" s="622" t="s">
        <v>119</v>
      </c>
      <c r="B17" s="602" t="s">
        <v>673</v>
      </c>
      <c r="C17" s="601">
        <v>2623544</v>
      </c>
      <c r="D17" s="601">
        <v>2168615</v>
      </c>
      <c r="E17" s="601">
        <f>SUM(E18:E49)</f>
        <v>2168615</v>
      </c>
      <c r="F17" s="600">
        <f t="shared" si="0"/>
        <v>1</v>
      </c>
    </row>
    <row r="18" spans="1:6" ht="19.899999999999999" customHeight="1" x14ac:dyDescent="0.25">
      <c r="A18" s="592">
        <v>1</v>
      </c>
      <c r="B18" s="595" t="s">
        <v>638</v>
      </c>
      <c r="C18" s="590">
        <v>1233225</v>
      </c>
      <c r="D18" s="615">
        <v>1129000</v>
      </c>
      <c r="E18" s="615">
        <f>+'[2]1030 Gazdasági szervezetek'!O13</f>
        <v>1129000</v>
      </c>
      <c r="F18" s="589">
        <f t="shared" si="0"/>
        <v>1</v>
      </c>
    </row>
    <row r="19" spans="1:6" ht="19.899999999999999" customHeight="1" x14ac:dyDescent="0.25">
      <c r="A19" s="592">
        <v>2</v>
      </c>
      <c r="B19" s="591" t="s">
        <v>640</v>
      </c>
      <c r="C19" s="590">
        <v>263797</v>
      </c>
      <c r="D19" s="615">
        <v>107787</v>
      </c>
      <c r="E19" s="615">
        <f>SUM('[2]1030 Gazdasági szervezetek'!O10)</f>
        <v>107787</v>
      </c>
      <c r="F19" s="589">
        <f t="shared" si="0"/>
        <v>1</v>
      </c>
    </row>
    <row r="20" spans="1:6" ht="19.899999999999999" customHeight="1" x14ac:dyDescent="0.25">
      <c r="A20" s="592">
        <v>3</v>
      </c>
      <c r="B20" s="591" t="s">
        <v>637</v>
      </c>
      <c r="C20" s="590">
        <v>196048</v>
      </c>
      <c r="D20" s="615">
        <v>165000</v>
      </c>
      <c r="E20" s="615">
        <f>SUM('[2]1030 Gazdasági szervezetek'!O3)</f>
        <v>165000</v>
      </c>
      <c r="F20" s="589">
        <f t="shared" si="0"/>
        <v>1</v>
      </c>
    </row>
    <row r="21" spans="1:6" ht="19.899999999999999" customHeight="1" x14ac:dyDescent="0.25">
      <c r="A21" s="592">
        <v>4</v>
      </c>
      <c r="B21" s="591" t="s">
        <v>672</v>
      </c>
      <c r="C21" s="590">
        <v>572567</v>
      </c>
      <c r="D21" s="615">
        <v>172000</v>
      </c>
      <c r="E21" s="615">
        <f>SUM('[2]1030 Gazdasági szervezetek'!O5)</f>
        <v>172000</v>
      </c>
      <c r="F21" s="589">
        <f t="shared" si="0"/>
        <v>1</v>
      </c>
    </row>
    <row r="22" spans="1:6" ht="19.899999999999999" customHeight="1" x14ac:dyDescent="0.25">
      <c r="A22" s="611">
        <v>5</v>
      </c>
      <c r="B22" s="596" t="s">
        <v>671</v>
      </c>
      <c r="C22" s="594">
        <v>158000</v>
      </c>
      <c r="D22" s="620">
        <v>232000</v>
      </c>
      <c r="E22" s="620">
        <f>SUM('[2]1030 Gazdasági szervezetek'!O7)</f>
        <v>232000</v>
      </c>
      <c r="F22" s="593">
        <f t="shared" si="0"/>
        <v>1</v>
      </c>
    </row>
    <row r="23" spans="1:6" ht="19.899999999999999" customHeight="1" x14ac:dyDescent="0.25">
      <c r="A23" s="611">
        <v>6</v>
      </c>
      <c r="B23" s="616" t="s">
        <v>670</v>
      </c>
      <c r="C23" s="590">
        <v>75000</v>
      </c>
      <c r="D23" s="590">
        <v>64000</v>
      </c>
      <c r="E23" s="590">
        <f>SUM('[2]1030 Gazdasági szervezetek'!O11)</f>
        <v>64000</v>
      </c>
      <c r="F23" s="589">
        <f t="shared" si="0"/>
        <v>1</v>
      </c>
    </row>
    <row r="24" spans="1:6" ht="19.899999999999999" hidden="1" customHeight="1" x14ac:dyDescent="0.25">
      <c r="A24" s="592">
        <v>7</v>
      </c>
      <c r="B24" s="591" t="s">
        <v>669</v>
      </c>
      <c r="C24" s="590">
        <v>0</v>
      </c>
      <c r="D24" s="615">
        <v>0</v>
      </c>
      <c r="E24" s="615">
        <v>0</v>
      </c>
      <c r="F24" s="589" t="e">
        <f t="shared" si="0"/>
        <v>#DIV/0!</v>
      </c>
    </row>
    <row r="25" spans="1:6" ht="19.899999999999999" customHeight="1" x14ac:dyDescent="0.25">
      <c r="A25" s="592">
        <v>7</v>
      </c>
      <c r="B25" s="619" t="s">
        <v>668</v>
      </c>
      <c r="C25" s="590">
        <v>3000</v>
      </c>
      <c r="D25" s="615">
        <v>500</v>
      </c>
      <c r="E25" s="615">
        <f>+'[2]1005. ISMO'!O65</f>
        <v>500</v>
      </c>
      <c r="F25" s="589">
        <f t="shared" si="0"/>
        <v>1</v>
      </c>
    </row>
    <row r="26" spans="1:6" ht="19.899999999999999" customHeight="1" x14ac:dyDescent="0.25">
      <c r="A26" s="592">
        <v>8</v>
      </c>
      <c r="B26" s="619" t="s">
        <v>667</v>
      </c>
      <c r="C26" s="590">
        <v>3000</v>
      </c>
      <c r="D26" s="615">
        <v>500</v>
      </c>
      <c r="E26" s="615">
        <f>+'[2]1005. ISMO'!O66</f>
        <v>500</v>
      </c>
      <c r="F26" s="589">
        <f t="shared" si="0"/>
        <v>1</v>
      </c>
    </row>
    <row r="27" spans="1:6" ht="19.899999999999999" customHeight="1" x14ac:dyDescent="0.25">
      <c r="A27" s="592">
        <v>9</v>
      </c>
      <c r="B27" s="595" t="s">
        <v>666</v>
      </c>
      <c r="C27" s="614">
        <v>4000</v>
      </c>
      <c r="D27" s="614">
        <v>1000</v>
      </c>
      <c r="E27" s="614">
        <f>SUM('[2]1005. ISMO'!O62)</f>
        <v>1000</v>
      </c>
      <c r="F27" s="618">
        <f t="shared" si="0"/>
        <v>1</v>
      </c>
    </row>
    <row r="28" spans="1:6" ht="19.899999999999999" customHeight="1" x14ac:dyDescent="0.25">
      <c r="A28" s="592">
        <v>10</v>
      </c>
      <c r="B28" s="616" t="s">
        <v>665</v>
      </c>
      <c r="C28" s="614">
        <v>12000</v>
      </c>
      <c r="D28" s="614">
        <v>4500</v>
      </c>
      <c r="E28" s="614">
        <f>+'[2]1005. ISMO'!O61</f>
        <v>4500</v>
      </c>
      <c r="F28" s="618">
        <f t="shared" si="0"/>
        <v>1</v>
      </c>
    </row>
    <row r="29" spans="1:6" ht="19.899999999999999" customHeight="1" x14ac:dyDescent="0.25">
      <c r="A29" s="592">
        <v>11</v>
      </c>
      <c r="B29" s="591" t="s">
        <v>664</v>
      </c>
      <c r="C29" s="590">
        <v>4000</v>
      </c>
      <c r="D29" s="615">
        <v>500</v>
      </c>
      <c r="E29" s="615">
        <f>+'[2]1005. ISMO'!O64</f>
        <v>500</v>
      </c>
      <c r="F29" s="589">
        <f t="shared" si="0"/>
        <v>1</v>
      </c>
    </row>
    <row r="30" spans="1:6" ht="19.899999999999999" customHeight="1" x14ac:dyDescent="0.25">
      <c r="A30" s="592">
        <v>12</v>
      </c>
      <c r="B30" s="591" t="s">
        <v>663</v>
      </c>
      <c r="C30" s="590">
        <v>4072</v>
      </c>
      <c r="D30" s="615">
        <v>4000</v>
      </c>
      <c r="E30" s="615">
        <f>SUM('[2]1027 Kulturáért felelős Kabinet'!O27)</f>
        <v>4000</v>
      </c>
      <c r="F30" s="589">
        <f t="shared" si="0"/>
        <v>1</v>
      </c>
    </row>
    <row r="31" spans="1:6" ht="19.899999999999999" customHeight="1" x14ac:dyDescent="0.25">
      <c r="A31" s="592">
        <v>13</v>
      </c>
      <c r="B31" s="591" t="s">
        <v>662</v>
      </c>
      <c r="C31" s="613">
        <v>4800</v>
      </c>
      <c r="D31" s="613">
        <v>1500</v>
      </c>
      <c r="E31" s="613">
        <f>SUM('[2]1005. ISMO'!O67)</f>
        <v>1500</v>
      </c>
      <c r="F31" s="612">
        <f t="shared" si="0"/>
        <v>1</v>
      </c>
    </row>
    <row r="32" spans="1:6" ht="19.899999999999999" customHeight="1" x14ac:dyDescent="0.25">
      <c r="A32" s="592">
        <v>14</v>
      </c>
      <c r="B32" s="591" t="s">
        <v>661</v>
      </c>
      <c r="C32" s="590">
        <v>3000</v>
      </c>
      <c r="D32" s="590">
        <v>1000</v>
      </c>
      <c r="E32" s="590">
        <f>SUM('[2]1027 Kulturáért felelős Kabinet'!O28)</f>
        <v>1000</v>
      </c>
      <c r="F32" s="589">
        <f t="shared" si="0"/>
        <v>1</v>
      </c>
    </row>
    <row r="33" spans="1:6" ht="19.899999999999999" customHeight="1" x14ac:dyDescent="0.25">
      <c r="A33" s="592">
        <v>15</v>
      </c>
      <c r="B33" s="591" t="s">
        <v>660</v>
      </c>
      <c r="C33" s="590">
        <v>0</v>
      </c>
      <c r="D33" s="590">
        <v>1000</v>
      </c>
      <c r="E33" s="590">
        <f>SUM('[2]1005. ISMO'!O68)</f>
        <v>1000</v>
      </c>
      <c r="F33" s="589">
        <f t="shared" si="0"/>
        <v>1</v>
      </c>
    </row>
    <row r="34" spans="1:6" ht="19.899999999999999" customHeight="1" x14ac:dyDescent="0.25">
      <c r="A34" s="592">
        <v>16</v>
      </c>
      <c r="B34" s="610" t="s">
        <v>659</v>
      </c>
      <c r="C34" s="609">
        <v>10000</v>
      </c>
      <c r="D34" s="609">
        <v>1000</v>
      </c>
      <c r="E34" s="609">
        <f>SUM('[2]1027 Kulturáért felelős Kabinet'!O31)</f>
        <v>1000</v>
      </c>
      <c r="F34" s="617">
        <f t="shared" si="0"/>
        <v>1</v>
      </c>
    </row>
    <row r="35" spans="1:6" ht="19.899999999999999" customHeight="1" x14ac:dyDescent="0.25">
      <c r="A35" s="592">
        <v>17</v>
      </c>
      <c r="B35" s="616" t="s">
        <v>630</v>
      </c>
      <c r="C35" s="590">
        <v>1900</v>
      </c>
      <c r="D35" s="590">
        <v>1000</v>
      </c>
      <c r="E35" s="590">
        <f>SUM('[2]1027 Kulturáért felelős Kabinet'!O30)</f>
        <v>1000</v>
      </c>
      <c r="F35" s="589">
        <f t="shared" si="0"/>
        <v>1</v>
      </c>
    </row>
    <row r="36" spans="1:6" ht="19.899999999999999" customHeight="1" x14ac:dyDescent="0.25">
      <c r="A36" s="592">
        <v>18</v>
      </c>
      <c r="B36" s="595" t="s">
        <v>658</v>
      </c>
      <c r="C36" s="590">
        <v>6000</v>
      </c>
      <c r="D36" s="615">
        <v>6000</v>
      </c>
      <c r="E36" s="615">
        <f>SUM('[2]1026 Közbiztonságért felelős Ka'!O20)</f>
        <v>6000</v>
      </c>
      <c r="F36" s="589">
        <f t="shared" si="0"/>
        <v>1</v>
      </c>
    </row>
    <row r="37" spans="1:6" ht="19.899999999999999" customHeight="1" x14ac:dyDescent="0.25">
      <c r="A37" s="592">
        <v>19</v>
      </c>
      <c r="B37" s="591" t="s">
        <v>657</v>
      </c>
      <c r="C37" s="594">
        <v>14000</v>
      </c>
      <c r="D37" s="594">
        <v>13300</v>
      </c>
      <c r="E37" s="594">
        <f>SUM('[2]1017 Népjóléti Kabinet'!O26)</f>
        <v>13300</v>
      </c>
      <c r="F37" s="593">
        <f t="shared" si="0"/>
        <v>1</v>
      </c>
    </row>
    <row r="38" spans="1:6" ht="19.899999999999999" customHeight="1" x14ac:dyDescent="0.25">
      <c r="A38" s="592">
        <v>20</v>
      </c>
      <c r="B38" s="591" t="s">
        <v>656</v>
      </c>
      <c r="C38" s="590">
        <v>2000</v>
      </c>
      <c r="D38" s="615">
        <v>2000</v>
      </c>
      <c r="E38" s="615">
        <f>SUM('[2]1011.Városüzemelt.O'!O57)</f>
        <v>2000</v>
      </c>
      <c r="F38" s="589">
        <f t="shared" si="0"/>
        <v>1</v>
      </c>
    </row>
    <row r="39" spans="1:6" ht="38.25" customHeight="1" x14ac:dyDescent="0.25">
      <c r="A39" s="592">
        <v>21</v>
      </c>
      <c r="B39" s="595" t="s">
        <v>655</v>
      </c>
      <c r="C39" s="590">
        <v>6000</v>
      </c>
      <c r="D39" s="615">
        <v>3000</v>
      </c>
      <c r="E39" s="615">
        <f>SUM('[2]1026 Közbiztonságért felelős Ka'!O21)</f>
        <v>3000</v>
      </c>
      <c r="F39" s="589">
        <f t="shared" si="0"/>
        <v>1</v>
      </c>
    </row>
    <row r="40" spans="1:6" ht="30" customHeight="1" x14ac:dyDescent="0.25">
      <c r="A40" s="592">
        <v>22</v>
      </c>
      <c r="B40" s="595" t="s">
        <v>654</v>
      </c>
      <c r="C40" s="590">
        <v>0</v>
      </c>
      <c r="D40" s="615">
        <v>450</v>
      </c>
      <c r="E40" s="615">
        <f>SUM('[2]1026 Közbiztonságért felelős Ka'!O22)</f>
        <v>450</v>
      </c>
      <c r="F40" s="589">
        <f t="shared" si="0"/>
        <v>1</v>
      </c>
    </row>
    <row r="41" spans="1:6" ht="30" customHeight="1" x14ac:dyDescent="0.25">
      <c r="A41" s="592">
        <v>23</v>
      </c>
      <c r="B41" s="595" t="s">
        <v>653</v>
      </c>
      <c r="C41" s="594">
        <v>1800</v>
      </c>
      <c r="D41" s="594">
        <v>1800</v>
      </c>
      <c r="E41" s="594">
        <f>+'[2]1011.Városüzemelt.O'!O56</f>
        <v>1800</v>
      </c>
      <c r="F41" s="593">
        <f t="shared" si="0"/>
        <v>1</v>
      </c>
    </row>
    <row r="42" spans="1:6" ht="19.899999999999999" hidden="1" customHeight="1" x14ac:dyDescent="0.25">
      <c r="A42" s="611">
        <v>25</v>
      </c>
      <c r="B42" s="591" t="s">
        <v>652</v>
      </c>
      <c r="C42" s="590">
        <v>1000</v>
      </c>
      <c r="D42" s="590">
        <v>0</v>
      </c>
      <c r="E42" s="590">
        <f>SUM('[2]1027 Kulturáért felelős Kabinet'!O29)</f>
        <v>0</v>
      </c>
      <c r="F42" s="589" t="e">
        <f t="shared" si="0"/>
        <v>#DIV/0!</v>
      </c>
    </row>
    <row r="43" spans="1:6" ht="19.899999999999999" hidden="1" customHeight="1" x14ac:dyDescent="0.25">
      <c r="A43" s="611">
        <v>26</v>
      </c>
      <c r="B43" s="591" t="s">
        <v>651</v>
      </c>
      <c r="C43" s="613">
        <v>26745</v>
      </c>
      <c r="D43" s="613">
        <v>0</v>
      </c>
      <c r="E43" s="613">
        <f>SUM('[2]1005. ISMO'!O60)</f>
        <v>0</v>
      </c>
      <c r="F43" s="612" t="e">
        <f t="shared" si="0"/>
        <v>#DIV/0!</v>
      </c>
    </row>
    <row r="44" spans="1:6" ht="19.899999999999999" hidden="1" customHeight="1" x14ac:dyDescent="0.25">
      <c r="A44" s="611">
        <v>27</v>
      </c>
      <c r="B44" s="591" t="s">
        <v>648</v>
      </c>
      <c r="C44" s="614">
        <v>15000</v>
      </c>
      <c r="D44" s="613">
        <v>0</v>
      </c>
      <c r="E44" s="613">
        <v>0</v>
      </c>
      <c r="F44" s="612" t="e">
        <f t="shared" si="0"/>
        <v>#DIV/0!</v>
      </c>
    </row>
    <row r="45" spans="1:6" ht="19.899999999999999" hidden="1" customHeight="1" x14ac:dyDescent="0.25">
      <c r="A45" s="611">
        <v>28</v>
      </c>
      <c r="B45" s="591" t="s">
        <v>650</v>
      </c>
      <c r="C45" s="614">
        <v>90</v>
      </c>
      <c r="D45" s="613">
        <v>0</v>
      </c>
      <c r="E45" s="613">
        <f>+'[2]1017 Népjóléti Kabinet'!O25</f>
        <v>0</v>
      </c>
      <c r="F45" s="612" t="e">
        <f t="shared" si="0"/>
        <v>#DIV/0!</v>
      </c>
    </row>
    <row r="46" spans="1:6" ht="19.899999999999999" hidden="1" customHeight="1" x14ac:dyDescent="0.25">
      <c r="A46" s="611">
        <v>29</v>
      </c>
      <c r="B46" s="591" t="s">
        <v>649</v>
      </c>
      <c r="C46" s="614">
        <v>2500</v>
      </c>
      <c r="D46" s="613">
        <v>0</v>
      </c>
      <c r="E46" s="613">
        <f>SUM('[2]1026 Közbiztonságért felelős Ka'!O19)</f>
        <v>0</v>
      </c>
      <c r="F46" s="612" t="e">
        <f t="shared" si="0"/>
        <v>#DIV/0!</v>
      </c>
    </row>
    <row r="47" spans="1:6" ht="19.899999999999999" customHeight="1" x14ac:dyDescent="0.25">
      <c r="A47" s="611">
        <v>24</v>
      </c>
      <c r="B47" s="591" t="s">
        <v>648</v>
      </c>
      <c r="C47" s="614"/>
      <c r="D47" s="613">
        <v>1000</v>
      </c>
      <c r="E47" s="613">
        <f>SUM('[2]1005. ISMO'!O74)</f>
        <v>1000</v>
      </c>
      <c r="F47" s="612"/>
    </row>
    <row r="48" spans="1:6" ht="19.899999999999999" customHeight="1" x14ac:dyDescent="0.25">
      <c r="A48" s="611">
        <v>25</v>
      </c>
      <c r="B48" s="591" t="s">
        <v>647</v>
      </c>
      <c r="C48" s="614">
        <v>0</v>
      </c>
      <c r="D48" s="614">
        <v>1000</v>
      </c>
      <c r="E48" s="613">
        <f>SUM('[2]1014.Polgármester'!O32)</f>
        <v>1000</v>
      </c>
      <c r="F48" s="612">
        <f>E48/D48</f>
        <v>1</v>
      </c>
    </row>
    <row r="49" spans="1:6" ht="19.899999999999999" customHeight="1" thickBot="1" x14ac:dyDescent="0.3">
      <c r="A49" s="611">
        <v>26</v>
      </c>
      <c r="B49" s="610" t="s">
        <v>295</v>
      </c>
      <c r="C49" s="609">
        <v>0</v>
      </c>
      <c r="D49" s="609">
        <v>253778</v>
      </c>
      <c r="E49" s="608">
        <f>SUM('[2]Segédtábla -áthúzodó'!O30)</f>
        <v>253778</v>
      </c>
      <c r="F49" s="607">
        <f>E49/D49</f>
        <v>1</v>
      </c>
    </row>
    <row r="50" spans="1:6" ht="19.899999999999999" customHeight="1" thickBot="1" x14ac:dyDescent="0.3">
      <c r="A50" s="588" t="s">
        <v>58</v>
      </c>
      <c r="B50" s="587" t="s">
        <v>646</v>
      </c>
      <c r="C50" s="586">
        <v>1145803</v>
      </c>
      <c r="D50" s="586">
        <v>536733</v>
      </c>
      <c r="E50" s="586">
        <f>+E51+E52</f>
        <v>536733</v>
      </c>
      <c r="F50" s="585">
        <f>E50/D50</f>
        <v>1</v>
      </c>
    </row>
    <row r="51" spans="1:6" s="529" customFormat="1" ht="19.899999999999999" customHeight="1" x14ac:dyDescent="0.25">
      <c r="A51" s="606" t="s">
        <v>64</v>
      </c>
      <c r="B51" s="602" t="s">
        <v>645</v>
      </c>
      <c r="C51" s="605">
        <v>0</v>
      </c>
      <c r="D51" s="605">
        <v>0</v>
      </c>
      <c r="E51" s="605">
        <v>0</v>
      </c>
      <c r="F51" s="604"/>
    </row>
    <row r="52" spans="1:6" ht="19.899999999999999" customHeight="1" x14ac:dyDescent="0.25">
      <c r="A52" s="603" t="s">
        <v>119</v>
      </c>
      <c r="B52" s="602" t="s">
        <v>644</v>
      </c>
      <c r="C52" s="601">
        <v>1145803</v>
      </c>
      <c r="D52" s="601">
        <v>536733</v>
      </c>
      <c r="E52" s="601">
        <f>SUM(E53:E66)</f>
        <v>536733</v>
      </c>
      <c r="F52" s="600">
        <f t="shared" ref="F52:F67" si="1">E52/D52</f>
        <v>1</v>
      </c>
    </row>
    <row r="53" spans="1:6" s="529" customFormat="1" ht="19.899999999999999" customHeight="1" x14ac:dyDescent="0.25">
      <c r="A53" s="592">
        <v>1</v>
      </c>
      <c r="B53" s="591" t="s">
        <v>643</v>
      </c>
      <c r="C53" s="594">
        <v>20000</v>
      </c>
      <c r="D53" s="594">
        <v>20000</v>
      </c>
      <c r="E53" s="594">
        <f>SUM('[2]1019.Lakásügyi O.'!O12)</f>
        <v>20000</v>
      </c>
      <c r="F53" s="593">
        <f t="shared" si="1"/>
        <v>1</v>
      </c>
    </row>
    <row r="54" spans="1:6" ht="19.899999999999999" customHeight="1" x14ac:dyDescent="0.25">
      <c r="A54" s="592">
        <v>2</v>
      </c>
      <c r="B54" s="595" t="s">
        <v>642</v>
      </c>
      <c r="C54" s="590">
        <v>25000</v>
      </c>
      <c r="D54" s="590">
        <v>2500</v>
      </c>
      <c r="E54" s="590">
        <f>SUM('[2]1019.Lakásügyi O.'!O10)</f>
        <v>2500</v>
      </c>
      <c r="F54" s="589">
        <f t="shared" si="1"/>
        <v>1</v>
      </c>
    </row>
    <row r="55" spans="1:6" s="597" customFormat="1" ht="19.899999999999999" customHeight="1" x14ac:dyDescent="0.25">
      <c r="A55" s="592">
        <v>3</v>
      </c>
      <c r="B55" s="595" t="s">
        <v>641</v>
      </c>
      <c r="C55" s="599">
        <v>3000</v>
      </c>
      <c r="D55" s="599">
        <v>3000</v>
      </c>
      <c r="E55" s="599">
        <f>SUM('[2]1009 Pénzügy'!O21)</f>
        <v>3000</v>
      </c>
      <c r="F55" s="598">
        <f t="shared" si="1"/>
        <v>1</v>
      </c>
    </row>
    <row r="56" spans="1:6" ht="19.899999999999999" customHeight="1" x14ac:dyDescent="0.25">
      <c r="A56" s="592">
        <v>4</v>
      </c>
      <c r="B56" s="591" t="s">
        <v>640</v>
      </c>
      <c r="C56" s="590">
        <v>352100</v>
      </c>
      <c r="D56" s="590">
        <v>213033</v>
      </c>
      <c r="E56" s="590">
        <f>SUM('[2]1030 Gazdasági szervezetek'!O31)</f>
        <v>213033</v>
      </c>
      <c r="F56" s="589">
        <f t="shared" si="1"/>
        <v>1</v>
      </c>
    </row>
    <row r="57" spans="1:6" ht="19.899999999999999" customHeight="1" x14ac:dyDescent="0.25">
      <c r="A57" s="592">
        <v>5</v>
      </c>
      <c r="B57" s="591" t="s">
        <v>639</v>
      </c>
      <c r="C57" s="594">
        <v>280000</v>
      </c>
      <c r="D57" s="594">
        <v>140000</v>
      </c>
      <c r="E57" s="594">
        <f>SUM('[2]1030 Gazdasági szervezetek'!O30)</f>
        <v>140000</v>
      </c>
      <c r="F57" s="593">
        <f t="shared" si="1"/>
        <v>1</v>
      </c>
    </row>
    <row r="58" spans="1:6" ht="19.899999999999999" hidden="1" customHeight="1" x14ac:dyDescent="0.25">
      <c r="A58" s="592">
        <v>6</v>
      </c>
      <c r="B58" s="595" t="s">
        <v>638</v>
      </c>
      <c r="C58" s="594">
        <v>90000</v>
      </c>
      <c r="D58" s="594">
        <v>0</v>
      </c>
      <c r="E58" s="594">
        <f>+'[2]1030 Gazdasági szervezetek'!M33</f>
        <v>0</v>
      </c>
      <c r="F58" s="593" t="e">
        <f t="shared" si="1"/>
        <v>#DIV/0!</v>
      </c>
    </row>
    <row r="59" spans="1:6" ht="19.899999999999999" customHeight="1" x14ac:dyDescent="0.25">
      <c r="A59" s="592">
        <v>6</v>
      </c>
      <c r="B59" s="596" t="s">
        <v>637</v>
      </c>
      <c r="C59" s="594">
        <v>7403</v>
      </c>
      <c r="D59" s="594">
        <v>7403</v>
      </c>
      <c r="E59" s="594">
        <f>SUM('[2]1030 Gazdasági szervezetek'!O26)</f>
        <v>7403</v>
      </c>
      <c r="F59" s="593">
        <f t="shared" si="1"/>
        <v>1</v>
      </c>
    </row>
    <row r="60" spans="1:6" ht="19.899999999999999" customHeight="1" x14ac:dyDescent="0.25">
      <c r="A60" s="592">
        <v>7</v>
      </c>
      <c r="B60" s="595" t="s">
        <v>636</v>
      </c>
      <c r="C60" s="594">
        <v>190000</v>
      </c>
      <c r="D60" s="594">
        <v>115312</v>
      </c>
      <c r="E60" s="594">
        <f>SUM('[2]1023.Vagyongazd.O.'!O22)</f>
        <v>115312</v>
      </c>
      <c r="F60" s="593">
        <f t="shared" si="1"/>
        <v>1</v>
      </c>
    </row>
    <row r="61" spans="1:6" ht="19.899999999999999" customHeight="1" x14ac:dyDescent="0.25">
      <c r="A61" s="592">
        <v>8</v>
      </c>
      <c r="B61" s="595" t="s">
        <v>635</v>
      </c>
      <c r="C61" s="594">
        <v>82000</v>
      </c>
      <c r="D61" s="594">
        <v>30000</v>
      </c>
      <c r="E61" s="594">
        <f>+'[2]1011.Városüzemelt.O'!O142</f>
        <v>30000</v>
      </c>
      <c r="F61" s="593">
        <f t="shared" si="1"/>
        <v>1</v>
      </c>
    </row>
    <row r="62" spans="1:6" ht="19.899999999999999" customHeight="1" x14ac:dyDescent="0.25">
      <c r="A62" s="592">
        <v>9</v>
      </c>
      <c r="B62" s="595" t="s">
        <v>634</v>
      </c>
      <c r="C62" s="594">
        <v>1000</v>
      </c>
      <c r="D62" s="594">
        <v>500</v>
      </c>
      <c r="E62" s="594">
        <f>+'[2]1005. ISMO'!O80</f>
        <v>500</v>
      </c>
      <c r="F62" s="593">
        <f t="shared" si="1"/>
        <v>1</v>
      </c>
    </row>
    <row r="63" spans="1:6" ht="19.899999999999999" customHeight="1" x14ac:dyDescent="0.25">
      <c r="A63" s="592">
        <v>10</v>
      </c>
      <c r="B63" s="595" t="s">
        <v>633</v>
      </c>
      <c r="C63" s="594"/>
      <c r="D63" s="594">
        <v>2985</v>
      </c>
      <c r="E63" s="594">
        <f>SUM('[2]1005. ISMO'!O81)</f>
        <v>2985</v>
      </c>
      <c r="F63" s="593">
        <f t="shared" si="1"/>
        <v>1</v>
      </c>
    </row>
    <row r="64" spans="1:6" ht="19.899999999999999" customHeight="1" thickBot="1" x14ac:dyDescent="0.3">
      <c r="A64" s="592">
        <v>11</v>
      </c>
      <c r="B64" s="595" t="s">
        <v>632</v>
      </c>
      <c r="C64" s="594">
        <v>30000</v>
      </c>
      <c r="D64" s="594">
        <v>2000</v>
      </c>
      <c r="E64" s="594">
        <f>+'[2]1005. ISMO'!O83</f>
        <v>2000</v>
      </c>
      <c r="F64" s="593">
        <f t="shared" si="1"/>
        <v>1</v>
      </c>
    </row>
    <row r="65" spans="1:6" ht="19.899999999999999" hidden="1" customHeight="1" x14ac:dyDescent="0.25">
      <c r="A65" s="592">
        <v>13</v>
      </c>
      <c r="B65" s="591" t="s">
        <v>631</v>
      </c>
      <c r="C65" s="590">
        <v>65000</v>
      </c>
      <c r="D65" s="590">
        <v>0</v>
      </c>
      <c r="E65" s="590">
        <f>+'[2]1019.Lakásügyi O.'!O13</f>
        <v>0</v>
      </c>
      <c r="F65" s="589" t="e">
        <f t="shared" si="1"/>
        <v>#DIV/0!</v>
      </c>
    </row>
    <row r="66" spans="1:6" ht="19.899999999999999" hidden="1" customHeight="1" thickBot="1" x14ac:dyDescent="0.3">
      <c r="A66" s="592">
        <v>14</v>
      </c>
      <c r="B66" s="591" t="s">
        <v>630</v>
      </c>
      <c r="C66" s="590">
        <v>300</v>
      </c>
      <c r="D66" s="590">
        <v>0</v>
      </c>
      <c r="E66" s="590">
        <v>0</v>
      </c>
      <c r="F66" s="589" t="e">
        <f t="shared" si="1"/>
        <v>#DIV/0!</v>
      </c>
    </row>
    <row r="67" spans="1:6" ht="19.899999999999999" customHeight="1" thickBot="1" x14ac:dyDescent="0.3">
      <c r="A67" s="588"/>
      <c r="B67" s="587" t="s">
        <v>601</v>
      </c>
      <c r="C67" s="586">
        <v>4604084</v>
      </c>
      <c r="D67" s="586">
        <v>4483693</v>
      </c>
      <c r="E67" s="586">
        <f>SUM(E50+E8)</f>
        <v>4483693</v>
      </c>
      <c r="F67" s="585">
        <f t="shared" si="1"/>
        <v>1</v>
      </c>
    </row>
  </sheetData>
  <mergeCells count="2">
    <mergeCell ref="E3:F3"/>
    <mergeCell ref="A2:F2"/>
  </mergeCells>
  <printOptions horizontalCentered="1"/>
  <pageMargins left="1.1023622047244095" right="0.70866141732283472" top="0.74803149606299213" bottom="0.74803149606299213" header="0.31496062992125984" footer="0.31496062992125984"/>
  <pageSetup paperSize="9" scale="72" fitToHeight="2" orientation="portrait" r:id="rId1"/>
  <rowBreaks count="1" manualBreakCount="1">
    <brk id="50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44"/>
  <sheetViews>
    <sheetView zoomScaleNormal="100" workbookViewId="0">
      <selection activeCell="H5" sqref="H5"/>
    </sheetView>
  </sheetViews>
  <sheetFormatPr defaultColWidth="9.140625" defaultRowHeight="15" x14ac:dyDescent="0.25"/>
  <cols>
    <col min="1" max="1" width="9.140625" style="527"/>
    <col min="2" max="2" width="54.7109375" style="527" customWidth="1"/>
    <col min="3" max="3" width="12.85546875" style="527" hidden="1" customWidth="1"/>
    <col min="4" max="4" width="12.85546875" style="527" customWidth="1"/>
    <col min="5" max="5" width="13.140625" style="527" customWidth="1"/>
    <col min="6" max="6" width="12.5703125" style="527" customWidth="1"/>
    <col min="7" max="16384" width="9.140625" style="527"/>
  </cols>
  <sheetData>
    <row r="1" spans="1:8" ht="33.75" customHeight="1" x14ac:dyDescent="0.25">
      <c r="A1" s="1282" t="s">
        <v>869</v>
      </c>
      <c r="B1" s="1282"/>
      <c r="C1" s="1282"/>
      <c r="D1" s="1282"/>
      <c r="E1" s="1282"/>
      <c r="F1" s="1282"/>
    </row>
    <row r="2" spans="1:8" ht="15" customHeight="1" x14ac:dyDescent="0.25">
      <c r="E2" s="1379" t="s">
        <v>629</v>
      </c>
      <c r="F2" s="1379"/>
    </row>
    <row r="3" spans="1:8" ht="15" customHeight="1" x14ac:dyDescent="0.25">
      <c r="E3" s="420"/>
      <c r="F3" s="420"/>
    </row>
    <row r="4" spans="1:8" ht="15.75" thickBot="1" x14ac:dyDescent="0.3">
      <c r="F4" s="202" t="s">
        <v>277</v>
      </c>
    </row>
    <row r="5" spans="1:8" ht="30" customHeight="1" thickBot="1" x14ac:dyDescent="0.3">
      <c r="A5" s="583" t="s">
        <v>276</v>
      </c>
      <c r="B5" s="582" t="s">
        <v>275</v>
      </c>
      <c r="C5" s="582" t="s">
        <v>599</v>
      </c>
      <c r="D5" s="582" t="s">
        <v>273</v>
      </c>
      <c r="E5" s="582" t="s">
        <v>272</v>
      </c>
      <c r="F5" s="581" t="s">
        <v>598</v>
      </c>
    </row>
    <row r="6" spans="1:8" s="457" customFormat="1" ht="15" customHeight="1" thickBot="1" x14ac:dyDescent="0.25">
      <c r="A6" s="580" t="s">
        <v>72</v>
      </c>
      <c r="B6" s="579" t="s">
        <v>70</v>
      </c>
      <c r="C6" s="578" t="s">
        <v>91</v>
      </c>
      <c r="D6" s="578" t="s">
        <v>91</v>
      </c>
      <c r="E6" s="578" t="s">
        <v>66</v>
      </c>
      <c r="F6" s="577" t="s">
        <v>200</v>
      </c>
    </row>
    <row r="7" spans="1:8" ht="25.15" customHeight="1" thickBot="1" x14ac:dyDescent="0.3">
      <c r="A7" s="537" t="s">
        <v>61</v>
      </c>
      <c r="B7" s="563" t="s">
        <v>628</v>
      </c>
      <c r="C7" s="576">
        <v>3558326</v>
      </c>
      <c r="D7" s="576">
        <v>4926993</v>
      </c>
      <c r="E7" s="576">
        <f>SUM(E8+E17)</f>
        <v>4926993</v>
      </c>
      <c r="F7" s="575">
        <f t="shared" ref="F7:F17" si="0">E7/D7</f>
        <v>1</v>
      </c>
    </row>
    <row r="8" spans="1:8" s="529" customFormat="1" ht="25.15" customHeight="1" x14ac:dyDescent="0.25">
      <c r="A8" s="574" t="s">
        <v>64</v>
      </c>
      <c r="B8" s="573" t="s">
        <v>627</v>
      </c>
      <c r="C8" s="572">
        <v>3557326</v>
      </c>
      <c r="D8" s="572">
        <v>4796993</v>
      </c>
      <c r="E8" s="572">
        <f>SUM(E9:E16)</f>
        <v>4796993</v>
      </c>
      <c r="F8" s="571">
        <f t="shared" si="0"/>
        <v>1</v>
      </c>
    </row>
    <row r="9" spans="1:8" ht="25.15" customHeight="1" x14ac:dyDescent="0.25">
      <c r="A9" s="558">
        <v>1</v>
      </c>
      <c r="B9" s="546" t="s">
        <v>265</v>
      </c>
      <c r="C9" s="545">
        <v>3505384</v>
      </c>
      <c r="D9" s="545">
        <v>4738658</v>
      </c>
      <c r="E9" s="545">
        <f>+'[2]1022.Költségv.O.'!O30</f>
        <v>4738658</v>
      </c>
      <c r="F9" s="557">
        <f t="shared" si="0"/>
        <v>1</v>
      </c>
      <c r="G9" s="570"/>
      <c r="H9" s="570"/>
    </row>
    <row r="10" spans="1:8" ht="25.15" customHeight="1" x14ac:dyDescent="0.25">
      <c r="A10" s="558">
        <v>2</v>
      </c>
      <c r="B10" s="569" t="s">
        <v>626</v>
      </c>
      <c r="C10" s="539">
        <v>50730</v>
      </c>
      <c r="D10" s="539">
        <v>55593</v>
      </c>
      <c r="E10" s="539">
        <f>+'[2]1013.Közhasznú Fogl.'!O32</f>
        <v>55593</v>
      </c>
      <c r="F10" s="538">
        <f t="shared" si="0"/>
        <v>1</v>
      </c>
      <c r="G10" s="568"/>
      <c r="H10" s="568"/>
    </row>
    <row r="11" spans="1:8" ht="33" customHeight="1" x14ac:dyDescent="0.25">
      <c r="A11" s="558">
        <v>3</v>
      </c>
      <c r="B11" s="540" t="s">
        <v>625</v>
      </c>
      <c r="C11" s="539">
        <v>1212</v>
      </c>
      <c r="D11" s="539">
        <v>1212</v>
      </c>
      <c r="E11" s="539">
        <f>SUM('[2]1029 Pályázatok'!O40)</f>
        <v>1212</v>
      </c>
      <c r="F11" s="538">
        <f t="shared" si="0"/>
        <v>1</v>
      </c>
      <c r="G11" s="568"/>
      <c r="H11" s="568"/>
    </row>
    <row r="12" spans="1:8" ht="33" customHeight="1" x14ac:dyDescent="0.25">
      <c r="A12" s="558">
        <v>4</v>
      </c>
      <c r="B12" s="540" t="s">
        <v>624</v>
      </c>
      <c r="C12" s="539">
        <v>0</v>
      </c>
      <c r="D12" s="539">
        <v>130</v>
      </c>
      <c r="E12" s="539">
        <f>SUM('[2]1026 Közbiztonságért felelős Ka'!O35)</f>
        <v>130</v>
      </c>
      <c r="F12" s="538">
        <f t="shared" si="0"/>
        <v>1</v>
      </c>
    </row>
    <row r="13" spans="1:8" ht="33" customHeight="1" x14ac:dyDescent="0.25">
      <c r="A13" s="558">
        <v>5</v>
      </c>
      <c r="B13" s="540" t="s">
        <v>623</v>
      </c>
      <c r="C13" s="539">
        <v>0</v>
      </c>
      <c r="D13" s="539">
        <v>500</v>
      </c>
      <c r="E13" s="539">
        <f>SUM('[2]1026 Közbiztonságért felelős Ka'!O36)</f>
        <v>500</v>
      </c>
      <c r="F13" s="538">
        <f t="shared" si="0"/>
        <v>1</v>
      </c>
    </row>
    <row r="14" spans="1:8" ht="33" customHeight="1" x14ac:dyDescent="0.25">
      <c r="A14" s="558">
        <v>6</v>
      </c>
      <c r="B14" s="540" t="s">
        <v>622</v>
      </c>
      <c r="C14" s="539">
        <v>0</v>
      </c>
      <c r="D14" s="539">
        <v>100</v>
      </c>
      <c r="E14" s="539">
        <f>SUM('[2]1026 Közbiztonságért felelős Ka'!O39)</f>
        <v>100</v>
      </c>
      <c r="F14" s="538">
        <f t="shared" si="0"/>
        <v>1</v>
      </c>
    </row>
    <row r="15" spans="1:8" ht="33" customHeight="1" x14ac:dyDescent="0.25">
      <c r="A15" s="558">
        <v>7</v>
      </c>
      <c r="B15" s="540" t="s">
        <v>621</v>
      </c>
      <c r="C15" s="539">
        <v>0</v>
      </c>
      <c r="D15" s="539">
        <v>300</v>
      </c>
      <c r="E15" s="539">
        <f>SUM('[2]1026 Közbiztonságért felelős Ka'!O37)</f>
        <v>300</v>
      </c>
      <c r="F15" s="538">
        <f t="shared" si="0"/>
        <v>1</v>
      </c>
    </row>
    <row r="16" spans="1:8" ht="33" customHeight="1" thickBot="1" x14ac:dyDescent="0.3">
      <c r="A16" s="547">
        <v>8</v>
      </c>
      <c r="B16" s="556" t="s">
        <v>620</v>
      </c>
      <c r="C16" s="555">
        <v>0</v>
      </c>
      <c r="D16" s="555">
        <v>500</v>
      </c>
      <c r="E16" s="555">
        <f>SUM('[2]1026 Közbiztonságért felelős Ka'!O38)</f>
        <v>500</v>
      </c>
      <c r="F16" s="554">
        <f t="shared" si="0"/>
        <v>1</v>
      </c>
    </row>
    <row r="17" spans="1:7" ht="25.15" customHeight="1" thickBot="1" x14ac:dyDescent="0.3">
      <c r="A17" s="562" t="s">
        <v>119</v>
      </c>
      <c r="B17" s="561" t="s">
        <v>619</v>
      </c>
      <c r="C17" s="567">
        <v>1000</v>
      </c>
      <c r="D17" s="567">
        <v>130000</v>
      </c>
      <c r="E17" s="567">
        <f>SUM(E18:E21)</f>
        <v>130000</v>
      </c>
      <c r="F17" s="566">
        <f t="shared" si="0"/>
        <v>1</v>
      </c>
    </row>
    <row r="18" spans="1:7" ht="25.15" hidden="1" customHeight="1" x14ac:dyDescent="0.25">
      <c r="A18" s="558">
        <v>1</v>
      </c>
      <c r="B18" s="546" t="s">
        <v>618</v>
      </c>
      <c r="C18" s="545">
        <v>1000</v>
      </c>
      <c r="D18" s="545">
        <v>0</v>
      </c>
      <c r="E18" s="545">
        <f>+'[2]1024.CSERITI'!O10</f>
        <v>0</v>
      </c>
      <c r="F18" s="557"/>
    </row>
    <row r="19" spans="1:7" ht="25.15" customHeight="1" thickBot="1" x14ac:dyDescent="0.3">
      <c r="A19" s="541">
        <v>1</v>
      </c>
      <c r="B19" s="540" t="s">
        <v>617</v>
      </c>
      <c r="C19" s="539">
        <v>0</v>
      </c>
      <c r="D19" s="539">
        <v>130000</v>
      </c>
      <c r="E19" s="539">
        <f>SUM('[2]1030 Gazdasági szervezetek'!O41)</f>
        <v>130000</v>
      </c>
      <c r="F19" s="538">
        <f t="shared" ref="F19:F35" si="1">E19/D19</f>
        <v>1</v>
      </c>
    </row>
    <row r="20" spans="1:7" ht="25.15" hidden="1" customHeight="1" x14ac:dyDescent="0.25">
      <c r="A20" s="541" t="s">
        <v>91</v>
      </c>
      <c r="B20" s="540" t="s">
        <v>616</v>
      </c>
      <c r="C20" s="565">
        <v>0</v>
      </c>
      <c r="D20" s="565">
        <v>0</v>
      </c>
      <c r="E20" s="565">
        <f>SUM('[2]1030 Gazdasági szervezetek'!O39)</f>
        <v>0</v>
      </c>
      <c r="F20" s="564" t="e">
        <f t="shared" si="1"/>
        <v>#DIV/0!</v>
      </c>
    </row>
    <row r="21" spans="1:7" ht="25.15" hidden="1" customHeight="1" thickBot="1" x14ac:dyDescent="0.3">
      <c r="A21" s="541" t="s">
        <v>66</v>
      </c>
      <c r="B21" s="540" t="s">
        <v>615</v>
      </c>
      <c r="C21" s="565">
        <v>0</v>
      </c>
      <c r="D21" s="565">
        <v>0</v>
      </c>
      <c r="E21" s="565">
        <f>'[2]1030 Gazdasági szervezetek'!O37</f>
        <v>0</v>
      </c>
      <c r="F21" s="564" t="e">
        <f t="shared" si="1"/>
        <v>#DIV/0!</v>
      </c>
    </row>
    <row r="22" spans="1:7" s="529" customFormat="1" ht="25.15" customHeight="1" thickBot="1" x14ac:dyDescent="0.3">
      <c r="A22" s="537" t="s">
        <v>58</v>
      </c>
      <c r="B22" s="563" t="s">
        <v>614</v>
      </c>
      <c r="C22" s="535">
        <v>1666733</v>
      </c>
      <c r="D22" s="535">
        <v>617957</v>
      </c>
      <c r="E22" s="535">
        <f>+E23+E29</f>
        <v>617957</v>
      </c>
      <c r="F22" s="534">
        <f t="shared" si="1"/>
        <v>1</v>
      </c>
    </row>
    <row r="23" spans="1:7" s="529" customFormat="1" ht="25.15" customHeight="1" thickBot="1" x14ac:dyDescent="0.3">
      <c r="A23" s="562" t="s">
        <v>64</v>
      </c>
      <c r="B23" s="561" t="s">
        <v>613</v>
      </c>
      <c r="C23" s="560">
        <v>1078733</v>
      </c>
      <c r="D23" s="560">
        <v>373957</v>
      </c>
      <c r="E23" s="560">
        <f>SUM(E24:E28)</f>
        <v>373957</v>
      </c>
      <c r="F23" s="559">
        <f t="shared" si="1"/>
        <v>1</v>
      </c>
    </row>
    <row r="24" spans="1:7" s="529" customFormat="1" ht="33" customHeight="1" x14ac:dyDescent="0.25">
      <c r="A24" s="558">
        <v>1</v>
      </c>
      <c r="B24" s="546" t="s">
        <v>612</v>
      </c>
      <c r="C24" s="545">
        <v>384750</v>
      </c>
      <c r="D24" s="545">
        <v>192901</v>
      </c>
      <c r="E24" s="545">
        <f>SUM('[2]1011.Városüzemelt.O'!O147)</f>
        <v>192901</v>
      </c>
      <c r="F24" s="557">
        <f t="shared" si="1"/>
        <v>1</v>
      </c>
      <c r="G24" s="553"/>
    </row>
    <row r="25" spans="1:7" s="529" customFormat="1" ht="33" customHeight="1" x14ac:dyDescent="0.25">
      <c r="A25" s="541">
        <v>2</v>
      </c>
      <c r="B25" s="540" t="s">
        <v>611</v>
      </c>
      <c r="C25" s="539">
        <v>200000</v>
      </c>
      <c r="D25" s="539">
        <v>42172</v>
      </c>
      <c r="E25" s="539">
        <f>+'[2]1011.Városüzemelt.O'!O146</f>
        <v>42172</v>
      </c>
      <c r="F25" s="538">
        <f t="shared" si="1"/>
        <v>1</v>
      </c>
      <c r="G25" s="553"/>
    </row>
    <row r="26" spans="1:7" s="529" customFormat="1" ht="25.15" hidden="1" customHeight="1" x14ac:dyDescent="0.25">
      <c r="A26" s="541">
        <v>3</v>
      </c>
      <c r="B26" s="540" t="s">
        <v>610</v>
      </c>
      <c r="C26" s="539">
        <v>479000</v>
      </c>
      <c r="D26" s="539">
        <v>0</v>
      </c>
      <c r="E26" s="539">
        <f>+'[2]1017 Népjóléti Kabinet'!O47</f>
        <v>0</v>
      </c>
      <c r="F26" s="538" t="e">
        <f t="shared" si="1"/>
        <v>#DIV/0!</v>
      </c>
      <c r="G26" s="553"/>
    </row>
    <row r="27" spans="1:7" s="529" customFormat="1" ht="33" customHeight="1" x14ac:dyDescent="0.25">
      <c r="A27" s="541">
        <v>3</v>
      </c>
      <c r="B27" s="540" t="s">
        <v>609</v>
      </c>
      <c r="C27" s="539">
        <v>14983</v>
      </c>
      <c r="D27" s="539">
        <v>14983</v>
      </c>
      <c r="E27" s="539">
        <f>+'[2]1029 Pályázatok'!O44</f>
        <v>14983</v>
      </c>
      <c r="F27" s="538">
        <f t="shared" si="1"/>
        <v>1</v>
      </c>
      <c r="G27" s="553"/>
    </row>
    <row r="28" spans="1:7" s="529" customFormat="1" ht="33" customHeight="1" thickBot="1" x14ac:dyDescent="0.3">
      <c r="A28" s="542">
        <v>4</v>
      </c>
      <c r="B28" s="556" t="s">
        <v>608</v>
      </c>
      <c r="C28" s="555">
        <v>0</v>
      </c>
      <c r="D28" s="555">
        <v>123901</v>
      </c>
      <c r="E28" s="555">
        <f>SUM('[2]1029 Pályázatok'!O43)</f>
        <v>123901</v>
      </c>
      <c r="F28" s="554">
        <f t="shared" si="1"/>
        <v>1</v>
      </c>
      <c r="G28" s="553"/>
    </row>
    <row r="29" spans="1:7" s="548" customFormat="1" ht="25.15" customHeight="1" thickBot="1" x14ac:dyDescent="0.3">
      <c r="A29" s="552" t="s">
        <v>119</v>
      </c>
      <c r="B29" s="551" t="s">
        <v>607</v>
      </c>
      <c r="C29" s="550">
        <v>588000</v>
      </c>
      <c r="D29" s="550">
        <v>244000</v>
      </c>
      <c r="E29" s="550">
        <f>SUM(E30:E34)</f>
        <v>244000</v>
      </c>
      <c r="F29" s="549">
        <f t="shared" si="1"/>
        <v>1</v>
      </c>
    </row>
    <row r="30" spans="1:7" ht="33" customHeight="1" x14ac:dyDescent="0.25">
      <c r="A30" s="547">
        <v>1</v>
      </c>
      <c r="B30" s="546" t="s">
        <v>606</v>
      </c>
      <c r="C30" s="545">
        <v>7000</v>
      </c>
      <c r="D30" s="544">
        <v>3000</v>
      </c>
      <c r="E30" s="544">
        <f>SUM('[2]1009 Pénzügy'!O41)</f>
        <v>3000</v>
      </c>
      <c r="F30" s="543">
        <f t="shared" si="1"/>
        <v>1</v>
      </c>
    </row>
    <row r="31" spans="1:7" ht="25.15" customHeight="1" x14ac:dyDescent="0.25">
      <c r="A31" s="542">
        <v>2</v>
      </c>
      <c r="B31" s="540" t="s">
        <v>605</v>
      </c>
      <c r="C31" s="539">
        <v>1000</v>
      </c>
      <c r="D31" s="539">
        <v>1000</v>
      </c>
      <c r="E31" s="539">
        <f>+'[2]1017 Népjóléti Kabinet'!O53</f>
        <v>1000</v>
      </c>
      <c r="F31" s="538">
        <f t="shared" si="1"/>
        <v>1</v>
      </c>
    </row>
    <row r="32" spans="1:7" ht="25.15" customHeight="1" thickBot="1" x14ac:dyDescent="0.3">
      <c r="A32" s="541">
        <v>3</v>
      </c>
      <c r="B32" s="540" t="s">
        <v>604</v>
      </c>
      <c r="C32" s="539">
        <v>260000</v>
      </c>
      <c r="D32" s="539">
        <v>240000</v>
      </c>
      <c r="E32" s="539">
        <f>SUM('[2]1027 Kulturáért felelős Kabinet'!O61)</f>
        <v>240000</v>
      </c>
      <c r="F32" s="538">
        <f t="shared" si="1"/>
        <v>1</v>
      </c>
    </row>
    <row r="33" spans="1:6" ht="33" hidden="1" customHeight="1" x14ac:dyDescent="0.25">
      <c r="A33" s="542">
        <v>4</v>
      </c>
      <c r="B33" s="540" t="s">
        <v>603</v>
      </c>
      <c r="C33" s="539">
        <v>120000</v>
      </c>
      <c r="D33" s="539">
        <v>0</v>
      </c>
      <c r="E33" s="539">
        <f>SUM('[2]1027 Kulturáért felelős Kabinet'!O60)</f>
        <v>0</v>
      </c>
      <c r="F33" s="538" t="e">
        <f t="shared" si="1"/>
        <v>#DIV/0!</v>
      </c>
    </row>
    <row r="34" spans="1:6" ht="25.15" hidden="1" customHeight="1" thickBot="1" x14ac:dyDescent="0.3">
      <c r="A34" s="541">
        <v>5</v>
      </c>
      <c r="B34" s="540" t="s">
        <v>602</v>
      </c>
      <c r="C34" s="539">
        <v>200000</v>
      </c>
      <c r="D34" s="539">
        <v>0</v>
      </c>
      <c r="E34" s="539">
        <v>0</v>
      </c>
      <c r="F34" s="538" t="e">
        <f t="shared" si="1"/>
        <v>#DIV/0!</v>
      </c>
    </row>
    <row r="35" spans="1:6" s="529" customFormat="1" ht="25.15" customHeight="1" thickBot="1" x14ac:dyDescent="0.3">
      <c r="A35" s="537"/>
      <c r="B35" s="536" t="s">
        <v>601</v>
      </c>
      <c r="C35" s="535">
        <v>5225059</v>
      </c>
      <c r="D35" s="535">
        <v>5544950</v>
      </c>
      <c r="E35" s="535">
        <f>SUM(E22+E7)</f>
        <v>5544950</v>
      </c>
      <c r="F35" s="534">
        <f t="shared" si="1"/>
        <v>1</v>
      </c>
    </row>
    <row r="36" spans="1:6" s="529" customFormat="1" ht="15.75" x14ac:dyDescent="0.25">
      <c r="A36" s="533"/>
      <c r="B36" s="532"/>
      <c r="C36" s="531"/>
      <c r="D36" s="531"/>
      <c r="E36" s="531"/>
      <c r="F36" s="530"/>
    </row>
    <row r="44" spans="1:6" hidden="1" x14ac:dyDescent="0.25"/>
  </sheetData>
  <mergeCells count="2">
    <mergeCell ref="E2:F2"/>
    <mergeCell ref="A1:F1"/>
  </mergeCells>
  <printOptions horizontalCentered="1" verticalCentered="1"/>
  <pageMargins left="0" right="0" top="0.74803149606299213" bottom="0.74803149606299213" header="0.31496062992125984" footer="0.31496062992125984"/>
  <pageSetup paperSize="9" scale="9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00"/>
  <sheetViews>
    <sheetView view="pageBreakPreview" zoomScaleNormal="100" zoomScaleSheetLayoutView="100" workbookViewId="0">
      <selection activeCell="H4" sqref="H4"/>
    </sheetView>
  </sheetViews>
  <sheetFormatPr defaultColWidth="9.140625" defaultRowHeight="12.75" x14ac:dyDescent="0.2"/>
  <cols>
    <col min="1" max="1" width="7.5703125" style="1" customWidth="1"/>
    <col min="2" max="2" width="52.28515625" style="1" customWidth="1"/>
    <col min="3" max="3" width="17.140625" style="1" hidden="1" customWidth="1"/>
    <col min="4" max="4" width="19.42578125" style="1" hidden="1" customWidth="1"/>
    <col min="5" max="5" width="19.42578125" style="1" customWidth="1"/>
    <col min="6" max="6" width="19.42578125" style="455" customWidth="1"/>
    <col min="7" max="7" width="19.42578125" style="1" customWidth="1"/>
    <col min="8" max="16384" width="9.140625" style="1"/>
  </cols>
  <sheetData>
    <row r="1" spans="1:7" ht="52.9" customHeight="1" x14ac:dyDescent="0.3">
      <c r="A1" s="1302" t="s">
        <v>870</v>
      </c>
      <c r="B1" s="1382"/>
      <c r="C1" s="1382"/>
      <c r="D1" s="1382"/>
      <c r="E1" s="1382"/>
      <c r="F1" s="1382"/>
      <c r="G1" s="1382"/>
    </row>
    <row r="2" spans="1:7" ht="52.9" hidden="1" customHeight="1" x14ac:dyDescent="0.3">
      <c r="A2" s="1266"/>
      <c r="B2" s="1267"/>
      <c r="C2" s="1267"/>
      <c r="D2" s="1267"/>
      <c r="E2" s="1267"/>
      <c r="F2" s="1267"/>
      <c r="G2" s="1267"/>
    </row>
    <row r="3" spans="1:7" x14ac:dyDescent="0.2">
      <c r="G3" s="1268" t="s">
        <v>859</v>
      </c>
    </row>
    <row r="5" spans="1:7" ht="13.5" thickBot="1" x14ac:dyDescent="0.25">
      <c r="G5" s="202" t="s">
        <v>277</v>
      </c>
    </row>
    <row r="6" spans="1:7" ht="30" customHeight="1" x14ac:dyDescent="0.2">
      <c r="A6" s="526" t="s">
        <v>276</v>
      </c>
      <c r="B6" s="525" t="s">
        <v>275</v>
      </c>
      <c r="C6" s="525" t="s">
        <v>600</v>
      </c>
      <c r="D6" s="524" t="s">
        <v>599</v>
      </c>
      <c r="E6" s="524" t="s">
        <v>273</v>
      </c>
      <c r="F6" s="523" t="s">
        <v>272</v>
      </c>
      <c r="G6" s="522" t="s">
        <v>598</v>
      </c>
    </row>
    <row r="7" spans="1:7" ht="15" customHeight="1" thickBot="1" x14ac:dyDescent="0.25">
      <c r="A7" s="521" t="s">
        <v>72</v>
      </c>
      <c r="B7" s="520" t="s">
        <v>70</v>
      </c>
      <c r="C7" s="520"/>
      <c r="D7" s="520" t="s">
        <v>91</v>
      </c>
      <c r="E7" s="520"/>
      <c r="F7" s="519" t="s">
        <v>66</v>
      </c>
      <c r="G7" s="518" t="s">
        <v>200</v>
      </c>
    </row>
    <row r="8" spans="1:7" s="183" customFormat="1" ht="15" customHeight="1" x14ac:dyDescent="0.2">
      <c r="A8" s="517" t="s">
        <v>64</v>
      </c>
      <c r="B8" s="516" t="s">
        <v>597</v>
      </c>
      <c r="C8" s="515" t="s">
        <v>596</v>
      </c>
      <c r="D8" s="514">
        <v>440000</v>
      </c>
      <c r="E8" s="514">
        <v>16549</v>
      </c>
      <c r="F8" s="514">
        <f>SUM('[2]1016 Gazdaságért felelős Kabine'!O12)</f>
        <v>16549</v>
      </c>
      <c r="G8" s="513">
        <f t="shared" ref="G8:G39" si="0">F8/E8</f>
        <v>1</v>
      </c>
    </row>
    <row r="9" spans="1:7" s="183" customFormat="1" ht="15" customHeight="1" x14ac:dyDescent="0.2">
      <c r="A9" s="517" t="s">
        <v>119</v>
      </c>
      <c r="B9" s="516" t="s">
        <v>595</v>
      </c>
      <c r="C9" s="515"/>
      <c r="D9" s="514">
        <v>1831197</v>
      </c>
      <c r="E9" s="514">
        <v>796956</v>
      </c>
      <c r="F9" s="514">
        <f>+F10+F63</f>
        <v>432152</v>
      </c>
      <c r="G9" s="513">
        <f t="shared" si="0"/>
        <v>0.54225327370645304</v>
      </c>
    </row>
    <row r="10" spans="1:7" s="153" customFormat="1" ht="22.15" customHeight="1" x14ac:dyDescent="0.2">
      <c r="A10" s="501" t="s">
        <v>594</v>
      </c>
      <c r="B10" s="500" t="s">
        <v>593</v>
      </c>
      <c r="C10" s="499"/>
      <c r="D10" s="498">
        <v>1735497</v>
      </c>
      <c r="E10" s="498">
        <v>765456</v>
      </c>
      <c r="F10" s="497">
        <f>SUM(F11:F62)</f>
        <v>400652</v>
      </c>
      <c r="G10" s="496">
        <f t="shared" si="0"/>
        <v>0.52341610752283607</v>
      </c>
    </row>
    <row r="11" spans="1:7" ht="28.15" customHeight="1" x14ac:dyDescent="0.2">
      <c r="A11" s="469">
        <v>1</v>
      </c>
      <c r="B11" s="481" t="s">
        <v>592</v>
      </c>
      <c r="C11" s="480" t="s">
        <v>591</v>
      </c>
      <c r="D11" s="475">
        <v>123000</v>
      </c>
      <c r="E11" s="475">
        <v>225800</v>
      </c>
      <c r="F11" s="474">
        <f>SUM('[2]1030 Gazdasági szervezetek'!O22)</f>
        <v>45160</v>
      </c>
      <c r="G11" s="473">
        <f t="shared" si="0"/>
        <v>0.2</v>
      </c>
    </row>
    <row r="12" spans="1:7" ht="28.15" customHeight="1" x14ac:dyDescent="0.2">
      <c r="A12" s="469">
        <v>2</v>
      </c>
      <c r="B12" s="481" t="s">
        <v>590</v>
      </c>
      <c r="C12" s="480" t="s">
        <v>589</v>
      </c>
      <c r="D12" s="475">
        <v>61590</v>
      </c>
      <c r="E12" s="475">
        <v>80205</v>
      </c>
      <c r="F12" s="474">
        <f>SUM('[2]1030 Gazdasági szervezetek'!O20)</f>
        <v>16041</v>
      </c>
      <c r="G12" s="473">
        <f t="shared" si="0"/>
        <v>0.2</v>
      </c>
    </row>
    <row r="13" spans="1:7" ht="21.6" customHeight="1" x14ac:dyDescent="0.2">
      <c r="A13" s="469">
        <v>3</v>
      </c>
      <c r="B13" s="481" t="s">
        <v>588</v>
      </c>
      <c r="C13" s="480" t="s">
        <v>587</v>
      </c>
      <c r="D13" s="475">
        <v>29904</v>
      </c>
      <c r="E13" s="475">
        <v>33000</v>
      </c>
      <c r="F13" s="474">
        <f>SUM('[2]1030 Gazdasági szervezetek'!O16)</f>
        <v>6600</v>
      </c>
      <c r="G13" s="473">
        <f t="shared" si="0"/>
        <v>0.2</v>
      </c>
    </row>
    <row r="14" spans="1:7" ht="28.15" customHeight="1" x14ac:dyDescent="0.2">
      <c r="A14" s="469">
        <v>4</v>
      </c>
      <c r="B14" s="481" t="s">
        <v>443</v>
      </c>
      <c r="C14" s="480" t="s">
        <v>586</v>
      </c>
      <c r="D14" s="475">
        <v>47257</v>
      </c>
      <c r="E14" s="475">
        <v>43000</v>
      </c>
      <c r="F14" s="474">
        <f>SUM('[2]1030 Gazdasági szervezetek'!O17)</f>
        <v>8600</v>
      </c>
      <c r="G14" s="473">
        <f t="shared" si="0"/>
        <v>0.2</v>
      </c>
    </row>
    <row r="15" spans="1:7" ht="21.6" customHeight="1" x14ac:dyDescent="0.2">
      <c r="A15" s="469">
        <v>5</v>
      </c>
      <c r="B15" s="481" t="s">
        <v>585</v>
      </c>
      <c r="C15" s="508"/>
      <c r="D15" s="475">
        <v>0</v>
      </c>
      <c r="E15" s="475">
        <v>58000</v>
      </c>
      <c r="F15" s="474">
        <f>SUM('[2]1030 Gazdasági szervezetek'!O19)</f>
        <v>11600</v>
      </c>
      <c r="G15" s="473">
        <f t="shared" si="0"/>
        <v>0.2</v>
      </c>
    </row>
    <row r="16" spans="1:7" ht="28.15" customHeight="1" x14ac:dyDescent="0.2">
      <c r="A16" s="469">
        <v>6</v>
      </c>
      <c r="B16" s="481" t="s">
        <v>584</v>
      </c>
      <c r="C16" s="508"/>
      <c r="D16" s="475">
        <v>0</v>
      </c>
      <c r="E16" s="475">
        <v>16000</v>
      </c>
      <c r="F16" s="474">
        <f>SUM('[2]1030 Gazdasági szervezetek'!O21)</f>
        <v>3200</v>
      </c>
      <c r="G16" s="473">
        <f t="shared" si="0"/>
        <v>0.2</v>
      </c>
    </row>
    <row r="17" spans="1:7" ht="22.15" customHeight="1" x14ac:dyDescent="0.2">
      <c r="A17" s="469">
        <v>7</v>
      </c>
      <c r="B17" s="477" t="s">
        <v>583</v>
      </c>
      <c r="C17" s="507" t="s">
        <v>582</v>
      </c>
      <c r="D17" s="475">
        <v>3000</v>
      </c>
      <c r="E17" s="475">
        <v>2000</v>
      </c>
      <c r="F17" s="474">
        <f>SUM('[2]1027 Kulturáért felelős Kabinet'!O38)</f>
        <v>2000</v>
      </c>
      <c r="G17" s="473">
        <f t="shared" si="0"/>
        <v>1</v>
      </c>
    </row>
    <row r="18" spans="1:7" ht="22.15" customHeight="1" x14ac:dyDescent="0.2">
      <c r="A18" s="469">
        <v>8</v>
      </c>
      <c r="B18" s="481" t="s">
        <v>581</v>
      </c>
      <c r="C18" s="480" t="s">
        <v>580</v>
      </c>
      <c r="D18" s="475">
        <v>45000</v>
      </c>
      <c r="E18" s="475">
        <v>26000</v>
      </c>
      <c r="F18" s="474">
        <f>SUM('[2]1027 Kulturáért felelős Kabinet'!O45)</f>
        <v>26000</v>
      </c>
      <c r="G18" s="473">
        <f t="shared" si="0"/>
        <v>1</v>
      </c>
    </row>
    <row r="19" spans="1:7" ht="28.15" customHeight="1" x14ac:dyDescent="0.2">
      <c r="A19" s="469">
        <v>9</v>
      </c>
      <c r="B19" s="481" t="s">
        <v>579</v>
      </c>
      <c r="C19" s="480" t="s">
        <v>578</v>
      </c>
      <c r="D19" s="511">
        <v>6000</v>
      </c>
      <c r="E19" s="511">
        <v>6000</v>
      </c>
      <c r="F19" s="510">
        <f>SUM('[2]1005. ISMO'!O51)</f>
        <v>6000</v>
      </c>
      <c r="G19" s="509">
        <f t="shared" si="0"/>
        <v>1</v>
      </c>
    </row>
    <row r="20" spans="1:7" ht="28.15" customHeight="1" x14ac:dyDescent="0.2">
      <c r="A20" s="469">
        <v>10</v>
      </c>
      <c r="B20" s="481" t="s">
        <v>577</v>
      </c>
      <c r="C20" s="480"/>
      <c r="D20" s="511">
        <v>0</v>
      </c>
      <c r="E20" s="511">
        <v>37031</v>
      </c>
      <c r="F20" s="510">
        <f>SUM('[2]1027 Kulturáért felelős Kabinet'!O49)</f>
        <v>37031</v>
      </c>
      <c r="G20" s="509">
        <f t="shared" si="0"/>
        <v>1</v>
      </c>
    </row>
    <row r="21" spans="1:7" ht="22.15" customHeight="1" x14ac:dyDescent="0.2">
      <c r="A21" s="469">
        <v>11</v>
      </c>
      <c r="B21" s="477" t="s">
        <v>576</v>
      </c>
      <c r="C21" s="507" t="s">
        <v>575</v>
      </c>
      <c r="D21" s="475">
        <v>25000</v>
      </c>
      <c r="E21" s="475">
        <v>15000</v>
      </c>
      <c r="F21" s="474">
        <f>SUM('[2]1027 Kulturáért felelős Kabinet'!O39)</f>
        <v>15000</v>
      </c>
      <c r="G21" s="473">
        <f t="shared" si="0"/>
        <v>1</v>
      </c>
    </row>
    <row r="22" spans="1:7" ht="22.15" customHeight="1" x14ac:dyDescent="0.2">
      <c r="A22" s="469">
        <v>12</v>
      </c>
      <c r="B22" s="477" t="s">
        <v>574</v>
      </c>
      <c r="C22" s="507"/>
      <c r="D22" s="475">
        <v>0</v>
      </c>
      <c r="E22" s="475">
        <v>12808</v>
      </c>
      <c r="F22" s="474">
        <f>SUM('[2]1027 Kulturáért felelős Kabinet'!O41)</f>
        <v>12808</v>
      </c>
      <c r="G22" s="473">
        <f t="shared" si="0"/>
        <v>1</v>
      </c>
    </row>
    <row r="23" spans="1:7" ht="22.15" customHeight="1" x14ac:dyDescent="0.2">
      <c r="A23" s="469">
        <v>13</v>
      </c>
      <c r="B23" s="477" t="s">
        <v>573</v>
      </c>
      <c r="C23" s="507"/>
      <c r="D23" s="475">
        <v>0</v>
      </c>
      <c r="E23" s="475">
        <v>3000</v>
      </c>
      <c r="F23" s="474">
        <f>SUM('[2]1027 Kulturáért felelős Kabinet'!O42)</f>
        <v>3000</v>
      </c>
      <c r="G23" s="473">
        <f t="shared" si="0"/>
        <v>1</v>
      </c>
    </row>
    <row r="24" spans="1:7" ht="22.15" customHeight="1" x14ac:dyDescent="0.2">
      <c r="A24" s="469">
        <v>14</v>
      </c>
      <c r="B24" s="481" t="s">
        <v>572</v>
      </c>
      <c r="C24" s="480" t="s">
        <v>571</v>
      </c>
      <c r="D24" s="475">
        <v>29000</v>
      </c>
      <c r="E24" s="475">
        <v>15000</v>
      </c>
      <c r="F24" s="474">
        <f>SUM('[2]1027 Kulturáért felelős Kabinet'!O35)</f>
        <v>15000</v>
      </c>
      <c r="G24" s="473">
        <f t="shared" si="0"/>
        <v>1</v>
      </c>
    </row>
    <row r="25" spans="1:7" ht="22.15" customHeight="1" x14ac:dyDescent="0.2">
      <c r="A25" s="469">
        <v>15</v>
      </c>
      <c r="B25" s="477" t="s">
        <v>570</v>
      </c>
      <c r="C25" s="507" t="s">
        <v>569</v>
      </c>
      <c r="D25" s="475">
        <v>4000</v>
      </c>
      <c r="E25" s="475">
        <v>1500</v>
      </c>
      <c r="F25" s="474">
        <f>SUM('[2]1005. ISMO'!O53)</f>
        <v>1500</v>
      </c>
      <c r="G25" s="473">
        <f t="shared" si="0"/>
        <v>1</v>
      </c>
    </row>
    <row r="26" spans="1:7" ht="22.15" customHeight="1" x14ac:dyDescent="0.2">
      <c r="A26" s="469">
        <v>16</v>
      </c>
      <c r="B26" s="477" t="s">
        <v>568</v>
      </c>
      <c r="C26" s="507"/>
      <c r="D26" s="475">
        <v>0</v>
      </c>
      <c r="E26" s="475">
        <v>1000</v>
      </c>
      <c r="F26" s="474">
        <f>SUM('[2]1005. ISMO'!O54)</f>
        <v>1000</v>
      </c>
      <c r="G26" s="473">
        <f t="shared" si="0"/>
        <v>1</v>
      </c>
    </row>
    <row r="27" spans="1:7" ht="22.15" customHeight="1" x14ac:dyDescent="0.2">
      <c r="A27" s="469">
        <v>17</v>
      </c>
      <c r="B27" s="477" t="s">
        <v>567</v>
      </c>
      <c r="C27" s="507" t="s">
        <v>566</v>
      </c>
      <c r="D27" s="475">
        <v>5000</v>
      </c>
      <c r="E27" s="475">
        <v>3500</v>
      </c>
      <c r="F27" s="474">
        <f>SUM('[2]1005. ISMO'!O52)</f>
        <v>3500</v>
      </c>
      <c r="G27" s="473">
        <f t="shared" si="0"/>
        <v>1</v>
      </c>
    </row>
    <row r="28" spans="1:7" ht="22.15" customHeight="1" x14ac:dyDescent="0.2">
      <c r="A28" s="469">
        <v>18</v>
      </c>
      <c r="B28" s="477" t="s">
        <v>565</v>
      </c>
      <c r="C28" s="507" t="s">
        <v>564</v>
      </c>
      <c r="D28" s="475">
        <v>4200</v>
      </c>
      <c r="E28" s="475">
        <v>1000</v>
      </c>
      <c r="F28" s="474">
        <f>SUM('[2]1017 Népjóléti Kabinet'!O32)</f>
        <v>1000</v>
      </c>
      <c r="G28" s="473">
        <f t="shared" si="0"/>
        <v>1</v>
      </c>
    </row>
    <row r="29" spans="1:7" ht="22.15" customHeight="1" x14ac:dyDescent="0.2">
      <c r="A29" s="469">
        <v>19</v>
      </c>
      <c r="B29" s="477" t="s">
        <v>563</v>
      </c>
      <c r="C29" s="476" t="s">
        <v>562</v>
      </c>
      <c r="D29" s="475">
        <v>1500</v>
      </c>
      <c r="E29" s="475">
        <v>1000</v>
      </c>
      <c r="F29" s="474">
        <f>SUM('[2]1017 Népjóléti Kabinet'!O33)</f>
        <v>1000</v>
      </c>
      <c r="G29" s="473">
        <f t="shared" si="0"/>
        <v>1</v>
      </c>
    </row>
    <row r="30" spans="1:7" ht="22.15" customHeight="1" x14ac:dyDescent="0.2">
      <c r="A30" s="469">
        <v>20</v>
      </c>
      <c r="B30" s="477" t="s">
        <v>561</v>
      </c>
      <c r="C30" s="476" t="s">
        <v>560</v>
      </c>
      <c r="D30" s="475">
        <v>1200</v>
      </c>
      <c r="E30" s="475">
        <v>1200</v>
      </c>
      <c r="F30" s="474">
        <f>SUM('[2]1017 Népjóléti Kabinet'!O34)</f>
        <v>1200</v>
      </c>
      <c r="G30" s="473">
        <f t="shared" si="0"/>
        <v>1</v>
      </c>
    </row>
    <row r="31" spans="1:7" ht="22.15" customHeight="1" x14ac:dyDescent="0.2">
      <c r="A31" s="469">
        <v>21</v>
      </c>
      <c r="B31" s="477" t="s">
        <v>559</v>
      </c>
      <c r="C31" s="507" t="s">
        <v>558</v>
      </c>
      <c r="D31" s="474">
        <v>5000</v>
      </c>
      <c r="E31" s="474">
        <v>2000</v>
      </c>
      <c r="F31" s="474">
        <f>SUM('[2]1026 Közbiztonságért felelős Ka'!O30)</f>
        <v>2000</v>
      </c>
      <c r="G31" s="473">
        <f t="shared" si="0"/>
        <v>1</v>
      </c>
    </row>
    <row r="32" spans="1:7" ht="22.15" customHeight="1" x14ac:dyDescent="0.2">
      <c r="A32" s="469">
        <v>22</v>
      </c>
      <c r="B32" s="481" t="s">
        <v>557</v>
      </c>
      <c r="C32" s="480" t="s">
        <v>556</v>
      </c>
      <c r="D32" s="475">
        <v>12000</v>
      </c>
      <c r="E32" s="475">
        <v>10000</v>
      </c>
      <c r="F32" s="474">
        <f>SUM('[2]1027 Kulturáért felelős Kabinet'!O47)</f>
        <v>10000</v>
      </c>
      <c r="G32" s="473">
        <f t="shared" si="0"/>
        <v>1</v>
      </c>
    </row>
    <row r="33" spans="1:7" ht="22.15" hidden="1" customHeight="1" x14ac:dyDescent="0.2">
      <c r="A33" s="469">
        <v>23</v>
      </c>
      <c r="B33" s="481" t="s">
        <v>555</v>
      </c>
      <c r="C33" s="480" t="s">
        <v>554</v>
      </c>
      <c r="D33" s="475">
        <v>5000</v>
      </c>
      <c r="E33" s="475">
        <v>0</v>
      </c>
      <c r="F33" s="474">
        <f>SUM('[2]1027 Kulturáért felelős Kabinet'!O44)</f>
        <v>0</v>
      </c>
      <c r="G33" s="473" t="e">
        <f t="shared" si="0"/>
        <v>#DIV/0!</v>
      </c>
    </row>
    <row r="34" spans="1:7" ht="22.15" customHeight="1" x14ac:dyDescent="0.2">
      <c r="A34" s="469">
        <v>23</v>
      </c>
      <c r="B34" s="481" t="s">
        <v>553</v>
      </c>
      <c r="C34" s="480" t="s">
        <v>552</v>
      </c>
      <c r="D34" s="475">
        <v>10000</v>
      </c>
      <c r="E34" s="475">
        <v>4000</v>
      </c>
      <c r="F34" s="474">
        <f>SUM('[2]1027 Kulturáért felelős Kabinet'!O40)</f>
        <v>4000</v>
      </c>
      <c r="G34" s="473">
        <f t="shared" si="0"/>
        <v>1</v>
      </c>
    </row>
    <row r="35" spans="1:7" ht="22.15" hidden="1" customHeight="1" x14ac:dyDescent="0.2">
      <c r="A35" s="469">
        <v>25</v>
      </c>
      <c r="B35" s="477" t="s">
        <v>551</v>
      </c>
      <c r="C35" s="507" t="s">
        <v>550</v>
      </c>
      <c r="D35" s="475">
        <v>7000</v>
      </c>
      <c r="E35" s="475">
        <v>0</v>
      </c>
      <c r="F35" s="474">
        <f>+'[2]1005. ISMO'!O43</f>
        <v>0</v>
      </c>
      <c r="G35" s="473" t="e">
        <f t="shared" si="0"/>
        <v>#DIV/0!</v>
      </c>
    </row>
    <row r="36" spans="1:7" ht="22.15" hidden="1" customHeight="1" x14ac:dyDescent="0.2">
      <c r="A36" s="469">
        <v>26</v>
      </c>
      <c r="B36" s="481" t="s">
        <v>549</v>
      </c>
      <c r="C36" s="480" t="s">
        <v>548</v>
      </c>
      <c r="D36" s="475">
        <v>1000</v>
      </c>
      <c r="E36" s="475">
        <v>0</v>
      </c>
      <c r="F36" s="474">
        <f>SUM('[2]1005. ISMO'!O46)</f>
        <v>0</v>
      </c>
      <c r="G36" s="473" t="e">
        <f t="shared" si="0"/>
        <v>#DIV/0!</v>
      </c>
    </row>
    <row r="37" spans="1:7" ht="22.15" hidden="1" customHeight="1" x14ac:dyDescent="0.2">
      <c r="A37" s="469">
        <v>27</v>
      </c>
      <c r="B37" s="481" t="s">
        <v>547</v>
      </c>
      <c r="C37" s="480" t="s">
        <v>546</v>
      </c>
      <c r="D37" s="474">
        <v>3000</v>
      </c>
      <c r="E37" s="474">
        <v>0</v>
      </c>
      <c r="F37" s="474">
        <f>+'[2]1005. ISMO'!O48</f>
        <v>0</v>
      </c>
      <c r="G37" s="473" t="e">
        <f t="shared" si="0"/>
        <v>#DIV/0!</v>
      </c>
    </row>
    <row r="38" spans="1:7" ht="22.15" customHeight="1" x14ac:dyDescent="0.2">
      <c r="A38" s="469">
        <v>24</v>
      </c>
      <c r="B38" s="481" t="s">
        <v>545</v>
      </c>
      <c r="C38" s="480" t="s">
        <v>544</v>
      </c>
      <c r="D38" s="474">
        <v>28000</v>
      </c>
      <c r="E38" s="474">
        <v>28000</v>
      </c>
      <c r="F38" s="474">
        <f>SUM('[2]1005. ISMO'!O36)</f>
        <v>28000</v>
      </c>
      <c r="G38" s="473">
        <f t="shared" si="0"/>
        <v>1</v>
      </c>
    </row>
    <row r="39" spans="1:7" ht="22.15" customHeight="1" x14ac:dyDescent="0.2">
      <c r="A39" s="469">
        <v>25</v>
      </c>
      <c r="B39" s="481" t="s">
        <v>543</v>
      </c>
      <c r="C39" s="480"/>
      <c r="D39" s="474">
        <v>0</v>
      </c>
      <c r="E39" s="474">
        <v>2000</v>
      </c>
      <c r="F39" s="474">
        <f>SUM('[2]1005. ISMO'!O37)</f>
        <v>2000</v>
      </c>
      <c r="G39" s="473">
        <f t="shared" si="0"/>
        <v>1</v>
      </c>
    </row>
    <row r="40" spans="1:7" ht="22.15" customHeight="1" x14ac:dyDescent="0.2">
      <c r="A40" s="469">
        <v>26</v>
      </c>
      <c r="B40" s="481" t="s">
        <v>542</v>
      </c>
      <c r="C40" s="480"/>
      <c r="D40" s="512">
        <v>1500</v>
      </c>
      <c r="E40" s="512">
        <v>1500</v>
      </c>
      <c r="F40" s="474">
        <f>SUM('[2]1005. ISMO'!O49)</f>
        <v>1500</v>
      </c>
      <c r="G40" s="473">
        <f t="shared" ref="G40:G71" si="1">F40/E40</f>
        <v>1</v>
      </c>
    </row>
    <row r="41" spans="1:7" ht="22.15" hidden="1" customHeight="1" x14ac:dyDescent="0.2">
      <c r="A41" s="469">
        <v>27</v>
      </c>
      <c r="B41" s="481" t="s">
        <v>541</v>
      </c>
      <c r="C41" s="480" t="s">
        <v>540</v>
      </c>
      <c r="D41" s="474">
        <v>12000</v>
      </c>
      <c r="E41" s="474">
        <v>0</v>
      </c>
      <c r="F41" s="474">
        <f>SUM('[2]1005. ISMO'!O50)</f>
        <v>0</v>
      </c>
      <c r="G41" s="473" t="e">
        <f t="shared" si="1"/>
        <v>#DIV/0!</v>
      </c>
    </row>
    <row r="42" spans="1:7" ht="22.15" customHeight="1" x14ac:dyDescent="0.2">
      <c r="A42" s="469">
        <v>27</v>
      </c>
      <c r="B42" s="477" t="s">
        <v>539</v>
      </c>
      <c r="C42" s="507" t="s">
        <v>538</v>
      </c>
      <c r="D42" s="475">
        <v>2000</v>
      </c>
      <c r="E42" s="475">
        <v>500</v>
      </c>
      <c r="F42" s="474">
        <f>SUM('[2]1027 Kulturáért felelős Kabinet'!O37)</f>
        <v>500</v>
      </c>
      <c r="G42" s="473">
        <f t="shared" si="1"/>
        <v>1</v>
      </c>
    </row>
    <row r="43" spans="1:7" ht="22.15" customHeight="1" x14ac:dyDescent="0.2">
      <c r="A43" s="469">
        <v>28</v>
      </c>
      <c r="B43" s="481" t="s">
        <v>537</v>
      </c>
      <c r="C43" s="480" t="s">
        <v>536</v>
      </c>
      <c r="D43" s="475">
        <v>104652</v>
      </c>
      <c r="E43" s="475">
        <v>36000</v>
      </c>
      <c r="F43" s="474">
        <f>SUM('[2]1005. ISMO'!O38)</f>
        <v>36000</v>
      </c>
      <c r="G43" s="473">
        <f t="shared" si="1"/>
        <v>1</v>
      </c>
    </row>
    <row r="44" spans="1:7" ht="22.15" customHeight="1" x14ac:dyDescent="0.2">
      <c r="A44" s="469">
        <v>29</v>
      </c>
      <c r="B44" s="481" t="s">
        <v>535</v>
      </c>
      <c r="C44" s="480" t="s">
        <v>534</v>
      </c>
      <c r="D44" s="475">
        <v>4000</v>
      </c>
      <c r="E44" s="475">
        <v>2000</v>
      </c>
      <c r="F44" s="474">
        <f>SUM('[2]1027 Kulturáért felelős Kabinet'!O36)</f>
        <v>2000</v>
      </c>
      <c r="G44" s="473">
        <f t="shared" si="1"/>
        <v>1</v>
      </c>
    </row>
    <row r="45" spans="1:7" ht="22.15" customHeight="1" x14ac:dyDescent="0.2">
      <c r="A45" s="469">
        <v>30</v>
      </c>
      <c r="B45" s="481" t="s">
        <v>533</v>
      </c>
      <c r="C45" s="480" t="s">
        <v>532</v>
      </c>
      <c r="D45" s="475">
        <v>10000</v>
      </c>
      <c r="E45" s="475">
        <v>10000</v>
      </c>
      <c r="F45" s="474">
        <f>SUM('[2]1015.Jegyzői Titk.'!O34)</f>
        <v>10000</v>
      </c>
      <c r="G45" s="473">
        <f t="shared" si="1"/>
        <v>1</v>
      </c>
    </row>
    <row r="46" spans="1:7" ht="22.15" customHeight="1" x14ac:dyDescent="0.2">
      <c r="A46" s="469">
        <v>31</v>
      </c>
      <c r="B46" s="477" t="s">
        <v>531</v>
      </c>
      <c r="C46" s="507" t="s">
        <v>530</v>
      </c>
      <c r="D46" s="511">
        <v>10000</v>
      </c>
      <c r="E46" s="511">
        <v>8000</v>
      </c>
      <c r="F46" s="510">
        <f>SUM('[2]1017 Népjóléti Kabinet'!O38)</f>
        <v>8000</v>
      </c>
      <c r="G46" s="509">
        <f t="shared" si="1"/>
        <v>1</v>
      </c>
    </row>
    <row r="47" spans="1:7" ht="22.15" customHeight="1" x14ac:dyDescent="0.2">
      <c r="A47" s="469">
        <v>32</v>
      </c>
      <c r="B47" s="481" t="s">
        <v>529</v>
      </c>
      <c r="C47" s="480" t="s">
        <v>528</v>
      </c>
      <c r="D47" s="475">
        <v>129000</v>
      </c>
      <c r="E47" s="475">
        <v>10000</v>
      </c>
      <c r="F47" s="474">
        <f>SUM('[2]1007.Szociális Főo.'!O30)</f>
        <v>10000</v>
      </c>
      <c r="G47" s="473">
        <f t="shared" si="1"/>
        <v>1</v>
      </c>
    </row>
    <row r="48" spans="1:7" ht="22.15" customHeight="1" x14ac:dyDescent="0.2">
      <c r="A48" s="469">
        <v>33</v>
      </c>
      <c r="B48" s="481" t="s">
        <v>527</v>
      </c>
      <c r="C48" s="480" t="s">
        <v>526</v>
      </c>
      <c r="D48" s="475">
        <v>5000</v>
      </c>
      <c r="E48" s="475">
        <v>1000</v>
      </c>
      <c r="F48" s="474">
        <f>SUM('[2]1017 Népjóléti Kabinet'!O42)</f>
        <v>1000</v>
      </c>
      <c r="G48" s="473">
        <f t="shared" si="1"/>
        <v>1</v>
      </c>
    </row>
    <row r="49" spans="1:7" ht="22.15" customHeight="1" x14ac:dyDescent="0.2">
      <c r="A49" s="469">
        <v>34</v>
      </c>
      <c r="B49" s="481" t="s">
        <v>525</v>
      </c>
      <c r="C49" s="480" t="s">
        <v>524</v>
      </c>
      <c r="D49" s="475">
        <v>8000</v>
      </c>
      <c r="E49" s="475">
        <v>8000</v>
      </c>
      <c r="F49" s="474">
        <f>SUM('[2]1007.Szociális Főo.'!O29)</f>
        <v>8000</v>
      </c>
      <c r="G49" s="473">
        <f t="shared" si="1"/>
        <v>1</v>
      </c>
    </row>
    <row r="50" spans="1:7" ht="22.15" hidden="1" customHeight="1" x14ac:dyDescent="0.2">
      <c r="A50" s="469">
        <v>36</v>
      </c>
      <c r="B50" s="481" t="s">
        <v>523</v>
      </c>
      <c r="C50" s="480" t="s">
        <v>522</v>
      </c>
      <c r="D50" s="475">
        <v>15000</v>
      </c>
      <c r="E50" s="475">
        <v>0</v>
      </c>
      <c r="F50" s="474">
        <f>SUM('[2]1017 Népjóléti Kabinet'!O39)</f>
        <v>0</v>
      </c>
      <c r="G50" s="473" t="e">
        <f t="shared" si="1"/>
        <v>#DIV/0!</v>
      </c>
    </row>
    <row r="51" spans="1:7" ht="22.15" hidden="1" customHeight="1" x14ac:dyDescent="0.2">
      <c r="A51" s="469">
        <v>37</v>
      </c>
      <c r="B51" s="481" t="s">
        <v>521</v>
      </c>
      <c r="C51" s="480" t="s">
        <v>520</v>
      </c>
      <c r="D51" s="475">
        <v>200000</v>
      </c>
      <c r="E51" s="475">
        <v>0</v>
      </c>
      <c r="F51" s="474">
        <f>SUM('[2]1016 Gazdaságért felelős Kabine'!O19)</f>
        <v>0</v>
      </c>
      <c r="G51" s="473" t="e">
        <f t="shared" si="1"/>
        <v>#DIV/0!</v>
      </c>
    </row>
    <row r="52" spans="1:7" ht="22.15" customHeight="1" x14ac:dyDescent="0.2">
      <c r="A52" s="469">
        <v>35</v>
      </c>
      <c r="B52" s="481" t="s">
        <v>519</v>
      </c>
      <c r="C52" s="480" t="s">
        <v>518</v>
      </c>
      <c r="D52" s="475">
        <v>4000</v>
      </c>
      <c r="E52" s="475">
        <v>2000</v>
      </c>
      <c r="F52" s="474">
        <f>SUM('[2]1017 Népjóléti Kabinet'!O40)</f>
        <v>2000</v>
      </c>
      <c r="G52" s="473">
        <f t="shared" si="1"/>
        <v>1</v>
      </c>
    </row>
    <row r="53" spans="1:7" ht="22.15" customHeight="1" x14ac:dyDescent="0.2">
      <c r="A53" s="469">
        <v>36</v>
      </c>
      <c r="B53" s="481" t="s">
        <v>517</v>
      </c>
      <c r="C53" s="508"/>
      <c r="D53" s="475">
        <v>0</v>
      </c>
      <c r="E53" s="475">
        <v>19812</v>
      </c>
      <c r="F53" s="474">
        <f>SUM('[2]1014.Polgármester'!O40)</f>
        <v>19812</v>
      </c>
      <c r="G53" s="473">
        <f t="shared" si="1"/>
        <v>1</v>
      </c>
    </row>
    <row r="54" spans="1:7" ht="28.15" customHeight="1" x14ac:dyDescent="0.2">
      <c r="A54" s="469">
        <v>37</v>
      </c>
      <c r="B54" s="481" t="s">
        <v>516</v>
      </c>
      <c r="C54" s="508"/>
      <c r="D54" s="475">
        <v>0</v>
      </c>
      <c r="E54" s="475">
        <v>600</v>
      </c>
      <c r="F54" s="474">
        <f>SUM('[2]1017 Népjóléti Kabinet'!O43)</f>
        <v>600</v>
      </c>
      <c r="G54" s="473">
        <f t="shared" si="1"/>
        <v>1</v>
      </c>
    </row>
    <row r="55" spans="1:7" ht="22.15" customHeight="1" x14ac:dyDescent="0.2">
      <c r="A55" s="469">
        <v>38</v>
      </c>
      <c r="B55" s="481" t="s">
        <v>515</v>
      </c>
      <c r="C55" s="508"/>
      <c r="D55" s="475">
        <v>0</v>
      </c>
      <c r="E55" s="475">
        <v>8000</v>
      </c>
      <c r="F55" s="474">
        <f>SUM('[2]1026 Közbiztonságért felelős Ka'!O31)</f>
        <v>8000</v>
      </c>
      <c r="G55" s="473">
        <f t="shared" si="1"/>
        <v>1</v>
      </c>
    </row>
    <row r="56" spans="1:7" ht="22.15" customHeight="1" x14ac:dyDescent="0.2">
      <c r="A56" s="469">
        <v>39</v>
      </c>
      <c r="B56" s="481" t="s">
        <v>514</v>
      </c>
      <c r="C56" s="480" t="s">
        <v>513</v>
      </c>
      <c r="D56" s="475">
        <v>18390</v>
      </c>
      <c r="E56" s="475">
        <v>5000</v>
      </c>
      <c r="F56" s="474">
        <f>SUM('[2]1026 Közbiztonságért felelős Ka'!O29)</f>
        <v>5000</v>
      </c>
      <c r="G56" s="473">
        <f t="shared" si="1"/>
        <v>1</v>
      </c>
    </row>
    <row r="57" spans="1:7" ht="22.15" hidden="1" customHeight="1" x14ac:dyDescent="0.2">
      <c r="A57" s="469">
        <v>43</v>
      </c>
      <c r="B57" s="481" t="s">
        <v>512</v>
      </c>
      <c r="C57" s="480" t="s">
        <v>511</v>
      </c>
      <c r="D57" s="475">
        <v>12000</v>
      </c>
      <c r="E57" s="475">
        <v>0</v>
      </c>
      <c r="F57" s="474">
        <f>SUM('[2]1014.Polgármester'!O36)</f>
        <v>0</v>
      </c>
      <c r="G57" s="473" t="e">
        <f t="shared" si="1"/>
        <v>#DIV/0!</v>
      </c>
    </row>
    <row r="58" spans="1:7" ht="22.15" customHeight="1" x14ac:dyDescent="0.2">
      <c r="A58" s="469">
        <v>40</v>
      </c>
      <c r="B58" s="481" t="s">
        <v>510</v>
      </c>
      <c r="C58" s="508"/>
      <c r="D58" s="475">
        <v>0</v>
      </c>
      <c r="E58" s="475">
        <v>10000</v>
      </c>
      <c r="F58" s="474">
        <f>SUM('[2]1014.Polgármester'!O39)</f>
        <v>10000</v>
      </c>
      <c r="G58" s="473">
        <f t="shared" si="1"/>
        <v>1</v>
      </c>
    </row>
    <row r="59" spans="1:7" ht="22.15" customHeight="1" x14ac:dyDescent="0.2">
      <c r="A59" s="469">
        <v>41</v>
      </c>
      <c r="B59" s="481" t="s">
        <v>509</v>
      </c>
      <c r="C59" s="508"/>
      <c r="D59" s="475">
        <v>0</v>
      </c>
      <c r="E59" s="475">
        <v>10000</v>
      </c>
      <c r="F59" s="474">
        <f>SUM('[2]1014.Polgármester'!O38)</f>
        <v>10000</v>
      </c>
      <c r="G59" s="473">
        <f t="shared" si="1"/>
        <v>1</v>
      </c>
    </row>
    <row r="60" spans="1:7" ht="22.15" customHeight="1" x14ac:dyDescent="0.2">
      <c r="A60" s="469">
        <v>42</v>
      </c>
      <c r="B60" s="477" t="s">
        <v>508</v>
      </c>
      <c r="C60" s="507" t="s">
        <v>507</v>
      </c>
      <c r="D60" s="475">
        <v>5000</v>
      </c>
      <c r="E60" s="475">
        <v>5000</v>
      </c>
      <c r="F60" s="474">
        <f>SUM('[2]1026 Közbiztonságért felelős Ka'!O26)</f>
        <v>5000</v>
      </c>
      <c r="G60" s="473">
        <f t="shared" si="1"/>
        <v>1</v>
      </c>
    </row>
    <row r="61" spans="1:7" ht="22.15" hidden="1" customHeight="1" x14ac:dyDescent="0.2">
      <c r="A61" s="469">
        <v>51</v>
      </c>
      <c r="B61" s="481" t="s">
        <v>506</v>
      </c>
      <c r="C61" s="480" t="s">
        <v>505</v>
      </c>
      <c r="D61" s="475">
        <v>20000</v>
      </c>
      <c r="E61" s="475">
        <v>0</v>
      </c>
      <c r="F61" s="474">
        <f>SUM('[2]1014.Polgármester'!O37)</f>
        <v>0</v>
      </c>
      <c r="G61" s="473" t="e">
        <f t="shared" si="1"/>
        <v>#DIV/0!</v>
      </c>
    </row>
    <row r="62" spans="1:7" ht="22.15" hidden="1" customHeight="1" x14ac:dyDescent="0.2">
      <c r="A62" s="469">
        <v>52</v>
      </c>
      <c r="B62" s="481" t="s">
        <v>504</v>
      </c>
      <c r="C62" s="480" t="s">
        <v>503</v>
      </c>
      <c r="D62" s="475">
        <v>721004</v>
      </c>
      <c r="E62" s="475">
        <v>0</v>
      </c>
      <c r="F62" s="474">
        <f>SUM('[2]1016 Gazdaságért felelős Kabine'!O21)</f>
        <v>0</v>
      </c>
      <c r="G62" s="473" t="e">
        <f t="shared" si="1"/>
        <v>#DIV/0!</v>
      </c>
    </row>
    <row r="63" spans="1:7" ht="22.15" customHeight="1" x14ac:dyDescent="0.2">
      <c r="A63" s="501" t="s">
        <v>58</v>
      </c>
      <c r="B63" s="500" t="s">
        <v>502</v>
      </c>
      <c r="C63" s="408"/>
      <c r="D63" s="498">
        <v>95700</v>
      </c>
      <c r="E63" s="498">
        <v>31500</v>
      </c>
      <c r="F63" s="497">
        <f>SUM(F64:F73)</f>
        <v>31500</v>
      </c>
      <c r="G63" s="496">
        <f t="shared" si="1"/>
        <v>1</v>
      </c>
    </row>
    <row r="64" spans="1:7" ht="22.15" hidden="1" customHeight="1" x14ac:dyDescent="0.2">
      <c r="A64" s="469">
        <v>1</v>
      </c>
      <c r="B64" s="477" t="s">
        <v>501</v>
      </c>
      <c r="C64" s="499" t="s">
        <v>500</v>
      </c>
      <c r="D64" s="475">
        <v>1000</v>
      </c>
      <c r="E64" s="475">
        <v>0</v>
      </c>
      <c r="F64" s="474">
        <f>SUM('[2]1026 Közbiztonságért felelős Ka'!O25)</f>
        <v>0</v>
      </c>
      <c r="G64" s="473" t="e">
        <f t="shared" si="1"/>
        <v>#DIV/0!</v>
      </c>
    </row>
    <row r="65" spans="1:7" ht="22.15" hidden="1" customHeight="1" x14ac:dyDescent="0.2">
      <c r="A65" s="469">
        <v>2</v>
      </c>
      <c r="B65" s="477" t="s">
        <v>499</v>
      </c>
      <c r="C65" s="476" t="s">
        <v>498</v>
      </c>
      <c r="D65" s="475">
        <v>1000</v>
      </c>
      <c r="E65" s="475">
        <v>0</v>
      </c>
      <c r="F65" s="474">
        <f>SUM('[2]1016 Gazdaságért felelős Kabine'!O13)</f>
        <v>0</v>
      </c>
      <c r="G65" s="473" t="e">
        <f t="shared" si="1"/>
        <v>#DIV/0!</v>
      </c>
    </row>
    <row r="66" spans="1:7" ht="22.15" hidden="1" customHeight="1" x14ac:dyDescent="0.2">
      <c r="A66" s="469">
        <v>3</v>
      </c>
      <c r="B66" s="477" t="s">
        <v>497</v>
      </c>
      <c r="C66" s="476" t="s">
        <v>496</v>
      </c>
      <c r="D66" s="475">
        <v>1000</v>
      </c>
      <c r="E66" s="475">
        <v>0</v>
      </c>
      <c r="F66" s="474">
        <f>SUM('[2]1017 Népjóléti Kabinet'!O37)</f>
        <v>0</v>
      </c>
      <c r="G66" s="473" t="e">
        <f t="shared" si="1"/>
        <v>#DIV/0!</v>
      </c>
    </row>
    <row r="67" spans="1:7" ht="22.15" hidden="1" customHeight="1" x14ac:dyDescent="0.2">
      <c r="A67" s="469">
        <v>4</v>
      </c>
      <c r="B67" s="477" t="s">
        <v>495</v>
      </c>
      <c r="C67" s="476" t="s">
        <v>494</v>
      </c>
      <c r="D67" s="475">
        <v>1000</v>
      </c>
      <c r="E67" s="475">
        <v>0</v>
      </c>
      <c r="F67" s="474">
        <f>SUM('[2]1014.Polgármester'!O35)</f>
        <v>0</v>
      </c>
      <c r="G67" s="473" t="e">
        <f t="shared" si="1"/>
        <v>#DIV/0!</v>
      </c>
    </row>
    <row r="68" spans="1:7" ht="22.15" hidden="1" customHeight="1" x14ac:dyDescent="0.2">
      <c r="A68" s="469">
        <v>5</v>
      </c>
      <c r="B68" s="477" t="s">
        <v>493</v>
      </c>
      <c r="C68" s="476" t="s">
        <v>492</v>
      </c>
      <c r="D68" s="475">
        <v>1000</v>
      </c>
      <c r="E68" s="475">
        <v>0</v>
      </c>
      <c r="F68" s="474">
        <f>SUM('[2]1027 Kulturáért felelős Kabinet'!O46)</f>
        <v>0</v>
      </c>
      <c r="G68" s="473" t="e">
        <f t="shared" si="1"/>
        <v>#DIV/0!</v>
      </c>
    </row>
    <row r="69" spans="1:7" ht="22.15" hidden="1" customHeight="1" x14ac:dyDescent="0.2">
      <c r="A69" s="469">
        <v>6</v>
      </c>
      <c r="B69" s="477" t="s">
        <v>491</v>
      </c>
      <c r="C69" s="476" t="s">
        <v>490</v>
      </c>
      <c r="D69" s="475">
        <v>1000</v>
      </c>
      <c r="E69" s="475">
        <v>0</v>
      </c>
      <c r="F69" s="474">
        <f>SUM('[2]1026 Közbiztonságért felelős Ka'!O28)</f>
        <v>0</v>
      </c>
      <c r="G69" s="473" t="e">
        <f t="shared" si="1"/>
        <v>#DIV/0!</v>
      </c>
    </row>
    <row r="70" spans="1:7" ht="22.15" hidden="1" customHeight="1" x14ac:dyDescent="0.2">
      <c r="A70" s="469">
        <v>7</v>
      </c>
      <c r="B70" s="477" t="s">
        <v>489</v>
      </c>
      <c r="C70" s="476" t="s">
        <v>488</v>
      </c>
      <c r="D70" s="475">
        <v>1000</v>
      </c>
      <c r="E70" s="475">
        <v>0</v>
      </c>
      <c r="F70" s="474">
        <f>SUM('[2]1016 Gazdaságért felelős Kabine'!O14)</f>
        <v>0</v>
      </c>
      <c r="G70" s="473" t="e">
        <f t="shared" si="1"/>
        <v>#DIV/0!</v>
      </c>
    </row>
    <row r="71" spans="1:7" ht="22.15" customHeight="1" x14ac:dyDescent="0.2">
      <c r="A71" s="469">
        <v>1</v>
      </c>
      <c r="B71" s="477" t="s">
        <v>487</v>
      </c>
      <c r="C71" s="476" t="s">
        <v>486</v>
      </c>
      <c r="D71" s="475">
        <v>5000</v>
      </c>
      <c r="E71" s="475">
        <v>3000</v>
      </c>
      <c r="F71" s="474">
        <f>SUM('[2]1025.TRÖK'!O7)</f>
        <v>3000</v>
      </c>
      <c r="G71" s="473">
        <f t="shared" si="1"/>
        <v>1</v>
      </c>
    </row>
    <row r="72" spans="1:7" ht="22.15" customHeight="1" x14ac:dyDescent="0.2">
      <c r="A72" s="469">
        <v>2</v>
      </c>
      <c r="B72" s="477" t="s">
        <v>485</v>
      </c>
      <c r="C72" s="476" t="s">
        <v>484</v>
      </c>
      <c r="D72" s="475">
        <v>12000</v>
      </c>
      <c r="E72" s="475">
        <v>1500</v>
      </c>
      <c r="F72" s="474">
        <f>SUM('[2]1025.TRÖK'!O4)</f>
        <v>1500</v>
      </c>
      <c r="G72" s="473">
        <f t="shared" ref="G72:G96" si="2">F72/E72</f>
        <v>1</v>
      </c>
    </row>
    <row r="73" spans="1:7" ht="22.15" customHeight="1" x14ac:dyDescent="0.2">
      <c r="A73" s="506">
        <v>3</v>
      </c>
      <c r="B73" s="505" t="s">
        <v>483</v>
      </c>
      <c r="C73" s="504"/>
      <c r="D73" s="503">
        <v>69000</v>
      </c>
      <c r="E73" s="503">
        <v>27000</v>
      </c>
      <c r="F73" s="503">
        <f>SUM(F74:F81)</f>
        <v>27000</v>
      </c>
      <c r="G73" s="502">
        <f t="shared" si="2"/>
        <v>1</v>
      </c>
    </row>
    <row r="74" spans="1:7" s="153" customFormat="1" ht="22.15" customHeight="1" x14ac:dyDescent="0.2">
      <c r="A74" s="501"/>
      <c r="B74" s="500" t="s">
        <v>482</v>
      </c>
      <c r="C74" s="499" t="s">
        <v>481</v>
      </c>
      <c r="D74" s="498">
        <v>1000</v>
      </c>
      <c r="E74" s="498">
        <v>500</v>
      </c>
      <c r="F74" s="497">
        <f>SUM('[2]1005. ISMO'!O41)</f>
        <v>500</v>
      </c>
      <c r="G74" s="496">
        <f t="shared" si="2"/>
        <v>1</v>
      </c>
    </row>
    <row r="75" spans="1:7" s="153" customFormat="1" ht="22.15" customHeight="1" x14ac:dyDescent="0.2">
      <c r="A75" s="501"/>
      <c r="B75" s="500" t="s">
        <v>480</v>
      </c>
      <c r="C75" s="499" t="s">
        <v>479</v>
      </c>
      <c r="D75" s="498">
        <v>6000</v>
      </c>
      <c r="E75" s="498">
        <v>6000</v>
      </c>
      <c r="F75" s="497">
        <f>SUM('[2]1005. ISMO'!O40)</f>
        <v>6000</v>
      </c>
      <c r="G75" s="496">
        <f t="shared" si="2"/>
        <v>1</v>
      </c>
    </row>
    <row r="76" spans="1:7" s="153" customFormat="1" ht="22.15" customHeight="1" x14ac:dyDescent="0.2">
      <c r="A76" s="501"/>
      <c r="B76" s="500" t="s">
        <v>478</v>
      </c>
      <c r="C76" s="499" t="s">
        <v>477</v>
      </c>
      <c r="D76" s="498">
        <v>12000</v>
      </c>
      <c r="E76" s="498">
        <v>3000</v>
      </c>
      <c r="F76" s="497">
        <f>SUM('[2]1005. ISMO'!O42)</f>
        <v>3000</v>
      </c>
      <c r="G76" s="496">
        <f t="shared" si="2"/>
        <v>1</v>
      </c>
    </row>
    <row r="77" spans="1:7" s="153" customFormat="1" ht="22.15" hidden="1" customHeight="1" x14ac:dyDescent="0.2">
      <c r="A77" s="501"/>
      <c r="B77" s="500" t="s">
        <v>476</v>
      </c>
      <c r="C77" s="499" t="s">
        <v>475</v>
      </c>
      <c r="D77" s="498">
        <v>8000</v>
      </c>
      <c r="E77" s="498">
        <v>0</v>
      </c>
      <c r="F77" s="497">
        <f>SUM('[2]1027 Kulturáért felelős Kabinet'!O34)</f>
        <v>0</v>
      </c>
      <c r="G77" s="496" t="e">
        <f t="shared" si="2"/>
        <v>#DIV/0!</v>
      </c>
    </row>
    <row r="78" spans="1:7" s="153" customFormat="1" ht="22.15" customHeight="1" x14ac:dyDescent="0.2">
      <c r="A78" s="501"/>
      <c r="B78" s="500" t="s">
        <v>474</v>
      </c>
      <c r="C78" s="499" t="s">
        <v>473</v>
      </c>
      <c r="D78" s="498">
        <v>16000</v>
      </c>
      <c r="E78" s="498">
        <v>5500</v>
      </c>
      <c r="F78" s="497">
        <f>SUM('[2]1026 Közbiztonságért felelős Ka'!O27)</f>
        <v>5500</v>
      </c>
      <c r="G78" s="496">
        <f t="shared" si="2"/>
        <v>1</v>
      </c>
    </row>
    <row r="79" spans="1:7" s="153" customFormat="1" ht="22.15" customHeight="1" x14ac:dyDescent="0.2">
      <c r="A79" s="501"/>
      <c r="B79" s="500" t="s">
        <v>472</v>
      </c>
      <c r="C79" s="499" t="s">
        <v>471</v>
      </c>
      <c r="D79" s="498">
        <v>2000</v>
      </c>
      <c r="E79" s="498">
        <v>1000</v>
      </c>
      <c r="F79" s="497">
        <f>+'[2]1005. ISMO'!O47</f>
        <v>1000</v>
      </c>
      <c r="G79" s="496">
        <f t="shared" si="2"/>
        <v>1</v>
      </c>
    </row>
    <row r="80" spans="1:7" s="153" customFormat="1" ht="22.15" customHeight="1" x14ac:dyDescent="0.2">
      <c r="A80" s="501"/>
      <c r="B80" s="500" t="s">
        <v>470</v>
      </c>
      <c r="C80" s="499" t="s">
        <v>469</v>
      </c>
      <c r="D80" s="498">
        <v>14000</v>
      </c>
      <c r="E80" s="498">
        <v>6000</v>
      </c>
      <c r="F80" s="497">
        <f>SUM('[2]1005. ISMO'!O44)</f>
        <v>6000</v>
      </c>
      <c r="G80" s="496">
        <f t="shared" si="2"/>
        <v>1</v>
      </c>
    </row>
    <row r="81" spans="1:7" s="153" customFormat="1" ht="22.15" customHeight="1" thickBot="1" x14ac:dyDescent="0.25">
      <c r="A81" s="495"/>
      <c r="B81" s="494" t="s">
        <v>468</v>
      </c>
      <c r="C81" s="493" t="s">
        <v>467</v>
      </c>
      <c r="D81" s="492">
        <v>10000</v>
      </c>
      <c r="E81" s="492">
        <v>5000</v>
      </c>
      <c r="F81" s="491">
        <f>SUM('[2]1005. ISMO'!O45)</f>
        <v>5000</v>
      </c>
      <c r="G81" s="490">
        <f t="shared" si="2"/>
        <v>1</v>
      </c>
    </row>
    <row r="82" spans="1:7" s="183" customFormat="1" ht="22.15" customHeight="1" x14ac:dyDescent="0.2">
      <c r="A82" s="489" t="s">
        <v>96</v>
      </c>
      <c r="B82" s="488" t="s">
        <v>466</v>
      </c>
      <c r="C82" s="487"/>
      <c r="D82" s="486">
        <v>1508164</v>
      </c>
      <c r="E82" s="486">
        <v>271500</v>
      </c>
      <c r="F82" s="486">
        <f>SUM(F83:F95)-F84-F85</f>
        <v>271500</v>
      </c>
      <c r="G82" s="485">
        <f t="shared" si="2"/>
        <v>1</v>
      </c>
    </row>
    <row r="83" spans="1:7" ht="22.15" customHeight="1" x14ac:dyDescent="0.2">
      <c r="A83" s="469">
        <v>1</v>
      </c>
      <c r="B83" s="481" t="s">
        <v>465</v>
      </c>
      <c r="C83" s="480" t="s">
        <v>464</v>
      </c>
      <c r="D83" s="475">
        <v>837258</v>
      </c>
      <c r="E83" s="475">
        <v>250000</v>
      </c>
      <c r="F83" s="474">
        <f>SUM(F84:F85)</f>
        <v>250000</v>
      </c>
      <c r="G83" s="473">
        <f t="shared" si="2"/>
        <v>1</v>
      </c>
    </row>
    <row r="84" spans="1:7" ht="22.15" customHeight="1" x14ac:dyDescent="0.2">
      <c r="A84" s="484" t="s">
        <v>264</v>
      </c>
      <c r="B84" s="483" t="s">
        <v>463</v>
      </c>
      <c r="C84" s="480"/>
      <c r="D84" s="475">
        <v>0</v>
      </c>
      <c r="E84" s="475">
        <v>190000</v>
      </c>
      <c r="F84" s="474">
        <f>SUM('[2]1016 Gazdaságért felelős Kabine'!O22)</f>
        <v>190000</v>
      </c>
      <c r="G84" s="473">
        <f t="shared" si="2"/>
        <v>1</v>
      </c>
    </row>
    <row r="85" spans="1:7" ht="22.15" customHeight="1" x14ac:dyDescent="0.2">
      <c r="A85" s="484" t="s">
        <v>260</v>
      </c>
      <c r="B85" s="483" t="s">
        <v>462</v>
      </c>
      <c r="C85" s="480"/>
      <c r="D85" s="475">
        <v>0</v>
      </c>
      <c r="E85" s="475">
        <v>60000</v>
      </c>
      <c r="F85" s="474">
        <f>SUM('[2]1016 Gazdaságért felelős Kabine'!O23)</f>
        <v>60000</v>
      </c>
      <c r="G85" s="473">
        <f t="shared" si="2"/>
        <v>1</v>
      </c>
    </row>
    <row r="86" spans="1:7" ht="22.15" customHeight="1" x14ac:dyDescent="0.2">
      <c r="A86" s="469">
        <v>2</v>
      </c>
      <c r="B86" s="479" t="s">
        <v>461</v>
      </c>
      <c r="C86" s="482" t="s">
        <v>460</v>
      </c>
      <c r="D86" s="475">
        <v>10000</v>
      </c>
      <c r="E86" s="475">
        <v>12000</v>
      </c>
      <c r="F86" s="474">
        <f>SUM('[2]1018.Főépítész'!O24)</f>
        <v>12000</v>
      </c>
      <c r="G86" s="473">
        <f t="shared" si="2"/>
        <v>1</v>
      </c>
    </row>
    <row r="87" spans="1:7" ht="22.15" customHeight="1" x14ac:dyDescent="0.2">
      <c r="A87" s="469">
        <v>3</v>
      </c>
      <c r="B87" s="481" t="s">
        <v>459</v>
      </c>
      <c r="C87" s="480" t="s">
        <v>458</v>
      </c>
      <c r="D87" s="475">
        <v>10000</v>
      </c>
      <c r="E87" s="475">
        <v>3000</v>
      </c>
      <c r="F87" s="474">
        <f>SUM('[2]1027 Kulturáért felelős Kabinet'!O43)</f>
        <v>3000</v>
      </c>
      <c r="G87" s="473">
        <f t="shared" si="2"/>
        <v>1</v>
      </c>
    </row>
    <row r="88" spans="1:7" ht="22.15" customHeight="1" x14ac:dyDescent="0.2">
      <c r="A88" s="469">
        <v>4</v>
      </c>
      <c r="B88" s="479" t="s">
        <v>457</v>
      </c>
      <c r="C88" s="478" t="s">
        <v>456</v>
      </c>
      <c r="D88" s="466">
        <v>9906</v>
      </c>
      <c r="E88" s="466">
        <v>5000</v>
      </c>
      <c r="F88" s="474">
        <f>SUM('[2]1003.Informatika'!O53)</f>
        <v>5000</v>
      </c>
      <c r="G88" s="473">
        <f t="shared" si="2"/>
        <v>1</v>
      </c>
    </row>
    <row r="89" spans="1:7" ht="22.15" hidden="1" customHeight="1" x14ac:dyDescent="0.2">
      <c r="A89" s="469">
        <v>5</v>
      </c>
      <c r="B89" s="477" t="s">
        <v>455</v>
      </c>
      <c r="C89" s="476" t="s">
        <v>454</v>
      </c>
      <c r="D89" s="475">
        <v>10000</v>
      </c>
      <c r="E89" s="475">
        <v>1500</v>
      </c>
      <c r="F89" s="474">
        <f>SUM('[2]1025.TRÖK'!O5)</f>
        <v>1500</v>
      </c>
      <c r="G89" s="473">
        <f t="shared" si="2"/>
        <v>1</v>
      </c>
    </row>
    <row r="90" spans="1:7" ht="22.15" hidden="1" customHeight="1" x14ac:dyDescent="0.2">
      <c r="A90" s="469">
        <v>6</v>
      </c>
      <c r="B90" s="472" t="s">
        <v>453</v>
      </c>
      <c r="C90" s="471" t="s">
        <v>452</v>
      </c>
      <c r="D90" s="466">
        <v>400000</v>
      </c>
      <c r="E90" s="466">
        <v>0</v>
      </c>
      <c r="F90" s="465">
        <f>+'[2]1017 Népjóléti Kabinet'!O35</f>
        <v>0</v>
      </c>
      <c r="G90" s="464" t="e">
        <f t="shared" si="2"/>
        <v>#DIV/0!</v>
      </c>
    </row>
    <row r="91" spans="1:7" ht="22.15" hidden="1" customHeight="1" x14ac:dyDescent="0.2">
      <c r="A91" s="469">
        <v>7</v>
      </c>
      <c r="B91" s="468" t="s">
        <v>451</v>
      </c>
      <c r="C91" s="470" t="s">
        <v>450</v>
      </c>
      <c r="D91" s="466">
        <v>100000</v>
      </c>
      <c r="E91" s="466">
        <v>0</v>
      </c>
      <c r="F91" s="465">
        <f>SUM('[2]1018.Főépítész'!O25)</f>
        <v>0</v>
      </c>
      <c r="G91" s="464" t="e">
        <f t="shared" si="2"/>
        <v>#DIV/0!</v>
      </c>
    </row>
    <row r="92" spans="1:7" ht="22.15" hidden="1" customHeight="1" x14ac:dyDescent="0.2">
      <c r="A92" s="469">
        <v>8</v>
      </c>
      <c r="B92" s="468" t="s">
        <v>449</v>
      </c>
      <c r="C92" s="467" t="s">
        <v>448</v>
      </c>
      <c r="D92" s="466">
        <v>60000</v>
      </c>
      <c r="E92" s="466">
        <v>0</v>
      </c>
      <c r="F92" s="465">
        <f>SUM('[2]1016 Gazdaságért felelős Kabine'!O18)</f>
        <v>0</v>
      </c>
      <c r="G92" s="464" t="e">
        <f t="shared" si="2"/>
        <v>#DIV/0!</v>
      </c>
    </row>
    <row r="93" spans="1:7" ht="22.15" hidden="1" customHeight="1" x14ac:dyDescent="0.2">
      <c r="A93" s="469">
        <v>9</v>
      </c>
      <c r="B93" s="468" t="s">
        <v>447</v>
      </c>
      <c r="C93" s="467" t="s">
        <v>446</v>
      </c>
      <c r="D93" s="466">
        <v>40000</v>
      </c>
      <c r="E93" s="466">
        <v>0</v>
      </c>
      <c r="F93" s="465">
        <f>SUM('[2]1016 Gazdaságért felelős Kabine'!O16)</f>
        <v>0</v>
      </c>
      <c r="G93" s="464" t="e">
        <f t="shared" si="2"/>
        <v>#DIV/0!</v>
      </c>
    </row>
    <row r="94" spans="1:7" ht="22.15" hidden="1" customHeight="1" x14ac:dyDescent="0.2">
      <c r="A94" s="469">
        <v>10</v>
      </c>
      <c r="B94" s="468" t="s">
        <v>445</v>
      </c>
      <c r="C94" s="467" t="s">
        <v>444</v>
      </c>
      <c r="D94" s="466">
        <v>21000</v>
      </c>
      <c r="E94" s="466">
        <v>0</v>
      </c>
      <c r="F94" s="465">
        <f>SUM('[2]1016 Gazdaságért felelős Kabine'!O20)</f>
        <v>0</v>
      </c>
      <c r="G94" s="464" t="e">
        <f t="shared" si="2"/>
        <v>#DIV/0!</v>
      </c>
    </row>
    <row r="95" spans="1:7" ht="28.15" hidden="1" customHeight="1" x14ac:dyDescent="0.2">
      <c r="A95" s="469">
        <v>11</v>
      </c>
      <c r="B95" s="468" t="s">
        <v>443</v>
      </c>
      <c r="C95" s="467" t="s">
        <v>442</v>
      </c>
      <c r="D95" s="466">
        <v>10000</v>
      </c>
      <c r="E95" s="466">
        <v>0</v>
      </c>
      <c r="F95" s="465">
        <f>SUM('[2]1030 Gazdasági szervezetek'!O18)</f>
        <v>0</v>
      </c>
      <c r="G95" s="464" t="e">
        <f t="shared" si="2"/>
        <v>#DIV/0!</v>
      </c>
    </row>
    <row r="96" spans="1:7" s="457" customFormat="1" ht="22.15" customHeight="1" thickBot="1" x14ac:dyDescent="0.25">
      <c r="A96" s="463"/>
      <c r="B96" s="462" t="s">
        <v>441</v>
      </c>
      <c r="C96" s="461"/>
      <c r="D96" s="460">
        <v>3779361</v>
      </c>
      <c r="E96" s="460">
        <v>1085005</v>
      </c>
      <c r="F96" s="459">
        <f>SUM(F82+F9+F8)</f>
        <v>720201</v>
      </c>
      <c r="G96" s="458">
        <f t="shared" si="2"/>
        <v>0.66377666462366536</v>
      </c>
    </row>
    <row r="98" spans="4:7" x14ac:dyDescent="0.2">
      <c r="D98" s="1">
        <v>0</v>
      </c>
      <c r="F98" s="456">
        <f>SUM([2]ÖK.ÖSSZESÍTŐ!H70)</f>
        <v>720201</v>
      </c>
      <c r="G98" s="1" t="s">
        <v>440</v>
      </c>
    </row>
    <row r="99" spans="4:7" x14ac:dyDescent="0.2">
      <c r="F99" s="456">
        <f>SUM(F98-F96)</f>
        <v>0</v>
      </c>
    </row>
    <row r="100" spans="4:7" x14ac:dyDescent="0.2">
      <c r="G100" s="3"/>
    </row>
  </sheetData>
  <mergeCells count="1">
    <mergeCell ref="A1:G1"/>
  </mergeCells>
  <printOptions horizontalCentered="1"/>
  <pageMargins left="3.937007874015748E-2" right="0.47244094488188981" top="1.1811023622047245" bottom="0.59055118110236227" header="0.31496062992125984" footer="0.31496062992125984"/>
  <pageSetup paperSize="9" scale="81" fitToHeight="0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44"/>
  <sheetViews>
    <sheetView topLeftCell="A2" zoomScaleNormal="100" workbookViewId="0">
      <pane xSplit="2" ySplit="7" topLeftCell="C9" activePane="bottomRight" state="frozen"/>
      <selection activeCell="A2" sqref="A2"/>
      <selection pane="topRight" activeCell="C2" sqref="C2"/>
      <selection pane="bottomLeft" activeCell="A9" sqref="A9"/>
      <selection pane="bottomRight" activeCell="A2" sqref="A2:O2"/>
    </sheetView>
  </sheetViews>
  <sheetFormatPr defaultColWidth="9.140625" defaultRowHeight="12.75" x14ac:dyDescent="0.2"/>
  <cols>
    <col min="1" max="1" width="9.140625" style="421"/>
    <col min="2" max="2" width="40.5703125" style="421" customWidth="1"/>
    <col min="3" max="3" width="11.42578125" style="421" customWidth="1"/>
    <col min="4" max="4" width="11.85546875" style="421" customWidth="1"/>
    <col min="5" max="5" width="11.42578125" style="421" customWidth="1"/>
    <col min="6" max="6" width="11.28515625" style="421" customWidth="1"/>
    <col min="7" max="7" width="11.42578125" style="421" customWidth="1"/>
    <col min="8" max="8" width="11.7109375" style="421" customWidth="1"/>
    <col min="9" max="9" width="12.140625" style="421" customWidth="1"/>
    <col min="10" max="10" width="13.140625" style="421" customWidth="1"/>
    <col min="11" max="11" width="13.7109375" style="421" customWidth="1"/>
    <col min="12" max="12" width="11.7109375" style="421" customWidth="1"/>
    <col min="13" max="13" width="12" style="421" customWidth="1"/>
    <col min="14" max="14" width="12.42578125" style="421" customWidth="1"/>
    <col min="15" max="15" width="13.140625" style="422" customWidth="1"/>
    <col min="16" max="25" width="13.28515625" style="1" customWidth="1"/>
    <col min="26" max="16384" width="9.140625" style="421"/>
  </cols>
  <sheetData>
    <row r="1" spans="1:25" s="1" customFormat="1" x14ac:dyDescent="0.2">
      <c r="O1" s="183"/>
    </row>
    <row r="2" spans="1:25" s="1" customFormat="1" ht="16.5" customHeight="1" x14ac:dyDescent="0.2">
      <c r="A2" s="1383" t="s">
        <v>871</v>
      </c>
      <c r="B2" s="1383"/>
      <c r="C2" s="1383"/>
      <c r="D2" s="1383"/>
      <c r="E2" s="1383"/>
      <c r="F2" s="1383"/>
      <c r="G2" s="1383"/>
      <c r="H2" s="1383"/>
      <c r="I2" s="1383"/>
      <c r="J2" s="1383"/>
      <c r="K2" s="1383"/>
      <c r="L2" s="1383"/>
      <c r="M2" s="1383"/>
      <c r="N2" s="1383"/>
      <c r="O2" s="1383"/>
    </row>
    <row r="3" spans="1:25" s="1" customFormat="1" ht="14.25" x14ac:dyDescent="0.2">
      <c r="C3" s="199"/>
      <c r="D3" s="454"/>
      <c r="E3" s="454"/>
      <c r="F3" s="454"/>
      <c r="G3" s="454"/>
      <c r="H3" s="454"/>
      <c r="I3" s="454"/>
      <c r="J3" s="454"/>
      <c r="K3" s="454"/>
      <c r="L3" s="454"/>
      <c r="M3" s="454"/>
      <c r="O3" s="183"/>
    </row>
    <row r="4" spans="1:25" s="1" customFormat="1" ht="14.25" x14ac:dyDescent="0.2">
      <c r="C4" s="199"/>
      <c r="D4" s="454"/>
      <c r="E4" s="454"/>
      <c r="F4" s="454"/>
      <c r="G4" s="454"/>
      <c r="H4" s="454"/>
      <c r="I4" s="454"/>
      <c r="J4" s="454"/>
      <c r="K4" s="454"/>
      <c r="L4" s="454"/>
      <c r="M4" s="454"/>
      <c r="O4" s="183"/>
    </row>
    <row r="5" spans="1:25" s="1" customFormat="1" x14ac:dyDescent="0.2">
      <c r="O5" s="1" t="s">
        <v>439</v>
      </c>
    </row>
    <row r="6" spans="1:25" s="1" customFormat="1" ht="13.5" thickBot="1" x14ac:dyDescent="0.25">
      <c r="O6" s="202" t="s">
        <v>277</v>
      </c>
    </row>
    <row r="7" spans="1:25" s="450" customFormat="1" ht="27" customHeight="1" x14ac:dyDescent="0.25">
      <c r="A7" s="453"/>
      <c r="B7" s="452" t="s">
        <v>438</v>
      </c>
      <c r="C7" s="452" t="s">
        <v>437</v>
      </c>
      <c r="D7" s="452" t="s">
        <v>436</v>
      </c>
      <c r="E7" s="452" t="s">
        <v>435</v>
      </c>
      <c r="F7" s="452" t="s">
        <v>434</v>
      </c>
      <c r="G7" s="452" t="s">
        <v>433</v>
      </c>
      <c r="H7" s="452" t="s">
        <v>432</v>
      </c>
      <c r="I7" s="452" t="s">
        <v>431</v>
      </c>
      <c r="J7" s="452" t="s">
        <v>430</v>
      </c>
      <c r="K7" s="452" t="s">
        <v>429</v>
      </c>
      <c r="L7" s="452" t="s">
        <v>428</v>
      </c>
      <c r="M7" s="452" t="s">
        <v>427</v>
      </c>
      <c r="N7" s="452" t="s">
        <v>426</v>
      </c>
      <c r="O7" s="451" t="s">
        <v>425</v>
      </c>
      <c r="P7" s="419"/>
      <c r="Q7" s="419"/>
      <c r="R7" s="419"/>
      <c r="S7" s="419"/>
      <c r="T7" s="419"/>
      <c r="U7" s="419"/>
      <c r="V7" s="419"/>
      <c r="W7" s="419"/>
      <c r="X7" s="419"/>
      <c r="Y7" s="419"/>
    </row>
    <row r="8" spans="1:25" s="442" customFormat="1" ht="17.100000000000001" customHeight="1" x14ac:dyDescent="0.2">
      <c r="A8" s="449" t="s">
        <v>424</v>
      </c>
      <c r="B8" s="448"/>
      <c r="C8" s="447"/>
      <c r="D8" s="446"/>
      <c r="E8" s="446"/>
      <c r="F8" s="446"/>
      <c r="G8" s="446"/>
      <c r="H8" s="446"/>
      <c r="I8" s="446"/>
      <c r="J8" s="445"/>
      <c r="K8" s="445"/>
      <c r="L8" s="445"/>
      <c r="M8" s="445"/>
      <c r="N8" s="445"/>
      <c r="O8" s="444"/>
      <c r="P8" s="443"/>
      <c r="Q8" s="443"/>
      <c r="R8" s="443"/>
      <c r="S8" s="443"/>
      <c r="T8" s="443"/>
      <c r="U8" s="443"/>
      <c r="V8" s="443"/>
      <c r="W8" s="443"/>
      <c r="X8" s="443"/>
      <c r="Y8" s="443"/>
    </row>
    <row r="9" spans="1:25" ht="30" customHeight="1" x14ac:dyDescent="0.2">
      <c r="A9" s="158" t="s">
        <v>72</v>
      </c>
      <c r="B9" s="440" t="s">
        <v>267</v>
      </c>
      <c r="C9" s="430">
        <v>399749</v>
      </c>
      <c r="D9" s="430">
        <v>399749</v>
      </c>
      <c r="E9" s="430">
        <v>399749</v>
      </c>
      <c r="F9" s="430">
        <v>399749</v>
      </c>
      <c r="G9" s="430">
        <v>399749</v>
      </c>
      <c r="H9" s="430">
        <v>399749</v>
      </c>
      <c r="I9" s="430">
        <v>399749</v>
      </c>
      <c r="J9" s="430">
        <v>399750</v>
      </c>
      <c r="K9" s="430">
        <v>399750</v>
      </c>
      <c r="L9" s="430">
        <v>399750</v>
      </c>
      <c r="M9" s="430">
        <v>399750</v>
      </c>
      <c r="N9" s="430">
        <v>399750</v>
      </c>
      <c r="O9" s="439">
        <f t="shared" ref="O9:O16" si="0">SUM(C9:N9)</f>
        <v>4796993</v>
      </c>
      <c r="P9" s="424"/>
      <c r="Q9" s="424"/>
      <c r="R9" s="424"/>
      <c r="S9" s="424"/>
      <c r="T9" s="424"/>
      <c r="U9" s="424"/>
      <c r="V9" s="424"/>
      <c r="W9" s="424"/>
      <c r="X9" s="424"/>
      <c r="Y9" s="424"/>
    </row>
    <row r="10" spans="1:25" ht="30.75" customHeight="1" x14ac:dyDescent="0.25">
      <c r="A10" s="158" t="s">
        <v>70</v>
      </c>
      <c r="B10" s="441" t="s">
        <v>232</v>
      </c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>
        <v>123901</v>
      </c>
      <c r="N10" s="430">
        <f>192901+42172+14983</f>
        <v>250056</v>
      </c>
      <c r="O10" s="439">
        <f t="shared" si="0"/>
        <v>373957</v>
      </c>
      <c r="P10" s="424"/>
      <c r="Q10" s="424"/>
      <c r="R10" s="424"/>
      <c r="S10" s="424"/>
      <c r="T10" s="424"/>
      <c r="U10" s="424"/>
      <c r="V10" s="424"/>
      <c r="W10" s="424"/>
      <c r="X10" s="424"/>
      <c r="Y10" s="424"/>
    </row>
    <row r="11" spans="1:25" ht="25.5" customHeight="1" x14ac:dyDescent="0.2">
      <c r="A11" s="158" t="s">
        <v>91</v>
      </c>
      <c r="B11" s="440" t="s">
        <v>225</v>
      </c>
      <c r="C11" s="430">
        <f>18395+5444+59272+34880+1000</f>
        <v>118991</v>
      </c>
      <c r="D11" s="430">
        <f>18395+5444+59272+34880+1000</f>
        <v>118991</v>
      </c>
      <c r="E11" s="430">
        <f>18395+5444+59272+34880+1000+4046135+3000+299967</f>
        <v>4468093</v>
      </c>
      <c r="F11" s="430">
        <f>18395+5444+59272+34880+1000+10000+71000</f>
        <v>199991</v>
      </c>
      <c r="G11" s="430">
        <f>18395+5444+59272+34880+1000+12000</f>
        <v>130991</v>
      </c>
      <c r="H11" s="430">
        <f>18395+5444+59272+34880</f>
        <v>117991</v>
      </c>
      <c r="I11" s="430">
        <f>18395+5444+59272+34880+1000+10000+71000</f>
        <v>199991</v>
      </c>
      <c r="J11" s="430">
        <f>18395+5444+1000</f>
        <v>24839</v>
      </c>
      <c r="K11" s="430">
        <f>18395+5444+59272+34880+1000+5000000-299967</f>
        <v>4819024</v>
      </c>
      <c r="L11" s="430">
        <f>18395+5444+59272+34880+1000+10000+71000</f>
        <v>199991</v>
      </c>
      <c r="M11" s="430">
        <f>18395+5444+59272+34880+1000</f>
        <v>118991</v>
      </c>
      <c r="N11" s="430">
        <f>18395+5444+59270+34880+71000</f>
        <v>188989</v>
      </c>
      <c r="O11" s="439">
        <f t="shared" si="0"/>
        <v>10706873</v>
      </c>
      <c r="P11" s="424"/>
      <c r="Q11" s="424"/>
      <c r="R11" s="424"/>
      <c r="S11" s="424"/>
      <c r="T11" s="424"/>
      <c r="U11" s="424"/>
      <c r="V11" s="424"/>
      <c r="W11" s="424"/>
      <c r="X11" s="424"/>
      <c r="Y11" s="424"/>
    </row>
    <row r="12" spans="1:25" ht="25.5" customHeight="1" x14ac:dyDescent="0.2">
      <c r="A12" s="158" t="s">
        <v>66</v>
      </c>
      <c r="B12" s="440" t="s">
        <v>187</v>
      </c>
      <c r="C12" s="430">
        <v>82887</v>
      </c>
      <c r="D12" s="430">
        <v>82887</v>
      </c>
      <c r="E12" s="430">
        <f>82887+100000</f>
        <v>182887</v>
      </c>
      <c r="F12" s="430">
        <f>82887+90000</f>
        <v>172887</v>
      </c>
      <c r="G12" s="430">
        <f>82887+100000</f>
        <v>182887</v>
      </c>
      <c r="H12" s="430">
        <f>92456+80000</f>
        <v>172456</v>
      </c>
      <c r="I12" s="430">
        <f>98523+33839</f>
        <v>132362</v>
      </c>
      <c r="J12" s="430">
        <v>85697</v>
      </c>
      <c r="K12" s="430">
        <f>85697+20000</f>
        <v>105697</v>
      </c>
      <c r="L12" s="430">
        <f>85697+90000</f>
        <v>175697</v>
      </c>
      <c r="M12" s="430">
        <f>85697+10000</f>
        <v>95697</v>
      </c>
      <c r="N12" s="430">
        <f>85697+100000</f>
        <v>185697</v>
      </c>
      <c r="O12" s="439">
        <f t="shared" si="0"/>
        <v>1657738</v>
      </c>
      <c r="P12" s="424"/>
      <c r="Q12" s="424"/>
      <c r="R12" s="424"/>
      <c r="S12" s="424"/>
      <c r="T12" s="424"/>
      <c r="U12" s="424"/>
      <c r="V12" s="424"/>
      <c r="W12" s="424"/>
      <c r="X12" s="424"/>
      <c r="Y12" s="424"/>
    </row>
    <row r="13" spans="1:25" ht="25.5" customHeight="1" x14ac:dyDescent="0.2">
      <c r="A13" s="158" t="s">
        <v>200</v>
      </c>
      <c r="B13" s="440" t="s">
        <v>152</v>
      </c>
      <c r="C13" s="430"/>
      <c r="D13" s="430"/>
      <c r="E13" s="430"/>
      <c r="F13" s="430"/>
      <c r="G13" s="430"/>
      <c r="H13" s="430"/>
      <c r="I13" s="430">
        <v>1000</v>
      </c>
      <c r="J13" s="430">
        <v>450000</v>
      </c>
      <c r="K13" s="430">
        <v>450000</v>
      </c>
      <c r="L13" s="430">
        <v>450000</v>
      </c>
      <c r="M13" s="430">
        <v>450000</v>
      </c>
      <c r="N13" s="430"/>
      <c r="O13" s="439">
        <f t="shared" si="0"/>
        <v>1801000</v>
      </c>
      <c r="P13" s="424"/>
      <c r="Q13" s="424"/>
      <c r="R13" s="424"/>
      <c r="S13" s="424"/>
      <c r="T13" s="424"/>
      <c r="U13" s="424"/>
      <c r="V13" s="424"/>
      <c r="W13" s="424"/>
      <c r="X13" s="424"/>
      <c r="Y13" s="424"/>
    </row>
    <row r="14" spans="1:25" ht="25.5" customHeight="1" x14ac:dyDescent="0.2">
      <c r="A14" s="158" t="s">
        <v>420</v>
      </c>
      <c r="B14" s="440" t="s">
        <v>137</v>
      </c>
      <c r="C14" s="430"/>
      <c r="D14" s="430"/>
      <c r="E14" s="430"/>
      <c r="F14" s="430"/>
      <c r="G14" s="430"/>
      <c r="H14" s="430"/>
      <c r="I14" s="430"/>
      <c r="J14" s="430"/>
      <c r="K14" s="430"/>
      <c r="L14" s="430">
        <v>130000</v>
      </c>
      <c r="M14" s="430"/>
      <c r="N14" s="430"/>
      <c r="O14" s="439">
        <f t="shared" si="0"/>
        <v>130000</v>
      </c>
      <c r="P14" s="424"/>
      <c r="Q14" s="424"/>
      <c r="R14" s="424"/>
      <c r="S14" s="424"/>
      <c r="T14" s="424"/>
      <c r="U14" s="424"/>
      <c r="V14" s="424"/>
      <c r="W14" s="424"/>
      <c r="X14" s="424"/>
      <c r="Y14" s="424"/>
    </row>
    <row r="15" spans="1:25" ht="25.5" customHeight="1" x14ac:dyDescent="0.2">
      <c r="A15" s="158" t="s">
        <v>419</v>
      </c>
      <c r="B15" s="440" t="s">
        <v>130</v>
      </c>
      <c r="C15" s="430"/>
      <c r="D15" s="430"/>
      <c r="E15" s="430"/>
      <c r="F15" s="430"/>
      <c r="G15" s="430"/>
      <c r="H15" s="430"/>
      <c r="I15" s="430">
        <v>1000</v>
      </c>
      <c r="J15" s="430">
        <f>247000-4000</f>
        <v>243000</v>
      </c>
      <c r="K15" s="430"/>
      <c r="L15" s="430"/>
      <c r="M15" s="430"/>
      <c r="N15" s="430"/>
      <c r="O15" s="439">
        <f t="shared" si="0"/>
        <v>244000</v>
      </c>
      <c r="P15" s="424"/>
      <c r="Q15" s="424"/>
      <c r="R15" s="424"/>
      <c r="S15" s="424"/>
      <c r="T15" s="424"/>
      <c r="U15" s="424"/>
      <c r="V15" s="424"/>
      <c r="W15" s="424"/>
      <c r="X15" s="424"/>
      <c r="Y15" s="424"/>
    </row>
    <row r="16" spans="1:25" ht="25.5" customHeight="1" x14ac:dyDescent="0.2">
      <c r="A16" s="158" t="s">
        <v>418</v>
      </c>
      <c r="B16" s="440" t="s">
        <v>423</v>
      </c>
      <c r="C16" s="430">
        <v>1140552</v>
      </c>
      <c r="D16" s="430">
        <v>976001</v>
      </c>
      <c r="E16" s="430"/>
      <c r="F16" s="430">
        <f>188205+12201</f>
        <v>200406</v>
      </c>
      <c r="G16" s="430">
        <f>456277+50000+300000</f>
        <v>806277</v>
      </c>
      <c r="H16" s="430">
        <f>565669+300000+1000</f>
        <v>866669</v>
      </c>
      <c r="I16" s="430">
        <f>565669+250000-387604</f>
        <v>428065</v>
      </c>
      <c r="J16" s="430">
        <f>565669+12080+25800</f>
        <v>603549</v>
      </c>
      <c r="K16" s="430">
        <v>0</v>
      </c>
      <c r="L16" s="430"/>
      <c r="M16" s="430"/>
      <c r="N16" s="430">
        <v>0</v>
      </c>
      <c r="O16" s="439">
        <f t="shared" si="0"/>
        <v>5021519</v>
      </c>
      <c r="P16" s="424"/>
      <c r="Q16" s="424"/>
      <c r="R16" s="424"/>
      <c r="S16" s="424"/>
      <c r="T16" s="424"/>
      <c r="U16" s="424"/>
      <c r="V16" s="424"/>
      <c r="W16" s="424"/>
      <c r="X16" s="424"/>
      <c r="Y16" s="424"/>
    </row>
    <row r="17" spans="1:25" ht="25.5" customHeight="1" x14ac:dyDescent="0.2">
      <c r="A17" s="428"/>
      <c r="B17" s="427" t="s">
        <v>422</v>
      </c>
      <c r="C17" s="426">
        <f t="shared" ref="C17:O17" si="1">SUM(C9:C16)</f>
        <v>1742179</v>
      </c>
      <c r="D17" s="426">
        <f t="shared" si="1"/>
        <v>1577628</v>
      </c>
      <c r="E17" s="426">
        <f t="shared" si="1"/>
        <v>5050729</v>
      </c>
      <c r="F17" s="426">
        <f t="shared" si="1"/>
        <v>973033</v>
      </c>
      <c r="G17" s="426">
        <f t="shared" si="1"/>
        <v>1519904</v>
      </c>
      <c r="H17" s="426">
        <f t="shared" si="1"/>
        <v>1556865</v>
      </c>
      <c r="I17" s="426">
        <f t="shared" si="1"/>
        <v>1162167</v>
      </c>
      <c r="J17" s="426">
        <f t="shared" si="1"/>
        <v>1806835</v>
      </c>
      <c r="K17" s="426">
        <f t="shared" si="1"/>
        <v>5774471</v>
      </c>
      <c r="L17" s="426">
        <f t="shared" si="1"/>
        <v>1355438</v>
      </c>
      <c r="M17" s="426">
        <f t="shared" si="1"/>
        <v>1188339</v>
      </c>
      <c r="N17" s="426">
        <f t="shared" si="1"/>
        <v>1024492</v>
      </c>
      <c r="O17" s="426">
        <f t="shared" si="1"/>
        <v>24732080</v>
      </c>
      <c r="P17" s="424"/>
      <c r="Q17" s="424"/>
      <c r="R17" s="424"/>
      <c r="S17" s="424"/>
      <c r="T17" s="424"/>
      <c r="U17" s="424"/>
      <c r="V17" s="424"/>
      <c r="W17" s="424"/>
      <c r="X17" s="424"/>
      <c r="Y17" s="424"/>
    </row>
    <row r="18" spans="1:25" s="432" customFormat="1" ht="17.100000000000001" customHeight="1" x14ac:dyDescent="0.2">
      <c r="A18" s="438" t="s">
        <v>421</v>
      </c>
      <c r="B18" s="437"/>
      <c r="C18" s="436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4"/>
      <c r="P18" s="433"/>
      <c r="Q18" s="433"/>
      <c r="R18" s="433"/>
      <c r="S18" s="433"/>
      <c r="T18" s="433"/>
      <c r="U18" s="433"/>
      <c r="V18" s="433"/>
      <c r="W18" s="433"/>
      <c r="X18" s="433"/>
      <c r="Y18" s="433"/>
    </row>
    <row r="19" spans="1:25" ht="25.5" customHeight="1" x14ac:dyDescent="0.25">
      <c r="A19" s="158" t="s">
        <v>72</v>
      </c>
      <c r="B19" s="431" t="s">
        <v>59</v>
      </c>
      <c r="C19" s="430">
        <v>450100</v>
      </c>
      <c r="D19" s="430">
        <v>450100</v>
      </c>
      <c r="E19" s="430">
        <v>450100</v>
      </c>
      <c r="F19" s="430">
        <v>450100</v>
      </c>
      <c r="G19" s="430">
        <v>450100</v>
      </c>
      <c r="H19" s="430">
        <v>450100</v>
      </c>
      <c r="I19" s="430">
        <f>450100+240700+1006</f>
        <v>691806</v>
      </c>
      <c r="J19" s="430">
        <v>450100</v>
      </c>
      <c r="K19" s="430">
        <v>450100</v>
      </c>
      <c r="L19" s="430">
        <v>450100</v>
      </c>
      <c r="M19" s="430">
        <v>450100</v>
      </c>
      <c r="N19" s="430">
        <f>450100+240700+1006</f>
        <v>691806</v>
      </c>
      <c r="O19" s="429">
        <f t="shared" ref="O19:O28" si="2">SUM(C19:N19)</f>
        <v>5884612</v>
      </c>
      <c r="P19" s="424"/>
      <c r="Q19" s="424"/>
      <c r="R19" s="424"/>
      <c r="S19" s="424"/>
      <c r="T19" s="424"/>
      <c r="U19" s="424"/>
      <c r="V19" s="424"/>
      <c r="W19" s="424"/>
      <c r="X19" s="424"/>
      <c r="Y19" s="424"/>
    </row>
    <row r="20" spans="1:25" ht="31.5" customHeight="1" x14ac:dyDescent="0.25">
      <c r="A20" s="158" t="s">
        <v>70</v>
      </c>
      <c r="B20" s="431" t="s">
        <v>56</v>
      </c>
      <c r="C20" s="430">
        <v>71250</v>
      </c>
      <c r="D20" s="430">
        <v>71250</v>
      </c>
      <c r="E20" s="430">
        <v>71250</v>
      </c>
      <c r="F20" s="430">
        <v>71250</v>
      </c>
      <c r="G20" s="430">
        <v>71250</v>
      </c>
      <c r="H20" s="430">
        <v>71250</v>
      </c>
      <c r="I20" s="430">
        <f>71250+21366</f>
        <v>92616</v>
      </c>
      <c r="J20" s="430">
        <v>71250</v>
      </c>
      <c r="K20" s="430">
        <v>71250</v>
      </c>
      <c r="L20" s="430">
        <v>71250</v>
      </c>
      <c r="M20" s="430">
        <v>71250</v>
      </c>
      <c r="N20" s="430">
        <f>71250+21366</f>
        <v>92616</v>
      </c>
      <c r="O20" s="429">
        <f t="shared" si="2"/>
        <v>897732</v>
      </c>
      <c r="P20" s="424"/>
      <c r="Q20" s="424"/>
      <c r="R20" s="424"/>
      <c r="S20" s="424"/>
      <c r="T20" s="424"/>
      <c r="U20" s="424"/>
      <c r="V20" s="424"/>
      <c r="W20" s="424"/>
      <c r="X20" s="424"/>
      <c r="Y20" s="424"/>
    </row>
    <row r="21" spans="1:25" ht="22.5" customHeight="1" x14ac:dyDescent="0.25">
      <c r="A21" s="158" t="s">
        <v>91</v>
      </c>
      <c r="B21" s="431" t="s">
        <v>53</v>
      </c>
      <c r="C21" s="430">
        <f>438113-24995</f>
        <v>413118</v>
      </c>
      <c r="D21" s="430">
        <v>438113</v>
      </c>
      <c r="E21" s="430">
        <f>438113+8080</f>
        <v>446193</v>
      </c>
      <c r="F21" s="430">
        <v>438113</v>
      </c>
      <c r="G21" s="430">
        <v>438113</v>
      </c>
      <c r="H21" s="430">
        <f>438113+215994</f>
        <v>654107</v>
      </c>
      <c r="I21" s="430">
        <f>438113+215994</f>
        <v>654107</v>
      </c>
      <c r="J21" s="430">
        <f>438113+215994</f>
        <v>654107</v>
      </c>
      <c r="K21" s="430">
        <f>438113</f>
        <v>438113</v>
      </c>
      <c r="L21" s="430">
        <v>438113</v>
      </c>
      <c r="M21" s="430">
        <v>438113</v>
      </c>
      <c r="N21" s="430">
        <f>438112+25000</f>
        <v>463112</v>
      </c>
      <c r="O21" s="429">
        <f t="shared" si="2"/>
        <v>5913422</v>
      </c>
      <c r="P21" s="424"/>
      <c r="Q21" s="424"/>
      <c r="R21" s="424"/>
      <c r="S21" s="424"/>
      <c r="T21" s="424"/>
      <c r="U21" s="424"/>
      <c r="V21" s="424"/>
      <c r="W21" s="424"/>
      <c r="X21" s="424"/>
      <c r="Y21" s="424"/>
    </row>
    <row r="22" spans="1:25" ht="22.5" customHeight="1" x14ac:dyDescent="0.25">
      <c r="A22" s="158" t="s">
        <v>66</v>
      </c>
      <c r="B22" s="431" t="s">
        <v>50</v>
      </c>
      <c r="C22" s="430">
        <v>16126</v>
      </c>
      <c r="D22" s="430">
        <v>16126</v>
      </c>
      <c r="E22" s="430">
        <f>16126+91312</f>
        <v>107438</v>
      </c>
      <c r="F22" s="430">
        <v>16126</v>
      </c>
      <c r="G22" s="430">
        <v>16126</v>
      </c>
      <c r="H22" s="430">
        <f>16126+28000</f>
        <v>44126</v>
      </c>
      <c r="I22" s="430">
        <f>16126</f>
        <v>16126</v>
      </c>
      <c r="J22" s="430">
        <v>16126</v>
      </c>
      <c r="K22" s="430">
        <v>16126</v>
      </c>
      <c r="L22" s="430">
        <v>16126</v>
      </c>
      <c r="M22" s="430">
        <v>16126</v>
      </c>
      <c r="N22" s="430">
        <f>16126+20388</f>
        <v>36514</v>
      </c>
      <c r="O22" s="429">
        <f t="shared" si="2"/>
        <v>333212</v>
      </c>
      <c r="P22" s="424"/>
      <c r="Q22" s="424"/>
      <c r="R22" s="424"/>
      <c r="S22" s="424"/>
      <c r="T22" s="424"/>
      <c r="U22" s="424"/>
      <c r="V22" s="424"/>
      <c r="W22" s="424"/>
      <c r="X22" s="424"/>
      <c r="Y22" s="424"/>
    </row>
    <row r="23" spans="1:25" ht="22.5" customHeight="1" x14ac:dyDescent="0.25">
      <c r="A23" s="158" t="s">
        <v>200</v>
      </c>
      <c r="B23" s="431" t="s">
        <v>47</v>
      </c>
      <c r="C23" s="430">
        <v>282783</v>
      </c>
      <c r="D23" s="430">
        <v>282783</v>
      </c>
      <c r="E23" s="430">
        <f>282783+100786</f>
        <v>383569</v>
      </c>
      <c r="F23" s="430">
        <v>282783</v>
      </c>
      <c r="G23" s="430">
        <f>282783+1000</f>
        <v>283783</v>
      </c>
      <c r="H23" s="430">
        <f>282783+89593</f>
        <v>372376</v>
      </c>
      <c r="I23" s="430">
        <f>282783+89593</f>
        <v>372376</v>
      </c>
      <c r="J23" s="430">
        <f>282783+89592</f>
        <v>372375</v>
      </c>
      <c r="K23" s="430">
        <f>282783+1000</f>
        <v>283783</v>
      </c>
      <c r="L23" s="430">
        <v>282783</v>
      </c>
      <c r="M23" s="430">
        <v>282783</v>
      </c>
      <c r="N23" s="430">
        <f>282783+182000</f>
        <v>464783</v>
      </c>
      <c r="O23" s="429">
        <f t="shared" si="2"/>
        <v>3946960</v>
      </c>
      <c r="P23" s="424"/>
      <c r="Q23" s="424"/>
      <c r="R23" s="424"/>
      <c r="S23" s="424"/>
      <c r="T23" s="424"/>
      <c r="U23" s="424"/>
      <c r="V23" s="424"/>
      <c r="W23" s="424"/>
      <c r="X23" s="424"/>
      <c r="Y23" s="424"/>
    </row>
    <row r="24" spans="1:25" ht="22.5" customHeight="1" x14ac:dyDescent="0.25">
      <c r="A24" s="158" t="s">
        <v>420</v>
      </c>
      <c r="B24" s="431" t="s">
        <v>35</v>
      </c>
      <c r="C24" s="430">
        <v>0</v>
      </c>
      <c r="D24" s="430">
        <v>0</v>
      </c>
      <c r="E24" s="430">
        <v>39851</v>
      </c>
      <c r="F24" s="430">
        <v>39851</v>
      </c>
      <c r="G24" s="430">
        <f>72526+185000</f>
        <v>257526</v>
      </c>
      <c r="H24" s="430">
        <v>39851</v>
      </c>
      <c r="I24" s="430">
        <f>72526+15000</f>
        <v>87526</v>
      </c>
      <c r="J24" s="430">
        <f>72526+250000-387604</f>
        <v>-65078</v>
      </c>
      <c r="K24" s="430">
        <f>72526+105798+22800</f>
        <v>201124</v>
      </c>
      <c r="L24" s="430">
        <v>39851</v>
      </c>
      <c r="M24" s="430">
        <v>39851</v>
      </c>
      <c r="N24" s="430">
        <f>39851-3</f>
        <v>39848</v>
      </c>
      <c r="O24" s="429">
        <f t="shared" si="2"/>
        <v>720201</v>
      </c>
      <c r="P24" s="424"/>
      <c r="Q24" s="424"/>
      <c r="R24" s="424"/>
      <c r="S24" s="424"/>
      <c r="T24" s="424"/>
      <c r="U24" s="424"/>
      <c r="V24" s="424"/>
      <c r="W24" s="424"/>
      <c r="X24" s="424"/>
      <c r="Y24" s="424"/>
    </row>
    <row r="25" spans="1:25" ht="22.5" customHeight="1" x14ac:dyDescent="0.25">
      <c r="A25" s="158" t="s">
        <v>419</v>
      </c>
      <c r="B25" s="431" t="s">
        <v>32</v>
      </c>
      <c r="C25" s="430">
        <f>302423-65915</f>
        <v>236508</v>
      </c>
      <c r="D25" s="430">
        <f>302423-65915</f>
        <v>236508</v>
      </c>
      <c r="E25" s="430">
        <f>302423-65915</f>
        <v>236508</v>
      </c>
      <c r="F25" s="430">
        <f>302423-65915</f>
        <v>236508</v>
      </c>
      <c r="G25" s="430">
        <f>302423+150000</f>
        <v>452423</v>
      </c>
      <c r="H25" s="430">
        <f>302423+15000</f>
        <v>317423</v>
      </c>
      <c r="I25" s="430">
        <f>302423-65915</f>
        <v>236508</v>
      </c>
      <c r="J25" s="430">
        <f>302423+250000</f>
        <v>552423</v>
      </c>
      <c r="K25" s="430">
        <f>302423+1600000</f>
        <v>1902423</v>
      </c>
      <c r="L25" s="430">
        <f>302423+154386</f>
        <v>456809</v>
      </c>
      <c r="M25" s="430">
        <f>302423-65915</f>
        <v>236508</v>
      </c>
      <c r="N25" s="430">
        <f>302423+250000</f>
        <v>552423</v>
      </c>
      <c r="O25" s="429">
        <f t="shared" si="2"/>
        <v>5652972</v>
      </c>
      <c r="P25" s="424"/>
      <c r="Q25" s="424"/>
      <c r="R25" s="424"/>
      <c r="S25" s="424"/>
      <c r="T25" s="424"/>
      <c r="U25" s="424"/>
      <c r="V25" s="424"/>
      <c r="W25" s="424"/>
      <c r="X25" s="424"/>
      <c r="Y25" s="424"/>
    </row>
    <row r="26" spans="1:25" ht="22.5" customHeight="1" x14ac:dyDescent="0.25">
      <c r="A26" s="158" t="s">
        <v>418</v>
      </c>
      <c r="B26" s="431" t="s">
        <v>29</v>
      </c>
      <c r="C26" s="430">
        <v>38187</v>
      </c>
      <c r="D26" s="430">
        <v>38187</v>
      </c>
      <c r="E26" s="430">
        <v>38187</v>
      </c>
      <c r="F26" s="430">
        <f>29951+50000</f>
        <v>79951</v>
      </c>
      <c r="G26" s="430">
        <f>29951+39627</f>
        <v>69578</v>
      </c>
      <c r="H26" s="430">
        <f>29951+50000</f>
        <v>79951</v>
      </c>
      <c r="I26" s="430">
        <f>29951+50000</f>
        <v>79951</v>
      </c>
      <c r="J26" s="430">
        <v>38187</v>
      </c>
      <c r="K26" s="430">
        <f>29951+50000</f>
        <v>79951</v>
      </c>
      <c r="L26" s="430">
        <v>38187</v>
      </c>
      <c r="M26" s="430">
        <v>38187</v>
      </c>
      <c r="N26" s="430">
        <v>38186</v>
      </c>
      <c r="O26" s="429">
        <f t="shared" si="2"/>
        <v>656690</v>
      </c>
      <c r="P26" s="424"/>
      <c r="Q26" s="424"/>
      <c r="R26" s="424"/>
      <c r="S26" s="424"/>
      <c r="T26" s="424"/>
      <c r="U26" s="424"/>
      <c r="V26" s="424"/>
      <c r="W26" s="424"/>
      <c r="X26" s="424"/>
      <c r="Y26" s="424"/>
    </row>
    <row r="27" spans="1:25" ht="22.5" customHeight="1" x14ac:dyDescent="0.25">
      <c r="A27" s="158" t="s">
        <v>417</v>
      </c>
      <c r="B27" s="431" t="s">
        <v>26</v>
      </c>
      <c r="C27" s="430">
        <v>44561</v>
      </c>
      <c r="D27" s="430">
        <v>44561</v>
      </c>
      <c r="E27" s="430">
        <v>44561</v>
      </c>
      <c r="F27" s="430">
        <v>44561</v>
      </c>
      <c r="G27" s="430">
        <v>44561</v>
      </c>
      <c r="H27" s="430">
        <v>44561</v>
      </c>
      <c r="I27" s="430">
        <v>44561</v>
      </c>
      <c r="J27" s="430">
        <v>44561</v>
      </c>
      <c r="K27" s="430">
        <f>44561+2000</f>
        <v>46561</v>
      </c>
      <c r="L27" s="430">
        <v>44561</v>
      </c>
      <c r="M27" s="430">
        <f>44561+1</f>
        <v>44562</v>
      </c>
      <c r="N27" s="430">
        <v>44561</v>
      </c>
      <c r="O27" s="429">
        <f t="shared" si="2"/>
        <v>536733</v>
      </c>
      <c r="P27" s="424"/>
      <c r="Q27" s="424"/>
      <c r="R27" s="424"/>
      <c r="S27" s="424"/>
      <c r="T27" s="424"/>
      <c r="U27" s="424"/>
      <c r="V27" s="424"/>
      <c r="W27" s="424"/>
      <c r="X27" s="424"/>
      <c r="Y27" s="424"/>
    </row>
    <row r="28" spans="1:25" ht="22.5" customHeight="1" x14ac:dyDescent="0.25">
      <c r="A28" s="158" t="s">
        <v>416</v>
      </c>
      <c r="B28" s="431" t="s">
        <v>415</v>
      </c>
      <c r="C28" s="430">
        <v>189546</v>
      </c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29">
        <f t="shared" si="2"/>
        <v>189546</v>
      </c>
      <c r="P28" s="424"/>
      <c r="Q28" s="424"/>
      <c r="R28" s="424"/>
      <c r="S28" s="424"/>
      <c r="T28" s="424"/>
      <c r="U28" s="424"/>
      <c r="V28" s="424"/>
      <c r="W28" s="424"/>
      <c r="X28" s="424"/>
      <c r="Y28" s="424"/>
    </row>
    <row r="29" spans="1:25" ht="25.5" customHeight="1" x14ac:dyDescent="0.2">
      <c r="A29" s="428"/>
      <c r="B29" s="427" t="s">
        <v>414</v>
      </c>
      <c r="C29" s="426">
        <f t="shared" ref="C29:O29" si="3">SUM(C19:C28)</f>
        <v>1742179</v>
      </c>
      <c r="D29" s="426">
        <f t="shared" si="3"/>
        <v>1577628</v>
      </c>
      <c r="E29" s="426">
        <f t="shared" si="3"/>
        <v>1817657</v>
      </c>
      <c r="F29" s="426">
        <f t="shared" si="3"/>
        <v>1659243</v>
      </c>
      <c r="G29" s="426">
        <f t="shared" si="3"/>
        <v>2083460</v>
      </c>
      <c r="H29" s="426">
        <f t="shared" si="3"/>
        <v>2073745</v>
      </c>
      <c r="I29" s="426">
        <f t="shared" si="3"/>
        <v>2275577</v>
      </c>
      <c r="J29" s="426">
        <f t="shared" si="3"/>
        <v>2134051</v>
      </c>
      <c r="K29" s="426">
        <f t="shared" si="3"/>
        <v>3489431</v>
      </c>
      <c r="L29" s="426">
        <f t="shared" si="3"/>
        <v>1837780</v>
      </c>
      <c r="M29" s="426">
        <f t="shared" si="3"/>
        <v>1617480</v>
      </c>
      <c r="N29" s="426">
        <f t="shared" si="3"/>
        <v>2423849</v>
      </c>
      <c r="O29" s="425">
        <f t="shared" si="3"/>
        <v>24732080</v>
      </c>
      <c r="P29" s="424"/>
      <c r="Q29" s="424"/>
      <c r="R29" s="424"/>
      <c r="S29" s="424"/>
      <c r="T29" s="424"/>
      <c r="U29" s="424"/>
      <c r="V29" s="424"/>
      <c r="W29" s="424"/>
      <c r="X29" s="424"/>
      <c r="Y29" s="424"/>
    </row>
    <row r="32" spans="1:25" x14ac:dyDescent="0.2">
      <c r="G32" s="423"/>
    </row>
    <row r="33" spans="1:15" x14ac:dyDescent="0.2">
      <c r="G33" s="423"/>
    </row>
    <row r="34" spans="1:15" x14ac:dyDescent="0.2">
      <c r="G34" s="423"/>
    </row>
    <row r="38" spans="1:15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hidden="1" x14ac:dyDescent="0.2"/>
    <row r="40" spans="1:15" x14ac:dyDescent="0.2">
      <c r="A40" s="421" t="s">
        <v>91</v>
      </c>
    </row>
    <row r="41" spans="1:15" x14ac:dyDescent="0.2">
      <c r="A41" s="421" t="s">
        <v>66</v>
      </c>
    </row>
    <row r="44" spans="1:15" x14ac:dyDescent="0.2">
      <c r="A44" s="421" t="s">
        <v>200</v>
      </c>
    </row>
  </sheetData>
  <mergeCells count="1">
    <mergeCell ref="A2:O2"/>
  </mergeCells>
  <printOptions horizontalCentered="1" verticalCentered="1"/>
  <pageMargins left="0" right="0" top="0.74803149606299213" bottom="0.74803149606299213" header="0.31496062992125984" footer="0.31496062992125984"/>
  <pageSetup paperSize="9"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9"/>
  <sheetViews>
    <sheetView view="pageBreakPreview" zoomScaleNormal="100" zoomScaleSheetLayoutView="100" workbookViewId="0">
      <selection activeCell="E19" sqref="E19"/>
    </sheetView>
  </sheetViews>
  <sheetFormatPr defaultColWidth="9.140625" defaultRowHeight="12.75" x14ac:dyDescent="0.2"/>
  <cols>
    <col min="1" max="1" width="9.42578125" style="1" bestFit="1" customWidth="1"/>
    <col min="2" max="2" width="50.28515625" style="1" customWidth="1"/>
    <col min="3" max="3" width="13.140625" style="1" customWidth="1"/>
    <col min="4" max="4" width="13.7109375" style="1" bestFit="1" customWidth="1"/>
    <col min="5" max="7" width="13.140625" style="1" customWidth="1"/>
    <col min="8" max="8" width="13.85546875" style="1" customWidth="1"/>
    <col min="9" max="16384" width="9.140625" style="1"/>
  </cols>
  <sheetData>
    <row r="1" spans="1:8" ht="37.9" customHeight="1" x14ac:dyDescent="0.2">
      <c r="A1" s="1282" t="s">
        <v>872</v>
      </c>
      <c r="B1" s="1282"/>
      <c r="C1" s="1282"/>
      <c r="D1" s="1282"/>
      <c r="E1" s="1282"/>
      <c r="F1" s="1282"/>
      <c r="G1" s="1282"/>
      <c r="H1" s="1282"/>
    </row>
    <row r="4" spans="1:8" ht="15" x14ac:dyDescent="0.25">
      <c r="C4" s="408"/>
      <c r="D4" s="408"/>
      <c r="E4" s="1379" t="s">
        <v>413</v>
      </c>
      <c r="F4" s="1379"/>
      <c r="G4" s="1379"/>
      <c r="H4" s="1285"/>
    </row>
    <row r="5" spans="1:8" ht="15" x14ac:dyDescent="0.25">
      <c r="C5" s="408"/>
      <c r="D5" s="408"/>
      <c r="E5" s="420"/>
      <c r="F5" s="420"/>
      <c r="G5" s="420"/>
      <c r="H5" s="204"/>
    </row>
    <row r="6" spans="1:8" ht="13.5" thickBot="1" x14ac:dyDescent="0.25">
      <c r="C6" s="408"/>
      <c r="D6" s="408"/>
      <c r="H6" s="202" t="s">
        <v>277</v>
      </c>
    </row>
    <row r="7" spans="1:8" s="419" customFormat="1" ht="12.75" customHeight="1" x14ac:dyDescent="0.25">
      <c r="A7" s="1303" t="s">
        <v>276</v>
      </c>
      <c r="B7" s="1306" t="s">
        <v>275</v>
      </c>
      <c r="C7" s="1309">
        <v>2022</v>
      </c>
      <c r="D7" s="1309">
        <v>2023</v>
      </c>
      <c r="E7" s="1309">
        <v>2024</v>
      </c>
      <c r="F7" s="1309">
        <v>2025</v>
      </c>
      <c r="G7" s="1309">
        <v>2026</v>
      </c>
      <c r="H7" s="1312" t="s">
        <v>344</v>
      </c>
    </row>
    <row r="8" spans="1:8" s="419" customFormat="1" ht="12.75" customHeight="1" thickBot="1" x14ac:dyDescent="0.3">
      <c r="A8" s="1305"/>
      <c r="B8" s="1385"/>
      <c r="C8" s="1386"/>
      <c r="D8" s="1386"/>
      <c r="E8" s="1386"/>
      <c r="F8" s="1386"/>
      <c r="G8" s="1387"/>
      <c r="H8" s="1384"/>
    </row>
    <row r="9" spans="1:8" ht="45" customHeight="1" x14ac:dyDescent="0.2">
      <c r="A9" s="107">
        <v>1</v>
      </c>
      <c r="B9" s="418" t="s">
        <v>412</v>
      </c>
      <c r="C9" s="417">
        <v>0</v>
      </c>
      <c r="D9" s="417">
        <v>0</v>
      </c>
      <c r="E9" s="417">
        <v>0</v>
      </c>
      <c r="F9" s="417">
        <v>0</v>
      </c>
      <c r="G9" s="417">
        <v>0</v>
      </c>
      <c r="H9" s="416">
        <f>SUM(C9:F9)</f>
        <v>0</v>
      </c>
    </row>
    <row r="10" spans="1:8" ht="45" customHeight="1" x14ac:dyDescent="0.2">
      <c r="A10" s="104">
        <v>2</v>
      </c>
      <c r="B10" s="415" t="s">
        <v>411</v>
      </c>
      <c r="C10" s="414">
        <v>116272</v>
      </c>
      <c r="D10" s="414">
        <v>116272</v>
      </c>
      <c r="E10" s="414">
        <v>116272</v>
      </c>
      <c r="F10" s="414">
        <v>116272</v>
      </c>
      <c r="G10" s="414">
        <v>116272</v>
      </c>
      <c r="H10" s="413">
        <f>SUM(C10:G10)</f>
        <v>581360</v>
      </c>
    </row>
    <row r="11" spans="1:8" ht="45" customHeight="1" x14ac:dyDescent="0.2">
      <c r="A11" s="107">
        <v>3</v>
      </c>
      <c r="B11" s="415" t="s">
        <v>410</v>
      </c>
      <c r="C11" s="414">
        <v>280000</v>
      </c>
      <c r="D11" s="414">
        <v>280000</v>
      </c>
      <c r="E11" s="414">
        <v>280000</v>
      </c>
      <c r="F11" s="414">
        <v>280000</v>
      </c>
      <c r="G11" s="414">
        <v>280000</v>
      </c>
      <c r="H11" s="413">
        <f>SUM(C11:G11)</f>
        <v>1400000</v>
      </c>
    </row>
    <row r="12" spans="1:8" ht="45" customHeight="1" thickBot="1" x14ac:dyDescent="0.25">
      <c r="A12" s="104">
        <v>4</v>
      </c>
      <c r="B12" s="415" t="s">
        <v>409</v>
      </c>
      <c r="C12" s="414">
        <v>876300</v>
      </c>
      <c r="D12" s="414">
        <v>0</v>
      </c>
      <c r="E12" s="414">
        <v>0</v>
      </c>
      <c r="F12" s="414">
        <v>0</v>
      </c>
      <c r="G12" s="414">
        <v>0</v>
      </c>
      <c r="H12" s="413">
        <f>SUM(C12:G12)</f>
        <v>876300</v>
      </c>
    </row>
    <row r="13" spans="1:8" ht="45" customHeight="1" thickBot="1" x14ac:dyDescent="0.3">
      <c r="A13" s="412"/>
      <c r="B13" s="411" t="s">
        <v>344</v>
      </c>
      <c r="C13" s="410">
        <f t="shared" ref="C13:H13" si="0">SUM(C9:C12)</f>
        <v>1272572</v>
      </c>
      <c r="D13" s="410">
        <f t="shared" si="0"/>
        <v>396272</v>
      </c>
      <c r="E13" s="410">
        <f t="shared" si="0"/>
        <v>396272</v>
      </c>
      <c r="F13" s="410">
        <f t="shared" si="0"/>
        <v>396272</v>
      </c>
      <c r="G13" s="410">
        <f t="shared" si="0"/>
        <v>396272</v>
      </c>
      <c r="H13" s="409">
        <f t="shared" si="0"/>
        <v>2857660</v>
      </c>
    </row>
    <row r="14" spans="1:8" ht="19.5" customHeight="1" x14ac:dyDescent="0.2">
      <c r="A14" s="408"/>
      <c r="B14" s="408"/>
      <c r="C14" s="408"/>
      <c r="D14" s="408"/>
    </row>
    <row r="15" spans="1:8" x14ac:dyDescent="0.2">
      <c r="A15" s="408"/>
      <c r="C15" s="408"/>
      <c r="D15" s="408"/>
    </row>
    <row r="16" spans="1:8" x14ac:dyDescent="0.2">
      <c r="C16" s="408"/>
      <c r="D16" s="408"/>
    </row>
    <row r="17" spans="3:4" x14ac:dyDescent="0.2">
      <c r="C17" s="408"/>
      <c r="D17" s="408"/>
    </row>
    <row r="18" spans="3:4" x14ac:dyDescent="0.2">
      <c r="C18" s="408"/>
      <c r="D18" s="408"/>
    </row>
    <row r="19" spans="3:4" x14ac:dyDescent="0.2">
      <c r="C19" s="408"/>
      <c r="D19" s="408"/>
    </row>
    <row r="20" spans="3:4" x14ac:dyDescent="0.2">
      <c r="C20" s="408"/>
      <c r="D20" s="408"/>
    </row>
    <row r="21" spans="3:4" x14ac:dyDescent="0.2">
      <c r="C21" s="408"/>
      <c r="D21" s="408"/>
    </row>
    <row r="22" spans="3:4" x14ac:dyDescent="0.2">
      <c r="C22" s="408"/>
      <c r="D22" s="408"/>
    </row>
    <row r="23" spans="3:4" x14ac:dyDescent="0.2">
      <c r="C23" s="408"/>
      <c r="D23" s="408"/>
    </row>
    <row r="24" spans="3:4" x14ac:dyDescent="0.2">
      <c r="C24" s="408"/>
      <c r="D24" s="408"/>
    </row>
    <row r="25" spans="3:4" x14ac:dyDescent="0.2">
      <c r="C25" s="408"/>
      <c r="D25" s="408"/>
    </row>
    <row r="26" spans="3:4" x14ac:dyDescent="0.2">
      <c r="C26" s="408"/>
      <c r="D26" s="408"/>
    </row>
    <row r="27" spans="3:4" x14ac:dyDescent="0.2">
      <c r="C27" s="408"/>
      <c r="D27" s="408"/>
    </row>
    <row r="28" spans="3:4" x14ac:dyDescent="0.2">
      <c r="C28" s="408"/>
      <c r="D28" s="408"/>
    </row>
    <row r="29" spans="3:4" x14ac:dyDescent="0.2">
      <c r="C29" s="408"/>
      <c r="D29" s="408"/>
    </row>
    <row r="49" hidden="1" x14ac:dyDescent="0.2"/>
  </sheetData>
  <mergeCells count="10">
    <mergeCell ref="A1:H1"/>
    <mergeCell ref="H7:H8"/>
    <mergeCell ref="E4:H4"/>
    <mergeCell ref="A7:A8"/>
    <mergeCell ref="B7:B8"/>
    <mergeCell ref="F7:F8"/>
    <mergeCell ref="E7:E8"/>
    <mergeCell ref="C7:C8"/>
    <mergeCell ref="D7:D8"/>
    <mergeCell ref="G7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41"/>
  <sheetViews>
    <sheetView zoomScaleNormal="100" workbookViewId="0">
      <selection activeCell="E2" sqref="E2"/>
    </sheetView>
  </sheetViews>
  <sheetFormatPr defaultColWidth="9.140625" defaultRowHeight="15" x14ac:dyDescent="0.25"/>
  <cols>
    <col min="1" max="1" width="5.28515625" style="368" customWidth="1"/>
    <col min="2" max="2" width="47.7109375" style="370" customWidth="1"/>
    <col min="3" max="4" width="19" style="369" bestFit="1" customWidth="1"/>
    <col min="5" max="6" width="19" style="369" customWidth="1"/>
    <col min="7" max="7" width="9.5703125" style="368" customWidth="1"/>
    <col min="8" max="16384" width="9.140625" style="368"/>
  </cols>
  <sheetData>
    <row r="1" spans="2:9" ht="57" customHeight="1" x14ac:dyDescent="0.25">
      <c r="B1" s="1388" t="s">
        <v>873</v>
      </c>
      <c r="C1" s="1389"/>
      <c r="D1" s="1389"/>
      <c r="E1" s="1389"/>
      <c r="F1" s="1389"/>
      <c r="G1" s="405"/>
    </row>
    <row r="2" spans="2:9" ht="34.9" customHeight="1" x14ac:dyDescent="0.25">
      <c r="B2" s="407"/>
      <c r="C2" s="406"/>
      <c r="D2" s="406"/>
      <c r="E2" s="406"/>
      <c r="F2" s="406"/>
      <c r="G2" s="405"/>
    </row>
    <row r="3" spans="2:9" ht="14.25" customHeight="1" x14ac:dyDescent="0.25">
      <c r="B3" s="406"/>
      <c r="C3" s="406"/>
      <c r="D3" s="406"/>
      <c r="E3" s="406"/>
      <c r="F3" s="406"/>
      <c r="G3" s="405"/>
    </row>
    <row r="4" spans="2:9" ht="16.5" customHeight="1" x14ac:dyDescent="0.25">
      <c r="B4" s="396"/>
      <c r="C4" s="404"/>
      <c r="D4" s="403"/>
      <c r="E4" s="403"/>
      <c r="F4" s="402" t="s">
        <v>408</v>
      </c>
      <c r="G4" s="401"/>
      <c r="H4" s="401"/>
      <c r="I4" s="401"/>
    </row>
    <row r="5" spans="2:9" ht="15" hidden="1" customHeight="1" x14ac:dyDescent="0.25">
      <c r="B5" s="396"/>
      <c r="C5" s="383"/>
      <c r="D5" s="400"/>
      <c r="E5" s="400"/>
      <c r="F5" s="399"/>
      <c r="G5" s="398"/>
      <c r="H5" s="398"/>
      <c r="I5" s="398"/>
    </row>
    <row r="6" spans="2:9" ht="15" hidden="1" customHeight="1" x14ac:dyDescent="0.25">
      <c r="B6" s="396"/>
      <c r="C6" s="383"/>
      <c r="D6" s="383"/>
      <c r="E6" s="383"/>
      <c r="F6" s="397"/>
    </row>
    <row r="7" spans="2:9" ht="15" hidden="1" customHeight="1" x14ac:dyDescent="0.25">
      <c r="B7" s="396"/>
      <c r="C7" s="383"/>
      <c r="D7" s="383"/>
      <c r="E7" s="383"/>
      <c r="F7" s="397"/>
    </row>
    <row r="8" spans="2:9" ht="15" customHeight="1" x14ac:dyDescent="0.25">
      <c r="B8" s="396"/>
      <c r="C8" s="383"/>
      <c r="D8" s="383"/>
      <c r="E8" s="383"/>
      <c r="F8" s="397"/>
    </row>
    <row r="9" spans="2:9" ht="15.75" thickBot="1" x14ac:dyDescent="0.3">
      <c r="B9" s="396"/>
      <c r="C9" s="383"/>
      <c r="D9" s="383"/>
      <c r="E9" s="383"/>
      <c r="F9" s="363" t="s">
        <v>277</v>
      </c>
    </row>
    <row r="10" spans="2:9" ht="36.75" customHeight="1" x14ac:dyDescent="0.25">
      <c r="B10" s="395" t="s">
        <v>407</v>
      </c>
      <c r="C10" s="393" t="s">
        <v>406</v>
      </c>
      <c r="D10" s="394" t="s">
        <v>405</v>
      </c>
      <c r="E10" s="393" t="s">
        <v>404</v>
      </c>
      <c r="F10" s="392" t="s">
        <v>403</v>
      </c>
    </row>
    <row r="11" spans="2:9" ht="35.25" customHeight="1" x14ac:dyDescent="0.25">
      <c r="B11" s="391" t="s">
        <v>402</v>
      </c>
      <c r="C11" s="390">
        <f>'[3]1.a sz.melléklet'!F28-'[3]1.a sz.melléklet'!F47-'[3]1.a sz.melléklet'!F48-'[3]1.a sz.melléklet'!F50</f>
        <v>10647873</v>
      </c>
      <c r="D11" s="389">
        <v>10500000</v>
      </c>
      <c r="E11" s="389">
        <v>10500000</v>
      </c>
      <c r="F11" s="388">
        <v>10500000</v>
      </c>
    </row>
    <row r="12" spans="2:9" ht="44.25" customHeight="1" x14ac:dyDescent="0.25">
      <c r="B12" s="391" t="s">
        <v>401</v>
      </c>
      <c r="C12" s="390">
        <f>'[3]1.a sz.melléklet'!F63</f>
        <v>1801000</v>
      </c>
      <c r="D12" s="389">
        <v>400000</v>
      </c>
      <c r="E12" s="389">
        <v>450000</v>
      </c>
      <c r="F12" s="388">
        <v>500000</v>
      </c>
    </row>
    <row r="13" spans="2:9" ht="22.5" customHeight="1" x14ac:dyDescent="0.25">
      <c r="B13" s="374" t="s">
        <v>400</v>
      </c>
      <c r="C13" s="390">
        <v>12000</v>
      </c>
      <c r="D13" s="389">
        <v>12000</v>
      </c>
      <c r="E13" s="389">
        <v>12000</v>
      </c>
      <c r="F13" s="388">
        <v>12000</v>
      </c>
    </row>
    <row r="14" spans="2:9" ht="38.25" customHeight="1" x14ac:dyDescent="0.25">
      <c r="B14" s="374" t="s">
        <v>399</v>
      </c>
      <c r="C14" s="390">
        <v>0</v>
      </c>
      <c r="D14" s="389">
        <v>0</v>
      </c>
      <c r="E14" s="389">
        <v>0</v>
      </c>
      <c r="F14" s="388">
        <v>0</v>
      </c>
    </row>
    <row r="15" spans="2:9" ht="21" customHeight="1" x14ac:dyDescent="0.25">
      <c r="B15" s="376" t="s">
        <v>398</v>
      </c>
      <c r="C15" s="390">
        <f>'[3]1.a sz.melléklet'!F47+'[3]1.a sz.melléklet'!F48+'[3]1.a sz.melléklet'!F50</f>
        <v>59000</v>
      </c>
      <c r="D15" s="389">
        <v>50000</v>
      </c>
      <c r="E15" s="389">
        <v>50100</v>
      </c>
      <c r="F15" s="388">
        <v>50200</v>
      </c>
    </row>
    <row r="16" spans="2:9" ht="26.25" customHeight="1" x14ac:dyDescent="0.25">
      <c r="B16" s="374" t="s">
        <v>397</v>
      </c>
      <c r="C16" s="390"/>
      <c r="D16" s="389" t="s">
        <v>396</v>
      </c>
      <c r="E16" s="389">
        <v>0</v>
      </c>
      <c r="F16" s="388">
        <v>0</v>
      </c>
    </row>
    <row r="17" spans="2:6" ht="21" customHeight="1" x14ac:dyDescent="0.25">
      <c r="B17" s="373" t="s">
        <v>344</v>
      </c>
      <c r="C17" s="387">
        <f>SUM(C11:C16)</f>
        <v>12519873</v>
      </c>
      <c r="D17" s="386">
        <f>SUM(D11:D16)</f>
        <v>10962000</v>
      </c>
      <c r="E17" s="386">
        <f>SUM(E11:E16)</f>
        <v>11012100</v>
      </c>
      <c r="F17" s="385">
        <f>SUM(F11:F16)</f>
        <v>11062200</v>
      </c>
    </row>
    <row r="18" spans="2:6" ht="21" customHeight="1" thickBot="1" x14ac:dyDescent="0.3">
      <c r="B18" s="384"/>
      <c r="C18" s="383"/>
      <c r="D18" s="383"/>
      <c r="E18" s="382"/>
      <c r="F18" s="381"/>
    </row>
    <row r="19" spans="2:6" ht="41.25" customHeight="1" x14ac:dyDescent="0.25">
      <c r="B19" s="380" t="s">
        <v>395</v>
      </c>
      <c r="C19" s="378">
        <v>0</v>
      </c>
      <c r="D19" s="379">
        <v>0</v>
      </c>
      <c r="E19" s="378">
        <v>0</v>
      </c>
      <c r="F19" s="377">
        <v>0</v>
      </c>
    </row>
    <row r="20" spans="2:6" ht="46.5" customHeight="1" x14ac:dyDescent="0.25">
      <c r="B20" s="374" t="s">
        <v>394</v>
      </c>
      <c r="C20" s="372">
        <v>0</v>
      </c>
      <c r="D20" s="375">
        <v>0</v>
      </c>
      <c r="E20" s="372">
        <v>0</v>
      </c>
      <c r="F20" s="371">
        <v>0</v>
      </c>
    </row>
    <row r="21" spans="2:6" ht="62.25" customHeight="1" x14ac:dyDescent="0.25">
      <c r="B21" s="374" t="s">
        <v>393</v>
      </c>
      <c r="C21" s="372">
        <v>0</v>
      </c>
      <c r="D21" s="375">
        <v>0</v>
      </c>
      <c r="E21" s="372">
        <v>0</v>
      </c>
      <c r="F21" s="371">
        <v>0</v>
      </c>
    </row>
    <row r="22" spans="2:6" ht="20.25" customHeight="1" x14ac:dyDescent="0.25">
      <c r="B22" s="376" t="s">
        <v>392</v>
      </c>
      <c r="C22" s="372">
        <v>0</v>
      </c>
      <c r="D22" s="375">
        <v>0</v>
      </c>
      <c r="E22" s="372">
        <v>0</v>
      </c>
      <c r="F22" s="371">
        <v>0</v>
      </c>
    </row>
    <row r="23" spans="2:6" ht="54" customHeight="1" x14ac:dyDescent="0.25">
      <c r="B23" s="374" t="s">
        <v>391</v>
      </c>
      <c r="C23" s="372">
        <v>0</v>
      </c>
      <c r="D23" s="372">
        <v>0</v>
      </c>
      <c r="E23" s="372">
        <v>0</v>
      </c>
      <c r="F23" s="371">
        <v>0</v>
      </c>
    </row>
    <row r="24" spans="2:6" ht="62.25" customHeight="1" x14ac:dyDescent="0.25">
      <c r="B24" s="374" t="s">
        <v>390</v>
      </c>
      <c r="C24" s="372">
        <v>0</v>
      </c>
      <c r="D24" s="372">
        <v>0</v>
      </c>
      <c r="E24" s="372">
        <v>0</v>
      </c>
      <c r="F24" s="371">
        <v>0</v>
      </c>
    </row>
    <row r="25" spans="2:6" ht="52.5" customHeight="1" x14ac:dyDescent="0.25">
      <c r="B25" s="374" t="s">
        <v>389</v>
      </c>
      <c r="C25" s="372">
        <v>0</v>
      </c>
      <c r="D25" s="372">
        <v>0</v>
      </c>
      <c r="E25" s="372">
        <v>0</v>
      </c>
      <c r="F25" s="371">
        <v>0</v>
      </c>
    </row>
    <row r="26" spans="2:6" ht="25.5" customHeight="1" x14ac:dyDescent="0.25">
      <c r="B26" s="374" t="s">
        <v>388</v>
      </c>
      <c r="C26" s="372">
        <v>140000</v>
      </c>
      <c r="D26" s="372">
        <v>280000</v>
      </c>
      <c r="E26" s="372">
        <v>280000</v>
      </c>
      <c r="F26" s="371">
        <v>280000</v>
      </c>
    </row>
    <row r="27" spans="2:6" ht="22.5" customHeight="1" x14ac:dyDescent="0.25">
      <c r="B27" s="373" t="s">
        <v>344</v>
      </c>
      <c r="C27" s="372">
        <v>140000</v>
      </c>
      <c r="D27" s="372">
        <v>280000</v>
      </c>
      <c r="E27" s="372">
        <v>280000</v>
      </c>
      <c r="F27" s="371">
        <v>280000</v>
      </c>
    </row>
    <row r="28" spans="2:6" x14ac:dyDescent="0.25">
      <c r="B28" s="1390" t="s">
        <v>387</v>
      </c>
      <c r="C28" s="1394">
        <f>C17*0.5</f>
        <v>6259936.5</v>
      </c>
      <c r="D28" s="1394">
        <f>D17*0.5</f>
        <v>5481000</v>
      </c>
      <c r="E28" s="1394">
        <f>E17*0.5</f>
        <v>5506050</v>
      </c>
      <c r="F28" s="1392">
        <f>F17*0.5</f>
        <v>5531100</v>
      </c>
    </row>
    <row r="29" spans="2:6" ht="15.75" thickBot="1" x14ac:dyDescent="0.3">
      <c r="B29" s="1391"/>
      <c r="C29" s="1395"/>
      <c r="D29" s="1395"/>
      <c r="E29" s="1395"/>
      <c r="F29" s="1393"/>
    </row>
    <row r="41" hidden="1" x14ac:dyDescent="0.25"/>
  </sheetData>
  <mergeCells count="6">
    <mergeCell ref="B1:F1"/>
    <mergeCell ref="B28:B29"/>
    <mergeCell ref="F28:F29"/>
    <mergeCell ref="C28:C29"/>
    <mergeCell ref="D28:D29"/>
    <mergeCell ref="E28:E29"/>
  </mergeCells>
  <printOptions horizontalCentered="1" verticalCentered="1"/>
  <pageMargins left="0" right="0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MG52"/>
  <sheetViews>
    <sheetView view="pageBreakPreview" zoomScale="60" zoomScaleNormal="100" workbookViewId="0">
      <selection activeCell="A3" sqref="A3:J3"/>
    </sheetView>
  </sheetViews>
  <sheetFormatPr defaultColWidth="9.140625" defaultRowHeight="15" x14ac:dyDescent="0.25"/>
  <cols>
    <col min="1" max="1" width="6.85546875" style="328" customWidth="1"/>
    <col min="2" max="2" width="10.140625" style="328" customWidth="1"/>
    <col min="3" max="3" width="30.28515625" style="328" customWidth="1"/>
    <col min="4" max="4" width="10.5703125" style="328" customWidth="1"/>
    <col min="5" max="7" width="8.85546875" style="328" customWidth="1"/>
    <col min="8" max="8" width="18.85546875" style="328" customWidth="1"/>
    <col min="9" max="10" width="19.85546875" style="328" customWidth="1"/>
    <col min="11" max="11" width="8.85546875" style="328" customWidth="1"/>
    <col min="12" max="12" width="17.42578125" style="328" customWidth="1"/>
    <col min="13" max="252" width="8.85546875" style="328" customWidth="1"/>
    <col min="253" max="253" width="6.85546875" style="328" customWidth="1"/>
    <col min="254" max="254" width="10.140625" style="328" customWidth="1"/>
    <col min="255" max="255" width="32.42578125" style="328" customWidth="1"/>
    <col min="256" max="256" width="10.5703125" style="328" customWidth="1"/>
    <col min="257" max="259" width="8.85546875" style="328" customWidth="1"/>
    <col min="260" max="260" width="18.85546875" style="328" customWidth="1"/>
    <col min="261" max="261" width="16.42578125" style="328" customWidth="1"/>
    <col min="262" max="262" width="15.28515625" style="328" customWidth="1"/>
    <col min="263" max="508" width="8.85546875" style="328" customWidth="1"/>
    <col min="509" max="509" width="6.85546875" style="328" customWidth="1"/>
    <col min="510" max="510" width="10.140625" style="328" customWidth="1"/>
    <col min="511" max="511" width="32.42578125" style="328" customWidth="1"/>
    <col min="512" max="512" width="10.5703125" style="328" customWidth="1"/>
    <col min="513" max="515" width="8.85546875" style="328" customWidth="1"/>
    <col min="516" max="516" width="18.85546875" style="328" customWidth="1"/>
    <col min="517" max="517" width="16.42578125" style="328" customWidth="1"/>
    <col min="518" max="518" width="15.28515625" style="328" customWidth="1"/>
    <col min="519" max="764" width="8.85546875" style="328" customWidth="1"/>
    <col min="765" max="765" width="6.85546875" style="328" customWidth="1"/>
    <col min="766" max="766" width="10.140625" style="328" customWidth="1"/>
    <col min="767" max="767" width="32.42578125" style="328" customWidth="1"/>
    <col min="768" max="768" width="10.5703125" style="328" customWidth="1"/>
    <col min="769" max="771" width="8.85546875" style="328" customWidth="1"/>
    <col min="772" max="772" width="18.85546875" style="328" customWidth="1"/>
    <col min="773" max="773" width="16.42578125" style="328" customWidth="1"/>
    <col min="774" max="774" width="15.28515625" style="328" customWidth="1"/>
    <col min="775" max="1021" width="8.85546875" style="328" customWidth="1"/>
    <col min="1022" max="16384" width="9.140625" style="327"/>
  </cols>
  <sheetData>
    <row r="1" spans="1:10" x14ac:dyDescent="0.25">
      <c r="A1" s="1396"/>
      <c r="B1" s="1396"/>
      <c r="C1" s="1396"/>
      <c r="D1" s="1396"/>
      <c r="E1" s="1396"/>
      <c r="F1" s="1396"/>
      <c r="G1" s="1396"/>
      <c r="H1" s="1396"/>
      <c r="I1" s="1396"/>
    </row>
    <row r="2" spans="1:10" ht="16.5" customHeight="1" x14ac:dyDescent="0.25"/>
    <row r="3" spans="1:10" ht="27.75" customHeight="1" x14ac:dyDescent="0.25">
      <c r="A3" s="1397" t="s">
        <v>874</v>
      </c>
      <c r="B3" s="1397"/>
      <c r="C3" s="1397"/>
      <c r="D3" s="1397"/>
      <c r="E3" s="1397"/>
      <c r="F3" s="1397"/>
      <c r="G3" s="1397"/>
      <c r="H3" s="1397"/>
      <c r="I3" s="1397"/>
      <c r="J3" s="1397"/>
    </row>
    <row r="4" spans="1:10" ht="15" customHeight="1" x14ac:dyDescent="0.25">
      <c r="A4" s="367"/>
      <c r="B4" s="367"/>
      <c r="C4" s="367"/>
      <c r="D4" s="367"/>
      <c r="E4" s="367"/>
      <c r="F4" s="367"/>
      <c r="G4" s="367"/>
      <c r="H4" s="367"/>
      <c r="I4" s="1398" t="s">
        <v>386</v>
      </c>
      <c r="J4" s="1398"/>
    </row>
    <row r="5" spans="1:10" ht="9.75" customHeight="1" x14ac:dyDescent="0.25">
      <c r="A5" s="367"/>
      <c r="B5" s="367"/>
      <c r="C5" s="367"/>
      <c r="D5" s="367"/>
      <c r="E5" s="367"/>
      <c r="F5" s="367"/>
      <c r="G5" s="367"/>
      <c r="H5" s="367"/>
      <c r="I5" s="366"/>
      <c r="J5" s="366"/>
    </row>
    <row r="6" spans="1:10" ht="15.75" thickBot="1" x14ac:dyDescent="0.3">
      <c r="A6" s="366"/>
      <c r="B6" s="366"/>
      <c r="C6" s="366"/>
      <c r="D6" s="365"/>
      <c r="E6" s="365"/>
      <c r="F6" s="365"/>
      <c r="G6" s="365"/>
      <c r="H6" s="365"/>
      <c r="I6" s="364"/>
      <c r="J6" s="363" t="s">
        <v>277</v>
      </c>
    </row>
    <row r="7" spans="1:10" ht="24.75" customHeight="1" thickTop="1" thickBot="1" x14ac:dyDescent="0.3">
      <c r="A7" s="1399" t="s">
        <v>385</v>
      </c>
      <c r="B7" s="1400" t="s">
        <v>275</v>
      </c>
      <c r="C7" s="1400"/>
      <c r="D7" s="1400" t="s">
        <v>384</v>
      </c>
      <c r="E7" s="1400"/>
      <c r="F7" s="1400"/>
      <c r="G7" s="1400"/>
      <c r="H7" s="1400"/>
      <c r="I7" s="1401" t="s">
        <v>383</v>
      </c>
      <c r="J7" s="1402" t="s">
        <v>382</v>
      </c>
    </row>
    <row r="8" spans="1:10" ht="25.5" customHeight="1" thickTop="1" thickBot="1" x14ac:dyDescent="0.3">
      <c r="A8" s="1399"/>
      <c r="B8" s="1400"/>
      <c r="C8" s="1400"/>
      <c r="D8" s="1400"/>
      <c r="E8" s="1400"/>
      <c r="F8" s="1400"/>
      <c r="G8" s="1400"/>
      <c r="H8" s="1400"/>
      <c r="I8" s="1401"/>
      <c r="J8" s="1402"/>
    </row>
    <row r="9" spans="1:10" ht="20.100000000000001" customHeight="1" thickTop="1" thickBot="1" x14ac:dyDescent="0.3">
      <c r="A9" s="1403" t="s">
        <v>72</v>
      </c>
      <c r="B9" s="1404" t="s">
        <v>381</v>
      </c>
      <c r="C9" s="1404"/>
      <c r="D9" s="1405" t="s">
        <v>374</v>
      </c>
      <c r="E9" s="1406" t="s">
        <v>373</v>
      </c>
      <c r="F9" s="1406"/>
      <c r="G9" s="1406"/>
      <c r="H9" s="1406"/>
      <c r="I9" s="357">
        <v>17</v>
      </c>
      <c r="J9" s="362">
        <v>0</v>
      </c>
    </row>
    <row r="10" spans="1:10" ht="20.100000000000001" customHeight="1" thickTop="1" thickBot="1" x14ac:dyDescent="0.3">
      <c r="A10" s="1403"/>
      <c r="B10" s="1404"/>
      <c r="C10" s="1404"/>
      <c r="D10" s="1405"/>
      <c r="E10" s="354" t="s">
        <v>377</v>
      </c>
      <c r="F10" s="354"/>
      <c r="G10" s="354"/>
      <c r="H10" s="354"/>
      <c r="I10" s="349">
        <v>14983</v>
      </c>
      <c r="J10" s="359">
        <v>0</v>
      </c>
    </row>
    <row r="11" spans="1:10" ht="20.100000000000001" customHeight="1" thickTop="1" thickBot="1" x14ac:dyDescent="0.3">
      <c r="A11" s="1403"/>
      <c r="B11" s="1404"/>
      <c r="C11" s="1404"/>
      <c r="D11" s="1405"/>
      <c r="E11" s="1407" t="s">
        <v>371</v>
      </c>
      <c r="F11" s="1407"/>
      <c r="G11" s="1407"/>
      <c r="H11" s="1407"/>
      <c r="I11" s="353">
        <v>273359</v>
      </c>
      <c r="J11" s="361">
        <v>0</v>
      </c>
    </row>
    <row r="12" spans="1:10" ht="20.100000000000001" customHeight="1" thickTop="1" thickBot="1" x14ac:dyDescent="0.3">
      <c r="A12" s="1403"/>
      <c r="B12" s="1404"/>
      <c r="C12" s="1404"/>
      <c r="D12" s="1408" t="s">
        <v>370</v>
      </c>
      <c r="E12" s="1412" t="s">
        <v>59</v>
      </c>
      <c r="F12" s="1412"/>
      <c r="G12" s="1412"/>
      <c r="H12" s="1412"/>
      <c r="I12" s="351">
        <v>0</v>
      </c>
      <c r="J12" s="360">
        <v>0</v>
      </c>
    </row>
    <row r="13" spans="1:10" ht="20.100000000000001" customHeight="1" thickTop="1" thickBot="1" x14ac:dyDescent="0.3">
      <c r="A13" s="1403"/>
      <c r="B13" s="1404"/>
      <c r="C13" s="1404"/>
      <c r="D13" s="1408"/>
      <c r="E13" s="1410" t="s">
        <v>369</v>
      </c>
      <c r="F13" s="1410"/>
      <c r="G13" s="1410"/>
      <c r="H13" s="1410"/>
      <c r="I13" s="349">
        <v>0</v>
      </c>
      <c r="J13" s="359">
        <v>0</v>
      </c>
    </row>
    <row r="14" spans="1:10" ht="20.100000000000001" customHeight="1" thickTop="1" thickBot="1" x14ac:dyDescent="0.3">
      <c r="A14" s="1403"/>
      <c r="B14" s="1404"/>
      <c r="C14" s="1404"/>
      <c r="D14" s="1408"/>
      <c r="E14" s="1410" t="s">
        <v>53</v>
      </c>
      <c r="F14" s="1410"/>
      <c r="G14" s="1410"/>
      <c r="H14" s="1410"/>
      <c r="I14" s="349">
        <v>82515</v>
      </c>
      <c r="J14" s="359">
        <v>0</v>
      </c>
    </row>
    <row r="15" spans="1:10" ht="20.100000000000001" customHeight="1" thickTop="1" thickBot="1" x14ac:dyDescent="0.3">
      <c r="A15" s="1403"/>
      <c r="B15" s="1404"/>
      <c r="C15" s="1404"/>
      <c r="D15" s="1408"/>
      <c r="E15" s="1409" t="s">
        <v>375</v>
      </c>
      <c r="F15" s="1409"/>
      <c r="G15" s="1409"/>
      <c r="H15" s="1409"/>
      <c r="I15" s="348">
        <v>17</v>
      </c>
      <c r="J15" s="359">
        <v>0</v>
      </c>
    </row>
    <row r="16" spans="1:10" ht="20.100000000000001" customHeight="1" thickTop="1" thickBot="1" x14ac:dyDescent="0.3">
      <c r="A16" s="1403"/>
      <c r="B16" s="1404"/>
      <c r="C16" s="1404"/>
      <c r="D16" s="1408"/>
      <c r="E16" s="1410" t="s">
        <v>368</v>
      </c>
      <c r="F16" s="1410"/>
      <c r="G16" s="1410"/>
      <c r="H16" s="1410"/>
      <c r="I16" s="349">
        <v>205844</v>
      </c>
      <c r="J16" s="359">
        <v>0</v>
      </c>
    </row>
    <row r="17" spans="1:12" ht="20.100000000000001" customHeight="1" thickTop="1" thickBot="1" x14ac:dyDescent="0.3">
      <c r="A17" s="1403"/>
      <c r="B17" s="1404"/>
      <c r="C17" s="1404"/>
      <c r="D17" s="1408"/>
      <c r="E17" s="1409" t="s">
        <v>375</v>
      </c>
      <c r="F17" s="1409"/>
      <c r="G17" s="1409"/>
      <c r="H17" s="1409"/>
      <c r="I17" s="348">
        <v>0</v>
      </c>
      <c r="J17" s="359">
        <v>0</v>
      </c>
    </row>
    <row r="18" spans="1:12" ht="20.100000000000001" customHeight="1" thickTop="1" thickBot="1" x14ac:dyDescent="0.3">
      <c r="A18" s="1403"/>
      <c r="B18" s="1404"/>
      <c r="C18" s="1404"/>
      <c r="D18" s="1408"/>
      <c r="E18" s="1410" t="s">
        <v>367</v>
      </c>
      <c r="F18" s="1410"/>
      <c r="G18" s="1410"/>
      <c r="H18" s="1410"/>
      <c r="I18" s="349">
        <v>0</v>
      </c>
      <c r="J18" s="359">
        <v>0</v>
      </c>
    </row>
    <row r="19" spans="1:12" ht="20.100000000000001" customHeight="1" thickTop="1" thickBot="1" x14ac:dyDescent="0.3">
      <c r="A19" s="1403"/>
      <c r="B19" s="1404"/>
      <c r="C19" s="1404"/>
      <c r="D19" s="1408"/>
      <c r="E19" s="1411" t="s">
        <v>380</v>
      </c>
      <c r="F19" s="1411"/>
      <c r="G19" s="1411"/>
      <c r="H19" s="1411"/>
      <c r="I19" s="358">
        <v>0</v>
      </c>
      <c r="J19" s="344">
        <v>0</v>
      </c>
    </row>
    <row r="20" spans="1:12" ht="20.100000000000001" customHeight="1" thickTop="1" thickBot="1" x14ac:dyDescent="0.3">
      <c r="A20" s="1403" t="s">
        <v>70</v>
      </c>
      <c r="B20" s="1404" t="s">
        <v>379</v>
      </c>
      <c r="C20" s="1404"/>
      <c r="D20" s="1405" t="s">
        <v>374</v>
      </c>
      <c r="E20" s="1406" t="s">
        <v>373</v>
      </c>
      <c r="F20" s="1406"/>
      <c r="G20" s="1406"/>
      <c r="H20" s="1406"/>
      <c r="I20" s="357">
        <v>1208408</v>
      </c>
      <c r="J20" s="356">
        <v>0</v>
      </c>
    </row>
    <row r="21" spans="1:12" ht="20.100000000000001" customHeight="1" thickTop="1" thickBot="1" x14ac:dyDescent="0.3">
      <c r="A21" s="1403"/>
      <c r="B21" s="1404"/>
      <c r="C21" s="1404"/>
      <c r="D21" s="1405"/>
      <c r="E21" s="354" t="s">
        <v>377</v>
      </c>
      <c r="F21" s="354"/>
      <c r="G21" s="354"/>
      <c r="H21" s="354"/>
      <c r="I21" s="349">
        <v>0</v>
      </c>
      <c r="J21" s="346">
        <v>55360</v>
      </c>
    </row>
    <row r="22" spans="1:12" ht="20.100000000000001" customHeight="1" thickTop="1" thickBot="1" x14ac:dyDescent="0.3">
      <c r="A22" s="1403"/>
      <c r="B22" s="1404"/>
      <c r="C22" s="1404"/>
      <c r="D22" s="1405"/>
      <c r="E22" s="1407" t="s">
        <v>371</v>
      </c>
      <c r="F22" s="1407"/>
      <c r="G22" s="1407"/>
      <c r="H22" s="1407"/>
      <c r="I22" s="353">
        <v>1134141</v>
      </c>
      <c r="J22" s="361">
        <v>0</v>
      </c>
    </row>
    <row r="23" spans="1:12" ht="20.100000000000001" customHeight="1" thickTop="1" thickBot="1" x14ac:dyDescent="0.3">
      <c r="A23" s="1403"/>
      <c r="B23" s="1404"/>
      <c r="C23" s="1404"/>
      <c r="D23" s="1408" t="s">
        <v>370</v>
      </c>
      <c r="E23" s="1412" t="s">
        <v>59</v>
      </c>
      <c r="F23" s="1412"/>
      <c r="G23" s="1412"/>
      <c r="H23" s="1412"/>
      <c r="I23" s="351">
        <v>23737</v>
      </c>
      <c r="J23" s="360">
        <v>0</v>
      </c>
    </row>
    <row r="24" spans="1:12" ht="20.100000000000001" customHeight="1" thickTop="1" thickBot="1" x14ac:dyDescent="0.3">
      <c r="A24" s="1403"/>
      <c r="B24" s="1404"/>
      <c r="C24" s="1404"/>
      <c r="D24" s="1408"/>
      <c r="E24" s="1409" t="s">
        <v>375</v>
      </c>
      <c r="F24" s="1409"/>
      <c r="G24" s="1409"/>
      <c r="H24" s="1409"/>
      <c r="I24" s="348">
        <v>0</v>
      </c>
      <c r="J24" s="346">
        <v>0</v>
      </c>
    </row>
    <row r="25" spans="1:12" ht="20.100000000000001" customHeight="1" thickTop="1" thickBot="1" x14ac:dyDescent="0.3">
      <c r="A25" s="1403"/>
      <c r="B25" s="1404"/>
      <c r="C25" s="1404"/>
      <c r="D25" s="1408"/>
      <c r="E25" s="1410" t="s">
        <v>369</v>
      </c>
      <c r="F25" s="1410"/>
      <c r="G25" s="1410"/>
      <c r="H25" s="1410"/>
      <c r="I25" s="349">
        <v>3679</v>
      </c>
      <c r="J25" s="359">
        <v>0</v>
      </c>
    </row>
    <row r="26" spans="1:12" ht="20.100000000000001" customHeight="1" thickTop="1" thickBot="1" x14ac:dyDescent="0.3">
      <c r="A26" s="1403"/>
      <c r="B26" s="1404"/>
      <c r="C26" s="1404"/>
      <c r="D26" s="1408"/>
      <c r="E26" s="1409" t="s">
        <v>375</v>
      </c>
      <c r="F26" s="1409"/>
      <c r="G26" s="1409"/>
      <c r="H26" s="1409"/>
      <c r="I26" s="348">
        <v>0</v>
      </c>
      <c r="J26" s="346">
        <v>0</v>
      </c>
    </row>
    <row r="27" spans="1:12" ht="20.100000000000001" customHeight="1" thickTop="1" thickBot="1" x14ac:dyDescent="0.3">
      <c r="A27" s="1403"/>
      <c r="B27" s="1404"/>
      <c r="C27" s="1404"/>
      <c r="D27" s="1408"/>
      <c r="E27" s="1410" t="s">
        <v>53</v>
      </c>
      <c r="F27" s="1410"/>
      <c r="G27" s="1410"/>
      <c r="H27" s="1410"/>
      <c r="I27" s="349">
        <v>48194</v>
      </c>
      <c r="J27" s="346">
        <v>0</v>
      </c>
    </row>
    <row r="28" spans="1:12" ht="20.100000000000001" customHeight="1" thickTop="1" thickBot="1" x14ac:dyDescent="0.3">
      <c r="A28" s="1403"/>
      <c r="B28" s="1404"/>
      <c r="C28" s="1404"/>
      <c r="D28" s="1408"/>
      <c r="E28" s="1409" t="s">
        <v>375</v>
      </c>
      <c r="F28" s="1409"/>
      <c r="G28" s="1409"/>
      <c r="H28" s="1409"/>
      <c r="I28" s="348">
        <v>0</v>
      </c>
      <c r="J28" s="346">
        <v>0</v>
      </c>
    </row>
    <row r="29" spans="1:12" ht="20.100000000000001" customHeight="1" thickTop="1" thickBot="1" x14ac:dyDescent="0.3">
      <c r="A29" s="1403"/>
      <c r="B29" s="1404"/>
      <c r="C29" s="1404"/>
      <c r="D29" s="1408"/>
      <c r="E29" s="1410" t="s">
        <v>368</v>
      </c>
      <c r="F29" s="1410"/>
      <c r="G29" s="1410"/>
      <c r="H29" s="1410"/>
      <c r="I29" s="349">
        <v>1866799</v>
      </c>
      <c r="J29" s="359">
        <v>0</v>
      </c>
    </row>
    <row r="30" spans="1:12" ht="20.100000000000001" customHeight="1" thickTop="1" thickBot="1" x14ac:dyDescent="0.3">
      <c r="A30" s="1403"/>
      <c r="B30" s="1404"/>
      <c r="C30" s="1404"/>
      <c r="D30" s="1408"/>
      <c r="E30" s="1409" t="s">
        <v>375</v>
      </c>
      <c r="F30" s="1409"/>
      <c r="G30" s="1409"/>
      <c r="H30" s="1409"/>
      <c r="I30" s="348">
        <v>977782</v>
      </c>
      <c r="J30" s="346">
        <v>0</v>
      </c>
    </row>
    <row r="31" spans="1:12" ht="20.100000000000001" customHeight="1" thickTop="1" thickBot="1" x14ac:dyDescent="0.3">
      <c r="A31" s="1403"/>
      <c r="B31" s="1404"/>
      <c r="C31" s="1404"/>
      <c r="D31" s="1408"/>
      <c r="E31" s="1410" t="s">
        <v>367</v>
      </c>
      <c r="F31" s="1410"/>
      <c r="G31" s="1410"/>
      <c r="H31" s="1410"/>
      <c r="I31" s="349">
        <v>455500</v>
      </c>
      <c r="J31" s="359">
        <v>0</v>
      </c>
    </row>
    <row r="32" spans="1:12" ht="20.100000000000001" customHeight="1" thickTop="1" thickBot="1" x14ac:dyDescent="0.3">
      <c r="A32" s="1403"/>
      <c r="B32" s="1404"/>
      <c r="C32" s="1404"/>
      <c r="D32" s="1408"/>
      <c r="E32" s="1411" t="s">
        <v>375</v>
      </c>
      <c r="F32" s="1411"/>
      <c r="G32" s="1411"/>
      <c r="H32" s="1411"/>
      <c r="I32" s="358">
        <v>230626</v>
      </c>
      <c r="J32" s="344">
        <v>0</v>
      </c>
      <c r="L32" s="355"/>
    </row>
    <row r="33" spans="1:12" ht="20.100000000000001" customHeight="1" thickTop="1" thickBot="1" x14ac:dyDescent="0.3">
      <c r="A33" s="1403" t="s">
        <v>91</v>
      </c>
      <c r="B33" s="1404" t="s">
        <v>378</v>
      </c>
      <c r="C33" s="1404"/>
      <c r="D33" s="1405" t="s">
        <v>374</v>
      </c>
      <c r="E33" s="1406" t="s">
        <v>373</v>
      </c>
      <c r="F33" s="1406"/>
      <c r="G33" s="1406"/>
      <c r="H33" s="1406"/>
      <c r="I33" s="357">
        <v>1345</v>
      </c>
      <c r="J33" s="356">
        <v>0</v>
      </c>
      <c r="L33" s="355"/>
    </row>
    <row r="34" spans="1:12" ht="20.100000000000001" customHeight="1" thickTop="1" thickBot="1" x14ac:dyDescent="0.3">
      <c r="A34" s="1403"/>
      <c r="B34" s="1404"/>
      <c r="C34" s="1404"/>
      <c r="D34" s="1405"/>
      <c r="E34" s="354" t="s">
        <v>377</v>
      </c>
      <c r="F34" s="354"/>
      <c r="G34" s="354"/>
      <c r="H34" s="354"/>
      <c r="I34" s="349">
        <v>1212</v>
      </c>
      <c r="J34" s="346">
        <v>0</v>
      </c>
    </row>
    <row r="35" spans="1:12" ht="20.100000000000001" customHeight="1" thickTop="1" thickBot="1" x14ac:dyDescent="0.3">
      <c r="A35" s="1403"/>
      <c r="B35" s="1404"/>
      <c r="C35" s="1404"/>
      <c r="D35" s="1405"/>
      <c r="E35" s="1407" t="s">
        <v>371</v>
      </c>
      <c r="F35" s="1407"/>
      <c r="G35" s="1407"/>
      <c r="H35" s="1407"/>
      <c r="I35" s="353">
        <v>2740</v>
      </c>
      <c r="J35" s="352">
        <v>0</v>
      </c>
    </row>
    <row r="36" spans="1:12" ht="20.100000000000001" customHeight="1" thickTop="1" thickBot="1" x14ac:dyDescent="0.3">
      <c r="A36" s="1403"/>
      <c r="B36" s="1404"/>
      <c r="C36" s="1404"/>
      <c r="D36" s="1408" t="s">
        <v>370</v>
      </c>
      <c r="E36" s="1412" t="s">
        <v>59</v>
      </c>
      <c r="F36" s="1412"/>
      <c r="G36" s="1412"/>
      <c r="H36" s="1412"/>
      <c r="I36" s="351">
        <v>658</v>
      </c>
      <c r="J36" s="350">
        <v>0</v>
      </c>
    </row>
    <row r="37" spans="1:12" ht="20.100000000000001" customHeight="1" thickTop="1" thickBot="1" x14ac:dyDescent="0.3">
      <c r="A37" s="1403"/>
      <c r="B37" s="1404"/>
      <c r="C37" s="1404"/>
      <c r="D37" s="1408"/>
      <c r="E37" s="1410" t="s">
        <v>376</v>
      </c>
      <c r="F37" s="1410"/>
      <c r="G37" s="1410"/>
      <c r="H37" s="1410"/>
      <c r="I37" s="349">
        <v>102</v>
      </c>
      <c r="J37" s="346">
        <v>0</v>
      </c>
    </row>
    <row r="38" spans="1:12" ht="20.100000000000001" customHeight="1" thickTop="1" thickBot="1" x14ac:dyDescent="0.3">
      <c r="A38" s="1403"/>
      <c r="B38" s="1404"/>
      <c r="C38" s="1404"/>
      <c r="D38" s="1408"/>
      <c r="E38" s="1410" t="s">
        <v>53</v>
      </c>
      <c r="F38" s="1410"/>
      <c r="G38" s="1410"/>
      <c r="H38" s="1410"/>
      <c r="I38" s="349">
        <v>4537</v>
      </c>
      <c r="J38" s="346">
        <v>0</v>
      </c>
    </row>
    <row r="39" spans="1:12" ht="20.100000000000001" customHeight="1" thickTop="1" thickBot="1" x14ac:dyDescent="0.3">
      <c r="A39" s="1403"/>
      <c r="B39" s="1404"/>
      <c r="C39" s="1404"/>
      <c r="D39" s="1408"/>
      <c r="E39" s="1409" t="s">
        <v>375</v>
      </c>
      <c r="F39" s="1409"/>
      <c r="G39" s="1409"/>
      <c r="H39" s="1409"/>
      <c r="I39" s="348">
        <v>1345</v>
      </c>
      <c r="J39" s="346">
        <v>0</v>
      </c>
    </row>
    <row r="40" spans="1:12" ht="20.100000000000001" customHeight="1" thickTop="1" thickBot="1" x14ac:dyDescent="0.3">
      <c r="A40" s="1403"/>
      <c r="B40" s="1404"/>
      <c r="C40" s="1404"/>
      <c r="D40" s="1408"/>
      <c r="E40" s="1410" t="s">
        <v>368</v>
      </c>
      <c r="F40" s="1410"/>
      <c r="G40" s="1410"/>
      <c r="H40" s="1410"/>
      <c r="I40" s="347">
        <v>0</v>
      </c>
      <c r="J40" s="346">
        <v>0</v>
      </c>
    </row>
    <row r="41" spans="1:12" ht="20.100000000000001" customHeight="1" thickTop="1" thickBot="1" x14ac:dyDescent="0.3">
      <c r="A41" s="1403"/>
      <c r="B41" s="1404"/>
      <c r="C41" s="1404"/>
      <c r="D41" s="1408"/>
      <c r="E41" s="1413" t="s">
        <v>367</v>
      </c>
      <c r="F41" s="1413"/>
      <c r="G41" s="1413"/>
      <c r="H41" s="1413"/>
      <c r="I41" s="345">
        <v>0</v>
      </c>
      <c r="J41" s="344">
        <v>0</v>
      </c>
    </row>
    <row r="42" spans="1:12" ht="20.100000000000001" customHeight="1" thickTop="1" thickBot="1" x14ac:dyDescent="0.3">
      <c r="A42" s="1414" t="s">
        <v>344</v>
      </c>
      <c r="B42" s="1414"/>
      <c r="C42" s="1414"/>
      <c r="D42" s="1415" t="s">
        <v>374</v>
      </c>
      <c r="E42" s="1406" t="s">
        <v>373</v>
      </c>
      <c r="F42" s="1406"/>
      <c r="G42" s="1406"/>
      <c r="H42" s="1406"/>
      <c r="I42" s="343">
        <f t="shared" ref="I42:J45" si="0">I9+I20+I33</f>
        <v>1209770</v>
      </c>
      <c r="J42" s="342">
        <f t="shared" si="0"/>
        <v>0</v>
      </c>
    </row>
    <row r="43" spans="1:12" ht="20.100000000000001" customHeight="1" thickTop="1" thickBot="1" x14ac:dyDescent="0.3">
      <c r="A43" s="1414"/>
      <c r="B43" s="1414"/>
      <c r="C43" s="1414"/>
      <c r="D43" s="1415"/>
      <c r="E43" s="1410" t="s">
        <v>372</v>
      </c>
      <c r="F43" s="1410"/>
      <c r="G43" s="1410"/>
      <c r="H43" s="1410"/>
      <c r="I43" s="339">
        <f t="shared" si="0"/>
        <v>16195</v>
      </c>
      <c r="J43" s="338">
        <f t="shared" si="0"/>
        <v>55360</v>
      </c>
    </row>
    <row r="44" spans="1:12" ht="20.100000000000001" customHeight="1" thickTop="1" thickBot="1" x14ac:dyDescent="0.3">
      <c r="A44" s="1414"/>
      <c r="B44" s="1414"/>
      <c r="C44" s="1414"/>
      <c r="D44" s="1415"/>
      <c r="E44" s="1407" t="s">
        <v>371</v>
      </c>
      <c r="F44" s="1407"/>
      <c r="G44" s="1407"/>
      <c r="H44" s="1407"/>
      <c r="I44" s="341">
        <f t="shared" si="0"/>
        <v>1410240</v>
      </c>
      <c r="J44" s="340">
        <f t="shared" si="0"/>
        <v>0</v>
      </c>
    </row>
    <row r="45" spans="1:12" ht="20.100000000000001" customHeight="1" thickTop="1" thickBot="1" x14ac:dyDescent="0.3">
      <c r="A45" s="1414"/>
      <c r="B45" s="1414"/>
      <c r="C45" s="1414"/>
      <c r="D45" s="1416" t="s">
        <v>370</v>
      </c>
      <c r="E45" s="1412" t="s">
        <v>59</v>
      </c>
      <c r="F45" s="1412"/>
      <c r="G45" s="1412"/>
      <c r="H45" s="1412"/>
      <c r="I45" s="339">
        <f t="shared" si="0"/>
        <v>24395</v>
      </c>
      <c r="J45" s="338">
        <f t="shared" si="0"/>
        <v>0</v>
      </c>
    </row>
    <row r="46" spans="1:12" ht="20.100000000000001" customHeight="1" thickTop="1" thickBot="1" x14ac:dyDescent="0.3">
      <c r="A46" s="1414"/>
      <c r="B46" s="1414"/>
      <c r="C46" s="1414"/>
      <c r="D46" s="1416"/>
      <c r="E46" s="1410" t="s">
        <v>369</v>
      </c>
      <c r="F46" s="1410"/>
      <c r="G46" s="1410"/>
      <c r="H46" s="1410"/>
      <c r="I46" s="337">
        <f>I13+I25+I37</f>
        <v>3781</v>
      </c>
      <c r="J46" s="336">
        <f>J13+J25+J37</f>
        <v>0</v>
      </c>
    </row>
    <row r="47" spans="1:12" ht="20.100000000000001" customHeight="1" thickTop="1" thickBot="1" x14ac:dyDescent="0.3">
      <c r="A47" s="1414"/>
      <c r="B47" s="1414"/>
      <c r="C47" s="1414"/>
      <c r="D47" s="1416"/>
      <c r="E47" s="1410" t="s">
        <v>53</v>
      </c>
      <c r="F47" s="1410"/>
      <c r="G47" s="1410"/>
      <c r="H47" s="1410"/>
      <c r="I47" s="337">
        <f>I14+I27+I38</f>
        <v>135246</v>
      </c>
      <c r="J47" s="336">
        <f>J14+J27+J38</f>
        <v>0</v>
      </c>
    </row>
    <row r="48" spans="1:12" ht="20.100000000000001" customHeight="1" thickTop="1" thickBot="1" x14ac:dyDescent="0.3">
      <c r="A48" s="1414"/>
      <c r="B48" s="1414"/>
      <c r="C48" s="1414"/>
      <c r="D48" s="1416"/>
      <c r="E48" s="1410" t="s">
        <v>368</v>
      </c>
      <c r="F48" s="1410"/>
      <c r="G48" s="1410"/>
      <c r="H48" s="1410"/>
      <c r="I48" s="337">
        <f>I16+I29+I40</f>
        <v>2072643</v>
      </c>
      <c r="J48" s="336">
        <f>J16+J29+J40</f>
        <v>0</v>
      </c>
    </row>
    <row r="49" spans="1:10" ht="20.100000000000001" customHeight="1" thickTop="1" thickBot="1" x14ac:dyDescent="0.3">
      <c r="A49" s="1414"/>
      <c r="B49" s="1414"/>
      <c r="C49" s="1414"/>
      <c r="D49" s="1416"/>
      <c r="E49" s="1413" t="s">
        <v>367</v>
      </c>
      <c r="F49" s="1413"/>
      <c r="G49" s="1413"/>
      <c r="H49" s="1413"/>
      <c r="I49" s="335">
        <f>I18+I31+I41</f>
        <v>455500</v>
      </c>
      <c r="J49" s="334">
        <f>J18+J31+J41</f>
        <v>0</v>
      </c>
    </row>
    <row r="50" spans="1:10" ht="13.7" customHeight="1" thickTop="1" x14ac:dyDescent="0.25">
      <c r="A50" s="333"/>
      <c r="B50" s="332"/>
      <c r="C50" s="332"/>
      <c r="D50" s="331"/>
      <c r="E50" s="330"/>
      <c r="F50" s="330"/>
      <c r="G50" s="330"/>
      <c r="H50" s="330"/>
    </row>
    <row r="52" spans="1:10" x14ac:dyDescent="0.25">
      <c r="I52" s="329"/>
    </row>
  </sheetData>
  <mergeCells count="61">
    <mergeCell ref="E49:H49"/>
    <mergeCell ref="A42:C49"/>
    <mergeCell ref="D42:D44"/>
    <mergeCell ref="E42:H42"/>
    <mergeCell ref="E43:H43"/>
    <mergeCell ref="E44:H44"/>
    <mergeCell ref="D45:D49"/>
    <mergeCell ref="E45:H45"/>
    <mergeCell ref="E46:H46"/>
    <mergeCell ref="E47:H47"/>
    <mergeCell ref="E48:H48"/>
    <mergeCell ref="A33:A41"/>
    <mergeCell ref="B33:C41"/>
    <mergeCell ref="D33:D35"/>
    <mergeCell ref="E33:H33"/>
    <mergeCell ref="E35:H35"/>
    <mergeCell ref="D36:D41"/>
    <mergeCell ref="E41:H41"/>
    <mergeCell ref="E36:H36"/>
    <mergeCell ref="E37:H37"/>
    <mergeCell ref="E38:H38"/>
    <mergeCell ref="E39:H39"/>
    <mergeCell ref="E40:H40"/>
    <mergeCell ref="E18:H18"/>
    <mergeCell ref="A9:A19"/>
    <mergeCell ref="B9:C19"/>
    <mergeCell ref="D9:D11"/>
    <mergeCell ref="E15:H15"/>
    <mergeCell ref="E16:H16"/>
    <mergeCell ref="E17:H17"/>
    <mergeCell ref="E14:H14"/>
    <mergeCell ref="E9:H9"/>
    <mergeCell ref="E11:H11"/>
    <mergeCell ref="D12:D19"/>
    <mergeCell ref="E12:H12"/>
    <mergeCell ref="E19:H19"/>
    <mergeCell ref="E13:H13"/>
    <mergeCell ref="A20:A32"/>
    <mergeCell ref="B20:C32"/>
    <mergeCell ref="D20:D22"/>
    <mergeCell ref="E20:H20"/>
    <mergeCell ref="E22:H22"/>
    <mergeCell ref="D23:D32"/>
    <mergeCell ref="E28:H28"/>
    <mergeCell ref="E30:H30"/>
    <mergeCell ref="E31:H31"/>
    <mergeCell ref="E32:H32"/>
    <mergeCell ref="E23:H23"/>
    <mergeCell ref="E24:H24"/>
    <mergeCell ref="E25:H25"/>
    <mergeCell ref="E26:H26"/>
    <mergeCell ref="E27:H27"/>
    <mergeCell ref="E29:H29"/>
    <mergeCell ref="A1:I1"/>
    <mergeCell ref="A3:J3"/>
    <mergeCell ref="I4:J4"/>
    <mergeCell ref="A7:A8"/>
    <mergeCell ref="B7:C8"/>
    <mergeCell ref="D7:H8"/>
    <mergeCell ref="I7:I8"/>
    <mergeCell ref="J7:J8"/>
  </mergeCells>
  <pageMargins left="0.7" right="0.7" top="0.75" bottom="0.75" header="0.51180555555555496" footer="0.51180555555555496"/>
  <pageSetup paperSize="9" scale="57" firstPageNumber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C80"/>
  <sheetViews>
    <sheetView view="pageBreakPreview" zoomScale="60" zoomScaleNormal="85" workbookViewId="0">
      <pane xSplit="5" ySplit="13" topLeftCell="F14" activePane="bottomRight" state="frozen"/>
      <selection pane="topRight" activeCell="E1" sqref="E1"/>
      <selection pane="bottomLeft" activeCell="A13" sqref="A13"/>
      <selection pane="bottomRight" activeCell="C6" sqref="C6"/>
    </sheetView>
  </sheetViews>
  <sheetFormatPr defaultRowHeight="15.75" x14ac:dyDescent="0.25"/>
  <cols>
    <col min="1" max="1" width="86" style="209" customWidth="1"/>
    <col min="2" max="2" width="32" style="206" bestFit="1" customWidth="1"/>
    <col min="3" max="3" width="26" style="206" bestFit="1" customWidth="1"/>
    <col min="4" max="4" width="30.28515625" style="206" hidden="1" customWidth="1"/>
    <col min="5" max="5" width="16.5703125" style="208" hidden="1" customWidth="1"/>
    <col min="6" max="6" width="26.42578125" style="206" bestFit="1" customWidth="1"/>
    <col min="7" max="7" width="20.140625" style="206" bestFit="1" customWidth="1"/>
    <col min="8" max="8" width="16.140625" style="207" customWidth="1"/>
    <col min="9" max="9" width="15.42578125" style="207" customWidth="1"/>
    <col min="10" max="10" width="14" style="206" customWidth="1"/>
    <col min="11" max="11" width="16.42578125" style="206" customWidth="1"/>
    <col min="12" max="12" width="17" style="206" customWidth="1"/>
    <col min="13" max="13" width="15.7109375" style="206" customWidth="1"/>
    <col min="14" max="14" width="11.5703125" style="206" bestFit="1" customWidth="1"/>
    <col min="15" max="255" width="9.140625" style="206"/>
    <col min="256" max="256" width="4.5703125" style="206" customWidth="1"/>
    <col min="257" max="257" width="61.5703125" style="206" bestFit="1" customWidth="1"/>
    <col min="258" max="258" width="17.140625" style="206" bestFit="1" customWidth="1"/>
    <col min="259" max="259" width="12.85546875" style="206" bestFit="1" customWidth="1"/>
    <col min="260" max="260" width="15.85546875" style="206" customWidth="1"/>
    <col min="261" max="261" width="12.42578125" style="206" customWidth="1"/>
    <col min="262" max="262" width="12.42578125" style="206" bestFit="1" customWidth="1"/>
    <col min="263" max="263" width="10.42578125" style="206" bestFit="1" customWidth="1"/>
    <col min="264" max="264" width="12.140625" style="206" bestFit="1" customWidth="1"/>
    <col min="265" max="265" width="10.42578125" style="206" bestFit="1" customWidth="1"/>
    <col min="266" max="267" width="13.85546875" style="206" bestFit="1" customWidth="1"/>
    <col min="268" max="268" width="13.5703125" style="206" bestFit="1" customWidth="1"/>
    <col min="269" max="269" width="14.7109375" style="206" bestFit="1" customWidth="1"/>
    <col min="270" max="270" width="11.5703125" style="206" bestFit="1" customWidth="1"/>
    <col min="271" max="511" width="9.140625" style="206"/>
    <col min="512" max="512" width="4.5703125" style="206" customWidth="1"/>
    <col min="513" max="513" width="61.5703125" style="206" bestFit="1" customWidth="1"/>
    <col min="514" max="514" width="17.140625" style="206" bestFit="1" customWidth="1"/>
    <col min="515" max="515" width="12.85546875" style="206" bestFit="1" customWidth="1"/>
    <col min="516" max="516" width="15.85546875" style="206" customWidth="1"/>
    <col min="517" max="517" width="12.42578125" style="206" customWidth="1"/>
    <col min="518" max="518" width="12.42578125" style="206" bestFit="1" customWidth="1"/>
    <col min="519" max="519" width="10.42578125" style="206" bestFit="1" customWidth="1"/>
    <col min="520" max="520" width="12.140625" style="206" bestFit="1" customWidth="1"/>
    <col min="521" max="521" width="10.42578125" style="206" bestFit="1" customWidth="1"/>
    <col min="522" max="523" width="13.85546875" style="206" bestFit="1" customWidth="1"/>
    <col min="524" max="524" width="13.5703125" style="206" bestFit="1" customWidth="1"/>
    <col min="525" max="525" width="14.7109375" style="206" bestFit="1" customWidth="1"/>
    <col min="526" max="526" width="11.5703125" style="206" bestFit="1" customWidth="1"/>
    <col min="527" max="767" width="9.140625" style="206"/>
    <col min="768" max="768" width="4.5703125" style="206" customWidth="1"/>
    <col min="769" max="769" width="61.5703125" style="206" bestFit="1" customWidth="1"/>
    <col min="770" max="770" width="17.140625" style="206" bestFit="1" customWidth="1"/>
    <col min="771" max="771" width="12.85546875" style="206" bestFit="1" customWidth="1"/>
    <col min="772" max="772" width="15.85546875" style="206" customWidth="1"/>
    <col min="773" max="773" width="12.42578125" style="206" customWidth="1"/>
    <col min="774" max="774" width="12.42578125" style="206" bestFit="1" customWidth="1"/>
    <col min="775" max="775" width="10.42578125" style="206" bestFit="1" customWidth="1"/>
    <col min="776" max="776" width="12.140625" style="206" bestFit="1" customWidth="1"/>
    <col min="777" max="777" width="10.42578125" style="206" bestFit="1" customWidth="1"/>
    <col min="778" max="779" width="13.85546875" style="206" bestFit="1" customWidth="1"/>
    <col min="780" max="780" width="13.5703125" style="206" bestFit="1" customWidth="1"/>
    <col min="781" max="781" width="14.7109375" style="206" bestFit="1" customWidth="1"/>
    <col min="782" max="782" width="11.5703125" style="206" bestFit="1" customWidth="1"/>
    <col min="783" max="1023" width="9.140625" style="206"/>
    <col min="1024" max="1024" width="4.5703125" style="206" customWidth="1"/>
    <col min="1025" max="1025" width="61.5703125" style="206" bestFit="1" customWidth="1"/>
    <col min="1026" max="1026" width="17.140625" style="206" bestFit="1" customWidth="1"/>
    <col min="1027" max="1027" width="12.85546875" style="206" bestFit="1" customWidth="1"/>
    <col min="1028" max="1028" width="15.85546875" style="206" customWidth="1"/>
    <col min="1029" max="1029" width="12.42578125" style="206" customWidth="1"/>
    <col min="1030" max="1030" width="12.42578125" style="206" bestFit="1" customWidth="1"/>
    <col min="1031" max="1031" width="10.42578125" style="206" bestFit="1" customWidth="1"/>
    <col min="1032" max="1032" width="12.140625" style="206" bestFit="1" customWidth="1"/>
    <col min="1033" max="1033" width="10.42578125" style="206" bestFit="1" customWidth="1"/>
    <col min="1034" max="1035" width="13.85546875" style="206" bestFit="1" customWidth="1"/>
    <col min="1036" max="1036" width="13.5703125" style="206" bestFit="1" customWidth="1"/>
    <col min="1037" max="1037" width="14.7109375" style="206" bestFit="1" customWidth="1"/>
    <col min="1038" max="1038" width="11.5703125" style="206" bestFit="1" customWidth="1"/>
    <col min="1039" max="1279" width="9.140625" style="206"/>
    <col min="1280" max="1280" width="4.5703125" style="206" customWidth="1"/>
    <col min="1281" max="1281" width="61.5703125" style="206" bestFit="1" customWidth="1"/>
    <col min="1282" max="1282" width="17.140625" style="206" bestFit="1" customWidth="1"/>
    <col min="1283" max="1283" width="12.85546875" style="206" bestFit="1" customWidth="1"/>
    <col min="1284" max="1284" width="15.85546875" style="206" customWidth="1"/>
    <col min="1285" max="1285" width="12.42578125" style="206" customWidth="1"/>
    <col min="1286" max="1286" width="12.42578125" style="206" bestFit="1" customWidth="1"/>
    <col min="1287" max="1287" width="10.42578125" style="206" bestFit="1" customWidth="1"/>
    <col min="1288" max="1288" width="12.140625" style="206" bestFit="1" customWidth="1"/>
    <col min="1289" max="1289" width="10.42578125" style="206" bestFit="1" customWidth="1"/>
    <col min="1290" max="1291" width="13.85546875" style="206" bestFit="1" customWidth="1"/>
    <col min="1292" max="1292" width="13.5703125" style="206" bestFit="1" customWidth="1"/>
    <col min="1293" max="1293" width="14.7109375" style="206" bestFit="1" customWidth="1"/>
    <col min="1294" max="1294" width="11.5703125" style="206" bestFit="1" customWidth="1"/>
    <col min="1295" max="1535" width="9.140625" style="206"/>
    <col min="1536" max="1536" width="4.5703125" style="206" customWidth="1"/>
    <col min="1537" max="1537" width="61.5703125" style="206" bestFit="1" customWidth="1"/>
    <col min="1538" max="1538" width="17.140625" style="206" bestFit="1" customWidth="1"/>
    <col min="1539" max="1539" width="12.85546875" style="206" bestFit="1" customWidth="1"/>
    <col min="1540" max="1540" width="15.85546875" style="206" customWidth="1"/>
    <col min="1541" max="1541" width="12.42578125" style="206" customWidth="1"/>
    <col min="1542" max="1542" width="12.42578125" style="206" bestFit="1" customWidth="1"/>
    <col min="1543" max="1543" width="10.42578125" style="206" bestFit="1" customWidth="1"/>
    <col min="1544" max="1544" width="12.140625" style="206" bestFit="1" customWidth="1"/>
    <col min="1545" max="1545" width="10.42578125" style="206" bestFit="1" customWidth="1"/>
    <col min="1546" max="1547" width="13.85546875" style="206" bestFit="1" customWidth="1"/>
    <col min="1548" max="1548" width="13.5703125" style="206" bestFit="1" customWidth="1"/>
    <col min="1549" max="1549" width="14.7109375" style="206" bestFit="1" customWidth="1"/>
    <col min="1550" max="1550" width="11.5703125" style="206" bestFit="1" customWidth="1"/>
    <col min="1551" max="1791" width="9.140625" style="206"/>
    <col min="1792" max="1792" width="4.5703125" style="206" customWidth="1"/>
    <col min="1793" max="1793" width="61.5703125" style="206" bestFit="1" customWidth="1"/>
    <col min="1794" max="1794" width="17.140625" style="206" bestFit="1" customWidth="1"/>
    <col min="1795" max="1795" width="12.85546875" style="206" bestFit="1" customWidth="1"/>
    <col min="1796" max="1796" width="15.85546875" style="206" customWidth="1"/>
    <col min="1797" max="1797" width="12.42578125" style="206" customWidth="1"/>
    <col min="1798" max="1798" width="12.42578125" style="206" bestFit="1" customWidth="1"/>
    <col min="1799" max="1799" width="10.42578125" style="206" bestFit="1" customWidth="1"/>
    <col min="1800" max="1800" width="12.140625" style="206" bestFit="1" customWidth="1"/>
    <col min="1801" max="1801" width="10.42578125" style="206" bestFit="1" customWidth="1"/>
    <col min="1802" max="1803" width="13.85546875" style="206" bestFit="1" customWidth="1"/>
    <col min="1804" max="1804" width="13.5703125" style="206" bestFit="1" customWidth="1"/>
    <col min="1805" max="1805" width="14.7109375" style="206" bestFit="1" customWidth="1"/>
    <col min="1806" max="1806" width="11.5703125" style="206" bestFit="1" customWidth="1"/>
    <col min="1807" max="2047" width="9.140625" style="206"/>
    <col min="2048" max="2048" width="4.5703125" style="206" customWidth="1"/>
    <col min="2049" max="2049" width="61.5703125" style="206" bestFit="1" customWidth="1"/>
    <col min="2050" max="2050" width="17.140625" style="206" bestFit="1" customWidth="1"/>
    <col min="2051" max="2051" width="12.85546875" style="206" bestFit="1" customWidth="1"/>
    <col min="2052" max="2052" width="15.85546875" style="206" customWidth="1"/>
    <col min="2053" max="2053" width="12.42578125" style="206" customWidth="1"/>
    <col min="2054" max="2054" width="12.42578125" style="206" bestFit="1" customWidth="1"/>
    <col min="2055" max="2055" width="10.42578125" style="206" bestFit="1" customWidth="1"/>
    <col min="2056" max="2056" width="12.140625" style="206" bestFit="1" customWidth="1"/>
    <col min="2057" max="2057" width="10.42578125" style="206" bestFit="1" customWidth="1"/>
    <col min="2058" max="2059" width="13.85546875" style="206" bestFit="1" customWidth="1"/>
    <col min="2060" max="2060" width="13.5703125" style="206" bestFit="1" customWidth="1"/>
    <col min="2061" max="2061" width="14.7109375" style="206" bestFit="1" customWidth="1"/>
    <col min="2062" max="2062" width="11.5703125" style="206" bestFit="1" customWidth="1"/>
    <col min="2063" max="2303" width="9.140625" style="206"/>
    <col min="2304" max="2304" width="4.5703125" style="206" customWidth="1"/>
    <col min="2305" max="2305" width="61.5703125" style="206" bestFit="1" customWidth="1"/>
    <col min="2306" max="2306" width="17.140625" style="206" bestFit="1" customWidth="1"/>
    <col min="2307" max="2307" width="12.85546875" style="206" bestFit="1" customWidth="1"/>
    <col min="2308" max="2308" width="15.85546875" style="206" customWidth="1"/>
    <col min="2309" max="2309" width="12.42578125" style="206" customWidth="1"/>
    <col min="2310" max="2310" width="12.42578125" style="206" bestFit="1" customWidth="1"/>
    <col min="2311" max="2311" width="10.42578125" style="206" bestFit="1" customWidth="1"/>
    <col min="2312" max="2312" width="12.140625" style="206" bestFit="1" customWidth="1"/>
    <col min="2313" max="2313" width="10.42578125" style="206" bestFit="1" customWidth="1"/>
    <col min="2314" max="2315" width="13.85546875" style="206" bestFit="1" customWidth="1"/>
    <col min="2316" max="2316" width="13.5703125" style="206" bestFit="1" customWidth="1"/>
    <col min="2317" max="2317" width="14.7109375" style="206" bestFit="1" customWidth="1"/>
    <col min="2318" max="2318" width="11.5703125" style="206" bestFit="1" customWidth="1"/>
    <col min="2319" max="2559" width="9.140625" style="206"/>
    <col min="2560" max="2560" width="4.5703125" style="206" customWidth="1"/>
    <col min="2561" max="2561" width="61.5703125" style="206" bestFit="1" customWidth="1"/>
    <col min="2562" max="2562" width="17.140625" style="206" bestFit="1" customWidth="1"/>
    <col min="2563" max="2563" width="12.85546875" style="206" bestFit="1" customWidth="1"/>
    <col min="2564" max="2564" width="15.85546875" style="206" customWidth="1"/>
    <col min="2565" max="2565" width="12.42578125" style="206" customWidth="1"/>
    <col min="2566" max="2566" width="12.42578125" style="206" bestFit="1" customWidth="1"/>
    <col min="2567" max="2567" width="10.42578125" style="206" bestFit="1" customWidth="1"/>
    <col min="2568" max="2568" width="12.140625" style="206" bestFit="1" customWidth="1"/>
    <col min="2569" max="2569" width="10.42578125" style="206" bestFit="1" customWidth="1"/>
    <col min="2570" max="2571" width="13.85546875" style="206" bestFit="1" customWidth="1"/>
    <col min="2572" max="2572" width="13.5703125" style="206" bestFit="1" customWidth="1"/>
    <col min="2573" max="2573" width="14.7109375" style="206" bestFit="1" customWidth="1"/>
    <col min="2574" max="2574" width="11.5703125" style="206" bestFit="1" customWidth="1"/>
    <col min="2575" max="2815" width="9.140625" style="206"/>
    <col min="2816" max="2816" width="4.5703125" style="206" customWidth="1"/>
    <col min="2817" max="2817" width="61.5703125" style="206" bestFit="1" customWidth="1"/>
    <col min="2818" max="2818" width="17.140625" style="206" bestFit="1" customWidth="1"/>
    <col min="2819" max="2819" width="12.85546875" style="206" bestFit="1" customWidth="1"/>
    <col min="2820" max="2820" width="15.85546875" style="206" customWidth="1"/>
    <col min="2821" max="2821" width="12.42578125" style="206" customWidth="1"/>
    <col min="2822" max="2822" width="12.42578125" style="206" bestFit="1" customWidth="1"/>
    <col min="2823" max="2823" width="10.42578125" style="206" bestFit="1" customWidth="1"/>
    <col min="2824" max="2824" width="12.140625" style="206" bestFit="1" customWidth="1"/>
    <col min="2825" max="2825" width="10.42578125" style="206" bestFit="1" customWidth="1"/>
    <col min="2826" max="2827" width="13.85546875" style="206" bestFit="1" customWidth="1"/>
    <col min="2828" max="2828" width="13.5703125" style="206" bestFit="1" customWidth="1"/>
    <col min="2829" max="2829" width="14.7109375" style="206" bestFit="1" customWidth="1"/>
    <col min="2830" max="2830" width="11.5703125" style="206" bestFit="1" customWidth="1"/>
    <col min="2831" max="3071" width="9.140625" style="206"/>
    <col min="3072" max="3072" width="4.5703125" style="206" customWidth="1"/>
    <col min="3073" max="3073" width="61.5703125" style="206" bestFit="1" customWidth="1"/>
    <col min="3074" max="3074" width="17.140625" style="206" bestFit="1" customWidth="1"/>
    <col min="3075" max="3075" width="12.85546875" style="206" bestFit="1" customWidth="1"/>
    <col min="3076" max="3076" width="15.85546875" style="206" customWidth="1"/>
    <col min="3077" max="3077" width="12.42578125" style="206" customWidth="1"/>
    <col min="3078" max="3078" width="12.42578125" style="206" bestFit="1" customWidth="1"/>
    <col min="3079" max="3079" width="10.42578125" style="206" bestFit="1" customWidth="1"/>
    <col min="3080" max="3080" width="12.140625" style="206" bestFit="1" customWidth="1"/>
    <col min="3081" max="3081" width="10.42578125" style="206" bestFit="1" customWidth="1"/>
    <col min="3082" max="3083" width="13.85546875" style="206" bestFit="1" customWidth="1"/>
    <col min="3084" max="3084" width="13.5703125" style="206" bestFit="1" customWidth="1"/>
    <col min="3085" max="3085" width="14.7109375" style="206" bestFit="1" customWidth="1"/>
    <col min="3086" max="3086" width="11.5703125" style="206" bestFit="1" customWidth="1"/>
    <col min="3087" max="3327" width="9.140625" style="206"/>
    <col min="3328" max="3328" width="4.5703125" style="206" customWidth="1"/>
    <col min="3329" max="3329" width="61.5703125" style="206" bestFit="1" customWidth="1"/>
    <col min="3330" max="3330" width="17.140625" style="206" bestFit="1" customWidth="1"/>
    <col min="3331" max="3331" width="12.85546875" style="206" bestFit="1" customWidth="1"/>
    <col min="3332" max="3332" width="15.85546875" style="206" customWidth="1"/>
    <col min="3333" max="3333" width="12.42578125" style="206" customWidth="1"/>
    <col min="3334" max="3334" width="12.42578125" style="206" bestFit="1" customWidth="1"/>
    <col min="3335" max="3335" width="10.42578125" style="206" bestFit="1" customWidth="1"/>
    <col min="3336" max="3336" width="12.140625" style="206" bestFit="1" customWidth="1"/>
    <col min="3337" max="3337" width="10.42578125" style="206" bestFit="1" customWidth="1"/>
    <col min="3338" max="3339" width="13.85546875" style="206" bestFit="1" customWidth="1"/>
    <col min="3340" max="3340" width="13.5703125" style="206" bestFit="1" customWidth="1"/>
    <col min="3341" max="3341" width="14.7109375" style="206" bestFit="1" customWidth="1"/>
    <col min="3342" max="3342" width="11.5703125" style="206" bestFit="1" customWidth="1"/>
    <col min="3343" max="3583" width="9.140625" style="206"/>
    <col min="3584" max="3584" width="4.5703125" style="206" customWidth="1"/>
    <col min="3585" max="3585" width="61.5703125" style="206" bestFit="1" customWidth="1"/>
    <col min="3586" max="3586" width="17.140625" style="206" bestFit="1" customWidth="1"/>
    <col min="3587" max="3587" width="12.85546875" style="206" bestFit="1" customWidth="1"/>
    <col min="3588" max="3588" width="15.85546875" style="206" customWidth="1"/>
    <col min="3589" max="3589" width="12.42578125" style="206" customWidth="1"/>
    <col min="3590" max="3590" width="12.42578125" style="206" bestFit="1" customWidth="1"/>
    <col min="3591" max="3591" width="10.42578125" style="206" bestFit="1" customWidth="1"/>
    <col min="3592" max="3592" width="12.140625" style="206" bestFit="1" customWidth="1"/>
    <col min="3593" max="3593" width="10.42578125" style="206" bestFit="1" customWidth="1"/>
    <col min="3594" max="3595" width="13.85546875" style="206" bestFit="1" customWidth="1"/>
    <col min="3596" max="3596" width="13.5703125" style="206" bestFit="1" customWidth="1"/>
    <col min="3597" max="3597" width="14.7109375" style="206" bestFit="1" customWidth="1"/>
    <col min="3598" max="3598" width="11.5703125" style="206" bestFit="1" customWidth="1"/>
    <col min="3599" max="3839" width="9.140625" style="206"/>
    <col min="3840" max="3840" width="4.5703125" style="206" customWidth="1"/>
    <col min="3841" max="3841" width="61.5703125" style="206" bestFit="1" customWidth="1"/>
    <col min="3842" max="3842" width="17.140625" style="206" bestFit="1" customWidth="1"/>
    <col min="3843" max="3843" width="12.85546875" style="206" bestFit="1" customWidth="1"/>
    <col min="3844" max="3844" width="15.85546875" style="206" customWidth="1"/>
    <col min="3845" max="3845" width="12.42578125" style="206" customWidth="1"/>
    <col min="3846" max="3846" width="12.42578125" style="206" bestFit="1" customWidth="1"/>
    <col min="3847" max="3847" width="10.42578125" style="206" bestFit="1" customWidth="1"/>
    <col min="3848" max="3848" width="12.140625" style="206" bestFit="1" customWidth="1"/>
    <col min="3849" max="3849" width="10.42578125" style="206" bestFit="1" customWidth="1"/>
    <col min="3850" max="3851" width="13.85546875" style="206" bestFit="1" customWidth="1"/>
    <col min="3852" max="3852" width="13.5703125" style="206" bestFit="1" customWidth="1"/>
    <col min="3853" max="3853" width="14.7109375" style="206" bestFit="1" customWidth="1"/>
    <col min="3854" max="3854" width="11.5703125" style="206" bestFit="1" customWidth="1"/>
    <col min="3855" max="4095" width="9.140625" style="206"/>
    <col min="4096" max="4096" width="4.5703125" style="206" customWidth="1"/>
    <col min="4097" max="4097" width="61.5703125" style="206" bestFit="1" customWidth="1"/>
    <col min="4098" max="4098" width="17.140625" style="206" bestFit="1" customWidth="1"/>
    <col min="4099" max="4099" width="12.85546875" style="206" bestFit="1" customWidth="1"/>
    <col min="4100" max="4100" width="15.85546875" style="206" customWidth="1"/>
    <col min="4101" max="4101" width="12.42578125" style="206" customWidth="1"/>
    <col min="4102" max="4102" width="12.42578125" style="206" bestFit="1" customWidth="1"/>
    <col min="4103" max="4103" width="10.42578125" style="206" bestFit="1" customWidth="1"/>
    <col min="4104" max="4104" width="12.140625" style="206" bestFit="1" customWidth="1"/>
    <col min="4105" max="4105" width="10.42578125" style="206" bestFit="1" customWidth="1"/>
    <col min="4106" max="4107" width="13.85546875" style="206" bestFit="1" customWidth="1"/>
    <col min="4108" max="4108" width="13.5703125" style="206" bestFit="1" customWidth="1"/>
    <col min="4109" max="4109" width="14.7109375" style="206" bestFit="1" customWidth="1"/>
    <col min="4110" max="4110" width="11.5703125" style="206" bestFit="1" customWidth="1"/>
    <col min="4111" max="4351" width="9.140625" style="206"/>
    <col min="4352" max="4352" width="4.5703125" style="206" customWidth="1"/>
    <col min="4353" max="4353" width="61.5703125" style="206" bestFit="1" customWidth="1"/>
    <col min="4354" max="4354" width="17.140625" style="206" bestFit="1" customWidth="1"/>
    <col min="4355" max="4355" width="12.85546875" style="206" bestFit="1" customWidth="1"/>
    <col min="4356" max="4356" width="15.85546875" style="206" customWidth="1"/>
    <col min="4357" max="4357" width="12.42578125" style="206" customWidth="1"/>
    <col min="4358" max="4358" width="12.42578125" style="206" bestFit="1" customWidth="1"/>
    <col min="4359" max="4359" width="10.42578125" style="206" bestFit="1" customWidth="1"/>
    <col min="4360" max="4360" width="12.140625" style="206" bestFit="1" customWidth="1"/>
    <col min="4361" max="4361" width="10.42578125" style="206" bestFit="1" customWidth="1"/>
    <col min="4362" max="4363" width="13.85546875" style="206" bestFit="1" customWidth="1"/>
    <col min="4364" max="4364" width="13.5703125" style="206" bestFit="1" customWidth="1"/>
    <col min="4365" max="4365" width="14.7109375" style="206" bestFit="1" customWidth="1"/>
    <col min="4366" max="4366" width="11.5703125" style="206" bestFit="1" customWidth="1"/>
    <col min="4367" max="4607" width="9.140625" style="206"/>
    <col min="4608" max="4608" width="4.5703125" style="206" customWidth="1"/>
    <col min="4609" max="4609" width="61.5703125" style="206" bestFit="1" customWidth="1"/>
    <col min="4610" max="4610" width="17.140625" style="206" bestFit="1" customWidth="1"/>
    <col min="4611" max="4611" width="12.85546875" style="206" bestFit="1" customWidth="1"/>
    <col min="4612" max="4612" width="15.85546875" style="206" customWidth="1"/>
    <col min="4613" max="4613" width="12.42578125" style="206" customWidth="1"/>
    <col min="4614" max="4614" width="12.42578125" style="206" bestFit="1" customWidth="1"/>
    <col min="4615" max="4615" width="10.42578125" style="206" bestFit="1" customWidth="1"/>
    <col min="4616" max="4616" width="12.140625" style="206" bestFit="1" customWidth="1"/>
    <col min="4617" max="4617" width="10.42578125" style="206" bestFit="1" customWidth="1"/>
    <col min="4618" max="4619" width="13.85546875" style="206" bestFit="1" customWidth="1"/>
    <col min="4620" max="4620" width="13.5703125" style="206" bestFit="1" customWidth="1"/>
    <col min="4621" max="4621" width="14.7109375" style="206" bestFit="1" customWidth="1"/>
    <col min="4622" max="4622" width="11.5703125" style="206" bestFit="1" customWidth="1"/>
    <col min="4623" max="4863" width="9.140625" style="206"/>
    <col min="4864" max="4864" width="4.5703125" style="206" customWidth="1"/>
    <col min="4865" max="4865" width="61.5703125" style="206" bestFit="1" customWidth="1"/>
    <col min="4866" max="4866" width="17.140625" style="206" bestFit="1" customWidth="1"/>
    <col min="4867" max="4867" width="12.85546875" style="206" bestFit="1" customWidth="1"/>
    <col min="4868" max="4868" width="15.85546875" style="206" customWidth="1"/>
    <col min="4869" max="4869" width="12.42578125" style="206" customWidth="1"/>
    <col min="4870" max="4870" width="12.42578125" style="206" bestFit="1" customWidth="1"/>
    <col min="4871" max="4871" width="10.42578125" style="206" bestFit="1" customWidth="1"/>
    <col min="4872" max="4872" width="12.140625" style="206" bestFit="1" customWidth="1"/>
    <col min="4873" max="4873" width="10.42578125" style="206" bestFit="1" customWidth="1"/>
    <col min="4874" max="4875" width="13.85546875" style="206" bestFit="1" customWidth="1"/>
    <col min="4876" max="4876" width="13.5703125" style="206" bestFit="1" customWidth="1"/>
    <col min="4877" max="4877" width="14.7109375" style="206" bestFit="1" customWidth="1"/>
    <col min="4878" max="4878" width="11.5703125" style="206" bestFit="1" customWidth="1"/>
    <col min="4879" max="5119" width="9.140625" style="206"/>
    <col min="5120" max="5120" width="4.5703125" style="206" customWidth="1"/>
    <col min="5121" max="5121" width="61.5703125" style="206" bestFit="1" customWidth="1"/>
    <col min="5122" max="5122" width="17.140625" style="206" bestFit="1" customWidth="1"/>
    <col min="5123" max="5123" width="12.85546875" style="206" bestFit="1" customWidth="1"/>
    <col min="5124" max="5124" width="15.85546875" style="206" customWidth="1"/>
    <col min="5125" max="5125" width="12.42578125" style="206" customWidth="1"/>
    <col min="5126" max="5126" width="12.42578125" style="206" bestFit="1" customWidth="1"/>
    <col min="5127" max="5127" width="10.42578125" style="206" bestFit="1" customWidth="1"/>
    <col min="5128" max="5128" width="12.140625" style="206" bestFit="1" customWidth="1"/>
    <col min="5129" max="5129" width="10.42578125" style="206" bestFit="1" customWidth="1"/>
    <col min="5130" max="5131" width="13.85546875" style="206" bestFit="1" customWidth="1"/>
    <col min="5132" max="5132" width="13.5703125" style="206" bestFit="1" customWidth="1"/>
    <col min="5133" max="5133" width="14.7109375" style="206" bestFit="1" customWidth="1"/>
    <col min="5134" max="5134" width="11.5703125" style="206" bestFit="1" customWidth="1"/>
    <col min="5135" max="5375" width="9.140625" style="206"/>
    <col min="5376" max="5376" width="4.5703125" style="206" customWidth="1"/>
    <col min="5377" max="5377" width="61.5703125" style="206" bestFit="1" customWidth="1"/>
    <col min="5378" max="5378" width="17.140625" style="206" bestFit="1" customWidth="1"/>
    <col min="5379" max="5379" width="12.85546875" style="206" bestFit="1" customWidth="1"/>
    <col min="5380" max="5380" width="15.85546875" style="206" customWidth="1"/>
    <col min="5381" max="5381" width="12.42578125" style="206" customWidth="1"/>
    <col min="5382" max="5382" width="12.42578125" style="206" bestFit="1" customWidth="1"/>
    <col min="5383" max="5383" width="10.42578125" style="206" bestFit="1" customWidth="1"/>
    <col min="5384" max="5384" width="12.140625" style="206" bestFit="1" customWidth="1"/>
    <col min="5385" max="5385" width="10.42578125" style="206" bestFit="1" customWidth="1"/>
    <col min="5386" max="5387" width="13.85546875" style="206" bestFit="1" customWidth="1"/>
    <col min="5388" max="5388" width="13.5703125" style="206" bestFit="1" customWidth="1"/>
    <col min="5389" max="5389" width="14.7109375" style="206" bestFit="1" customWidth="1"/>
    <col min="5390" max="5390" width="11.5703125" style="206" bestFit="1" customWidth="1"/>
    <col min="5391" max="5631" width="9.140625" style="206"/>
    <col min="5632" max="5632" width="4.5703125" style="206" customWidth="1"/>
    <col min="5633" max="5633" width="61.5703125" style="206" bestFit="1" customWidth="1"/>
    <col min="5634" max="5634" width="17.140625" style="206" bestFit="1" customWidth="1"/>
    <col min="5635" max="5635" width="12.85546875" style="206" bestFit="1" customWidth="1"/>
    <col min="5636" max="5636" width="15.85546875" style="206" customWidth="1"/>
    <col min="5637" max="5637" width="12.42578125" style="206" customWidth="1"/>
    <col min="5638" max="5638" width="12.42578125" style="206" bestFit="1" customWidth="1"/>
    <col min="5639" max="5639" width="10.42578125" style="206" bestFit="1" customWidth="1"/>
    <col min="5640" max="5640" width="12.140625" style="206" bestFit="1" customWidth="1"/>
    <col min="5641" max="5641" width="10.42578125" style="206" bestFit="1" customWidth="1"/>
    <col min="5642" max="5643" width="13.85546875" style="206" bestFit="1" customWidth="1"/>
    <col min="5644" max="5644" width="13.5703125" style="206" bestFit="1" customWidth="1"/>
    <col min="5645" max="5645" width="14.7109375" style="206" bestFit="1" customWidth="1"/>
    <col min="5646" max="5646" width="11.5703125" style="206" bestFit="1" customWidth="1"/>
    <col min="5647" max="5887" width="9.140625" style="206"/>
    <col min="5888" max="5888" width="4.5703125" style="206" customWidth="1"/>
    <col min="5889" max="5889" width="61.5703125" style="206" bestFit="1" customWidth="1"/>
    <col min="5890" max="5890" width="17.140625" style="206" bestFit="1" customWidth="1"/>
    <col min="5891" max="5891" width="12.85546875" style="206" bestFit="1" customWidth="1"/>
    <col min="5892" max="5892" width="15.85546875" style="206" customWidth="1"/>
    <col min="5893" max="5893" width="12.42578125" style="206" customWidth="1"/>
    <col min="5894" max="5894" width="12.42578125" style="206" bestFit="1" customWidth="1"/>
    <col min="5895" max="5895" width="10.42578125" style="206" bestFit="1" customWidth="1"/>
    <col min="5896" max="5896" width="12.140625" style="206" bestFit="1" customWidth="1"/>
    <col min="5897" max="5897" width="10.42578125" style="206" bestFit="1" customWidth="1"/>
    <col min="5898" max="5899" width="13.85546875" style="206" bestFit="1" customWidth="1"/>
    <col min="5900" max="5900" width="13.5703125" style="206" bestFit="1" customWidth="1"/>
    <col min="5901" max="5901" width="14.7109375" style="206" bestFit="1" customWidth="1"/>
    <col min="5902" max="5902" width="11.5703125" style="206" bestFit="1" customWidth="1"/>
    <col min="5903" max="6143" width="9.140625" style="206"/>
    <col min="6144" max="6144" width="4.5703125" style="206" customWidth="1"/>
    <col min="6145" max="6145" width="61.5703125" style="206" bestFit="1" customWidth="1"/>
    <col min="6146" max="6146" width="17.140625" style="206" bestFit="1" customWidth="1"/>
    <col min="6147" max="6147" width="12.85546875" style="206" bestFit="1" customWidth="1"/>
    <col min="6148" max="6148" width="15.85546875" style="206" customWidth="1"/>
    <col min="6149" max="6149" width="12.42578125" style="206" customWidth="1"/>
    <col min="6150" max="6150" width="12.42578125" style="206" bestFit="1" customWidth="1"/>
    <col min="6151" max="6151" width="10.42578125" style="206" bestFit="1" customWidth="1"/>
    <col min="6152" max="6152" width="12.140625" style="206" bestFit="1" customWidth="1"/>
    <col min="6153" max="6153" width="10.42578125" style="206" bestFit="1" customWidth="1"/>
    <col min="6154" max="6155" width="13.85546875" style="206" bestFit="1" customWidth="1"/>
    <col min="6156" max="6156" width="13.5703125" style="206" bestFit="1" customWidth="1"/>
    <col min="6157" max="6157" width="14.7109375" style="206" bestFit="1" customWidth="1"/>
    <col min="6158" max="6158" width="11.5703125" style="206" bestFit="1" customWidth="1"/>
    <col min="6159" max="6399" width="9.140625" style="206"/>
    <col min="6400" max="6400" width="4.5703125" style="206" customWidth="1"/>
    <col min="6401" max="6401" width="61.5703125" style="206" bestFit="1" customWidth="1"/>
    <col min="6402" max="6402" width="17.140625" style="206" bestFit="1" customWidth="1"/>
    <col min="6403" max="6403" width="12.85546875" style="206" bestFit="1" customWidth="1"/>
    <col min="6404" max="6404" width="15.85546875" style="206" customWidth="1"/>
    <col min="6405" max="6405" width="12.42578125" style="206" customWidth="1"/>
    <col min="6406" max="6406" width="12.42578125" style="206" bestFit="1" customWidth="1"/>
    <col min="6407" max="6407" width="10.42578125" style="206" bestFit="1" customWidth="1"/>
    <col min="6408" max="6408" width="12.140625" style="206" bestFit="1" customWidth="1"/>
    <col min="6409" max="6409" width="10.42578125" style="206" bestFit="1" customWidth="1"/>
    <col min="6410" max="6411" width="13.85546875" style="206" bestFit="1" customWidth="1"/>
    <col min="6412" max="6412" width="13.5703125" style="206" bestFit="1" customWidth="1"/>
    <col min="6413" max="6413" width="14.7109375" style="206" bestFit="1" customWidth="1"/>
    <col min="6414" max="6414" width="11.5703125" style="206" bestFit="1" customWidth="1"/>
    <col min="6415" max="6655" width="9.140625" style="206"/>
    <col min="6656" max="6656" width="4.5703125" style="206" customWidth="1"/>
    <col min="6657" max="6657" width="61.5703125" style="206" bestFit="1" customWidth="1"/>
    <col min="6658" max="6658" width="17.140625" style="206" bestFit="1" customWidth="1"/>
    <col min="6659" max="6659" width="12.85546875" style="206" bestFit="1" customWidth="1"/>
    <col min="6660" max="6660" width="15.85546875" style="206" customWidth="1"/>
    <col min="6661" max="6661" width="12.42578125" style="206" customWidth="1"/>
    <col min="6662" max="6662" width="12.42578125" style="206" bestFit="1" customWidth="1"/>
    <col min="6663" max="6663" width="10.42578125" style="206" bestFit="1" customWidth="1"/>
    <col min="6664" max="6664" width="12.140625" style="206" bestFit="1" customWidth="1"/>
    <col min="6665" max="6665" width="10.42578125" style="206" bestFit="1" customWidth="1"/>
    <col min="6666" max="6667" width="13.85546875" style="206" bestFit="1" customWidth="1"/>
    <col min="6668" max="6668" width="13.5703125" style="206" bestFit="1" customWidth="1"/>
    <col min="6669" max="6669" width="14.7109375" style="206" bestFit="1" customWidth="1"/>
    <col min="6670" max="6670" width="11.5703125" style="206" bestFit="1" customWidth="1"/>
    <col min="6671" max="6911" width="9.140625" style="206"/>
    <col min="6912" max="6912" width="4.5703125" style="206" customWidth="1"/>
    <col min="6913" max="6913" width="61.5703125" style="206" bestFit="1" customWidth="1"/>
    <col min="6914" max="6914" width="17.140625" style="206" bestFit="1" customWidth="1"/>
    <col min="6915" max="6915" width="12.85546875" style="206" bestFit="1" customWidth="1"/>
    <col min="6916" max="6916" width="15.85546875" style="206" customWidth="1"/>
    <col min="6917" max="6917" width="12.42578125" style="206" customWidth="1"/>
    <col min="6918" max="6918" width="12.42578125" style="206" bestFit="1" customWidth="1"/>
    <col min="6919" max="6919" width="10.42578125" style="206" bestFit="1" customWidth="1"/>
    <col min="6920" max="6920" width="12.140625" style="206" bestFit="1" customWidth="1"/>
    <col min="6921" max="6921" width="10.42578125" style="206" bestFit="1" customWidth="1"/>
    <col min="6922" max="6923" width="13.85546875" style="206" bestFit="1" customWidth="1"/>
    <col min="6924" max="6924" width="13.5703125" style="206" bestFit="1" customWidth="1"/>
    <col min="6925" max="6925" width="14.7109375" style="206" bestFit="1" customWidth="1"/>
    <col min="6926" max="6926" width="11.5703125" style="206" bestFit="1" customWidth="1"/>
    <col min="6927" max="7167" width="9.140625" style="206"/>
    <col min="7168" max="7168" width="4.5703125" style="206" customWidth="1"/>
    <col min="7169" max="7169" width="61.5703125" style="206" bestFit="1" customWidth="1"/>
    <col min="7170" max="7170" width="17.140625" style="206" bestFit="1" customWidth="1"/>
    <col min="7171" max="7171" width="12.85546875" style="206" bestFit="1" customWidth="1"/>
    <col min="7172" max="7172" width="15.85546875" style="206" customWidth="1"/>
    <col min="7173" max="7173" width="12.42578125" style="206" customWidth="1"/>
    <col min="7174" max="7174" width="12.42578125" style="206" bestFit="1" customWidth="1"/>
    <col min="7175" max="7175" width="10.42578125" style="206" bestFit="1" customWidth="1"/>
    <col min="7176" max="7176" width="12.140625" style="206" bestFit="1" customWidth="1"/>
    <col min="7177" max="7177" width="10.42578125" style="206" bestFit="1" customWidth="1"/>
    <col min="7178" max="7179" width="13.85546875" style="206" bestFit="1" customWidth="1"/>
    <col min="7180" max="7180" width="13.5703125" style="206" bestFit="1" customWidth="1"/>
    <col min="7181" max="7181" width="14.7109375" style="206" bestFit="1" customWidth="1"/>
    <col min="7182" max="7182" width="11.5703125" style="206" bestFit="1" customWidth="1"/>
    <col min="7183" max="7423" width="9.140625" style="206"/>
    <col min="7424" max="7424" width="4.5703125" style="206" customWidth="1"/>
    <col min="7425" max="7425" width="61.5703125" style="206" bestFit="1" customWidth="1"/>
    <col min="7426" max="7426" width="17.140625" style="206" bestFit="1" customWidth="1"/>
    <col min="7427" max="7427" width="12.85546875" style="206" bestFit="1" customWidth="1"/>
    <col min="7428" max="7428" width="15.85546875" style="206" customWidth="1"/>
    <col min="7429" max="7429" width="12.42578125" style="206" customWidth="1"/>
    <col min="7430" max="7430" width="12.42578125" style="206" bestFit="1" customWidth="1"/>
    <col min="7431" max="7431" width="10.42578125" style="206" bestFit="1" customWidth="1"/>
    <col min="7432" max="7432" width="12.140625" style="206" bestFit="1" customWidth="1"/>
    <col min="7433" max="7433" width="10.42578125" style="206" bestFit="1" customWidth="1"/>
    <col min="7434" max="7435" width="13.85546875" style="206" bestFit="1" customWidth="1"/>
    <col min="7436" max="7436" width="13.5703125" style="206" bestFit="1" customWidth="1"/>
    <col min="7437" max="7437" width="14.7109375" style="206" bestFit="1" customWidth="1"/>
    <col min="7438" max="7438" width="11.5703125" style="206" bestFit="1" customWidth="1"/>
    <col min="7439" max="7679" width="9.140625" style="206"/>
    <col min="7680" max="7680" width="4.5703125" style="206" customWidth="1"/>
    <col min="7681" max="7681" width="61.5703125" style="206" bestFit="1" customWidth="1"/>
    <col min="7682" max="7682" width="17.140625" style="206" bestFit="1" customWidth="1"/>
    <col min="7683" max="7683" width="12.85546875" style="206" bestFit="1" customWidth="1"/>
    <col min="7684" max="7684" width="15.85546875" style="206" customWidth="1"/>
    <col min="7685" max="7685" width="12.42578125" style="206" customWidth="1"/>
    <col min="7686" max="7686" width="12.42578125" style="206" bestFit="1" customWidth="1"/>
    <col min="7687" max="7687" width="10.42578125" style="206" bestFit="1" customWidth="1"/>
    <col min="7688" max="7688" width="12.140625" style="206" bestFit="1" customWidth="1"/>
    <col min="7689" max="7689" width="10.42578125" style="206" bestFit="1" customWidth="1"/>
    <col min="7690" max="7691" width="13.85546875" style="206" bestFit="1" customWidth="1"/>
    <col min="7692" max="7692" width="13.5703125" style="206" bestFit="1" customWidth="1"/>
    <col min="7693" max="7693" width="14.7109375" style="206" bestFit="1" customWidth="1"/>
    <col min="7694" max="7694" width="11.5703125" style="206" bestFit="1" customWidth="1"/>
    <col min="7695" max="7935" width="9.140625" style="206"/>
    <col min="7936" max="7936" width="4.5703125" style="206" customWidth="1"/>
    <col min="7937" max="7937" width="61.5703125" style="206" bestFit="1" customWidth="1"/>
    <col min="7938" max="7938" width="17.140625" style="206" bestFit="1" customWidth="1"/>
    <col min="7939" max="7939" width="12.85546875" style="206" bestFit="1" customWidth="1"/>
    <col min="7940" max="7940" width="15.85546875" style="206" customWidth="1"/>
    <col min="7941" max="7941" width="12.42578125" style="206" customWidth="1"/>
    <col min="7942" max="7942" width="12.42578125" style="206" bestFit="1" customWidth="1"/>
    <col min="7943" max="7943" width="10.42578125" style="206" bestFit="1" customWidth="1"/>
    <col min="7944" max="7944" width="12.140625" style="206" bestFit="1" customWidth="1"/>
    <col min="7945" max="7945" width="10.42578125" style="206" bestFit="1" customWidth="1"/>
    <col min="7946" max="7947" width="13.85546875" style="206" bestFit="1" customWidth="1"/>
    <col min="7948" max="7948" width="13.5703125" style="206" bestFit="1" customWidth="1"/>
    <col min="7949" max="7949" width="14.7109375" style="206" bestFit="1" customWidth="1"/>
    <col min="7950" max="7950" width="11.5703125" style="206" bestFit="1" customWidth="1"/>
    <col min="7951" max="8191" width="9.140625" style="206"/>
    <col min="8192" max="8192" width="4.5703125" style="206" customWidth="1"/>
    <col min="8193" max="8193" width="61.5703125" style="206" bestFit="1" customWidth="1"/>
    <col min="8194" max="8194" width="17.140625" style="206" bestFit="1" customWidth="1"/>
    <col min="8195" max="8195" width="12.85546875" style="206" bestFit="1" customWidth="1"/>
    <col min="8196" max="8196" width="15.85546875" style="206" customWidth="1"/>
    <col min="8197" max="8197" width="12.42578125" style="206" customWidth="1"/>
    <col min="8198" max="8198" width="12.42578125" style="206" bestFit="1" customWidth="1"/>
    <col min="8199" max="8199" width="10.42578125" style="206" bestFit="1" customWidth="1"/>
    <col min="8200" max="8200" width="12.140625" style="206" bestFit="1" customWidth="1"/>
    <col min="8201" max="8201" width="10.42578125" style="206" bestFit="1" customWidth="1"/>
    <col min="8202" max="8203" width="13.85546875" style="206" bestFit="1" customWidth="1"/>
    <col min="8204" max="8204" width="13.5703125" style="206" bestFit="1" customWidth="1"/>
    <col min="8205" max="8205" width="14.7109375" style="206" bestFit="1" customWidth="1"/>
    <col min="8206" max="8206" width="11.5703125" style="206" bestFit="1" customWidth="1"/>
    <col min="8207" max="8447" width="9.140625" style="206"/>
    <col min="8448" max="8448" width="4.5703125" style="206" customWidth="1"/>
    <col min="8449" max="8449" width="61.5703125" style="206" bestFit="1" customWidth="1"/>
    <col min="8450" max="8450" width="17.140625" style="206" bestFit="1" customWidth="1"/>
    <col min="8451" max="8451" width="12.85546875" style="206" bestFit="1" customWidth="1"/>
    <col min="8452" max="8452" width="15.85546875" style="206" customWidth="1"/>
    <col min="8453" max="8453" width="12.42578125" style="206" customWidth="1"/>
    <col min="8454" max="8454" width="12.42578125" style="206" bestFit="1" customWidth="1"/>
    <col min="8455" max="8455" width="10.42578125" style="206" bestFit="1" customWidth="1"/>
    <col min="8456" max="8456" width="12.140625" style="206" bestFit="1" customWidth="1"/>
    <col min="8457" max="8457" width="10.42578125" style="206" bestFit="1" customWidth="1"/>
    <col min="8458" max="8459" width="13.85546875" style="206" bestFit="1" customWidth="1"/>
    <col min="8460" max="8460" width="13.5703125" style="206" bestFit="1" customWidth="1"/>
    <col min="8461" max="8461" width="14.7109375" style="206" bestFit="1" customWidth="1"/>
    <col min="8462" max="8462" width="11.5703125" style="206" bestFit="1" customWidth="1"/>
    <col min="8463" max="8703" width="9.140625" style="206"/>
    <col min="8704" max="8704" width="4.5703125" style="206" customWidth="1"/>
    <col min="8705" max="8705" width="61.5703125" style="206" bestFit="1" customWidth="1"/>
    <col min="8706" max="8706" width="17.140625" style="206" bestFit="1" customWidth="1"/>
    <col min="8707" max="8707" width="12.85546875" style="206" bestFit="1" customWidth="1"/>
    <col min="8708" max="8708" width="15.85546875" style="206" customWidth="1"/>
    <col min="8709" max="8709" width="12.42578125" style="206" customWidth="1"/>
    <col min="8710" max="8710" width="12.42578125" style="206" bestFit="1" customWidth="1"/>
    <col min="8711" max="8711" width="10.42578125" style="206" bestFit="1" customWidth="1"/>
    <col min="8712" max="8712" width="12.140625" style="206" bestFit="1" customWidth="1"/>
    <col min="8713" max="8713" width="10.42578125" style="206" bestFit="1" customWidth="1"/>
    <col min="8714" max="8715" width="13.85546875" style="206" bestFit="1" customWidth="1"/>
    <col min="8716" max="8716" width="13.5703125" style="206" bestFit="1" customWidth="1"/>
    <col min="8717" max="8717" width="14.7109375" style="206" bestFit="1" customWidth="1"/>
    <col min="8718" max="8718" width="11.5703125" style="206" bestFit="1" customWidth="1"/>
    <col min="8719" max="8959" width="9.140625" style="206"/>
    <col min="8960" max="8960" width="4.5703125" style="206" customWidth="1"/>
    <col min="8961" max="8961" width="61.5703125" style="206" bestFit="1" customWidth="1"/>
    <col min="8962" max="8962" width="17.140625" style="206" bestFit="1" customWidth="1"/>
    <col min="8963" max="8963" width="12.85546875" style="206" bestFit="1" customWidth="1"/>
    <col min="8964" max="8964" width="15.85546875" style="206" customWidth="1"/>
    <col min="8965" max="8965" width="12.42578125" style="206" customWidth="1"/>
    <col min="8966" max="8966" width="12.42578125" style="206" bestFit="1" customWidth="1"/>
    <col min="8967" max="8967" width="10.42578125" style="206" bestFit="1" customWidth="1"/>
    <col min="8968" max="8968" width="12.140625" style="206" bestFit="1" customWidth="1"/>
    <col min="8969" max="8969" width="10.42578125" style="206" bestFit="1" customWidth="1"/>
    <col min="8970" max="8971" width="13.85546875" style="206" bestFit="1" customWidth="1"/>
    <col min="8972" max="8972" width="13.5703125" style="206" bestFit="1" customWidth="1"/>
    <col min="8973" max="8973" width="14.7109375" style="206" bestFit="1" customWidth="1"/>
    <col min="8974" max="8974" width="11.5703125" style="206" bestFit="1" customWidth="1"/>
    <col min="8975" max="9215" width="9.140625" style="206"/>
    <col min="9216" max="9216" width="4.5703125" style="206" customWidth="1"/>
    <col min="9217" max="9217" width="61.5703125" style="206" bestFit="1" customWidth="1"/>
    <col min="9218" max="9218" width="17.140625" style="206" bestFit="1" customWidth="1"/>
    <col min="9219" max="9219" width="12.85546875" style="206" bestFit="1" customWidth="1"/>
    <col min="9220" max="9220" width="15.85546875" style="206" customWidth="1"/>
    <col min="9221" max="9221" width="12.42578125" style="206" customWidth="1"/>
    <col min="9222" max="9222" width="12.42578125" style="206" bestFit="1" customWidth="1"/>
    <col min="9223" max="9223" width="10.42578125" style="206" bestFit="1" customWidth="1"/>
    <col min="9224" max="9224" width="12.140625" style="206" bestFit="1" customWidth="1"/>
    <col min="9225" max="9225" width="10.42578125" style="206" bestFit="1" customWidth="1"/>
    <col min="9226" max="9227" width="13.85546875" style="206" bestFit="1" customWidth="1"/>
    <col min="9228" max="9228" width="13.5703125" style="206" bestFit="1" customWidth="1"/>
    <col min="9229" max="9229" width="14.7109375" style="206" bestFit="1" customWidth="1"/>
    <col min="9230" max="9230" width="11.5703125" style="206" bestFit="1" customWidth="1"/>
    <col min="9231" max="9471" width="9.140625" style="206"/>
    <col min="9472" max="9472" width="4.5703125" style="206" customWidth="1"/>
    <col min="9473" max="9473" width="61.5703125" style="206" bestFit="1" customWidth="1"/>
    <col min="9474" max="9474" width="17.140625" style="206" bestFit="1" customWidth="1"/>
    <col min="9475" max="9475" width="12.85546875" style="206" bestFit="1" customWidth="1"/>
    <col min="9476" max="9476" width="15.85546875" style="206" customWidth="1"/>
    <col min="9477" max="9477" width="12.42578125" style="206" customWidth="1"/>
    <col min="9478" max="9478" width="12.42578125" style="206" bestFit="1" customWidth="1"/>
    <col min="9479" max="9479" width="10.42578125" style="206" bestFit="1" customWidth="1"/>
    <col min="9480" max="9480" width="12.140625" style="206" bestFit="1" customWidth="1"/>
    <col min="9481" max="9481" width="10.42578125" style="206" bestFit="1" customWidth="1"/>
    <col min="9482" max="9483" width="13.85546875" style="206" bestFit="1" customWidth="1"/>
    <col min="9484" max="9484" width="13.5703125" style="206" bestFit="1" customWidth="1"/>
    <col min="9485" max="9485" width="14.7109375" style="206" bestFit="1" customWidth="1"/>
    <col min="9486" max="9486" width="11.5703125" style="206" bestFit="1" customWidth="1"/>
    <col min="9487" max="9727" width="9.140625" style="206"/>
    <col min="9728" max="9728" width="4.5703125" style="206" customWidth="1"/>
    <col min="9729" max="9729" width="61.5703125" style="206" bestFit="1" customWidth="1"/>
    <col min="9730" max="9730" width="17.140625" style="206" bestFit="1" customWidth="1"/>
    <col min="9731" max="9731" width="12.85546875" style="206" bestFit="1" customWidth="1"/>
    <col min="9732" max="9732" width="15.85546875" style="206" customWidth="1"/>
    <col min="9733" max="9733" width="12.42578125" style="206" customWidth="1"/>
    <col min="9734" max="9734" width="12.42578125" style="206" bestFit="1" customWidth="1"/>
    <col min="9735" max="9735" width="10.42578125" style="206" bestFit="1" customWidth="1"/>
    <col min="9736" max="9736" width="12.140625" style="206" bestFit="1" customWidth="1"/>
    <col min="9737" max="9737" width="10.42578125" style="206" bestFit="1" customWidth="1"/>
    <col min="9738" max="9739" width="13.85546875" style="206" bestFit="1" customWidth="1"/>
    <col min="9740" max="9740" width="13.5703125" style="206" bestFit="1" customWidth="1"/>
    <col min="9741" max="9741" width="14.7109375" style="206" bestFit="1" customWidth="1"/>
    <col min="9742" max="9742" width="11.5703125" style="206" bestFit="1" customWidth="1"/>
    <col min="9743" max="9983" width="9.140625" style="206"/>
    <col min="9984" max="9984" width="4.5703125" style="206" customWidth="1"/>
    <col min="9985" max="9985" width="61.5703125" style="206" bestFit="1" customWidth="1"/>
    <col min="9986" max="9986" width="17.140625" style="206" bestFit="1" customWidth="1"/>
    <col min="9987" max="9987" width="12.85546875" style="206" bestFit="1" customWidth="1"/>
    <col min="9988" max="9988" width="15.85546875" style="206" customWidth="1"/>
    <col min="9989" max="9989" width="12.42578125" style="206" customWidth="1"/>
    <col min="9990" max="9990" width="12.42578125" style="206" bestFit="1" customWidth="1"/>
    <col min="9991" max="9991" width="10.42578125" style="206" bestFit="1" customWidth="1"/>
    <col min="9992" max="9992" width="12.140625" style="206" bestFit="1" customWidth="1"/>
    <col min="9993" max="9993" width="10.42578125" style="206" bestFit="1" customWidth="1"/>
    <col min="9994" max="9995" width="13.85546875" style="206" bestFit="1" customWidth="1"/>
    <col min="9996" max="9996" width="13.5703125" style="206" bestFit="1" customWidth="1"/>
    <col min="9997" max="9997" width="14.7109375" style="206" bestFit="1" customWidth="1"/>
    <col min="9998" max="9998" width="11.5703125" style="206" bestFit="1" customWidth="1"/>
    <col min="9999" max="10239" width="9.140625" style="206"/>
    <col min="10240" max="10240" width="4.5703125" style="206" customWidth="1"/>
    <col min="10241" max="10241" width="61.5703125" style="206" bestFit="1" customWidth="1"/>
    <col min="10242" max="10242" width="17.140625" style="206" bestFit="1" customWidth="1"/>
    <col min="10243" max="10243" width="12.85546875" style="206" bestFit="1" customWidth="1"/>
    <col min="10244" max="10244" width="15.85546875" style="206" customWidth="1"/>
    <col min="10245" max="10245" width="12.42578125" style="206" customWidth="1"/>
    <col min="10246" max="10246" width="12.42578125" style="206" bestFit="1" customWidth="1"/>
    <col min="10247" max="10247" width="10.42578125" style="206" bestFit="1" customWidth="1"/>
    <col min="10248" max="10248" width="12.140625" style="206" bestFit="1" customWidth="1"/>
    <col min="10249" max="10249" width="10.42578125" style="206" bestFit="1" customWidth="1"/>
    <col min="10250" max="10251" width="13.85546875" style="206" bestFit="1" customWidth="1"/>
    <col min="10252" max="10252" width="13.5703125" style="206" bestFit="1" customWidth="1"/>
    <col min="10253" max="10253" width="14.7109375" style="206" bestFit="1" customWidth="1"/>
    <col min="10254" max="10254" width="11.5703125" style="206" bestFit="1" customWidth="1"/>
    <col min="10255" max="10495" width="9.140625" style="206"/>
    <col min="10496" max="10496" width="4.5703125" style="206" customWidth="1"/>
    <col min="10497" max="10497" width="61.5703125" style="206" bestFit="1" customWidth="1"/>
    <col min="10498" max="10498" width="17.140625" style="206" bestFit="1" customWidth="1"/>
    <col min="10499" max="10499" width="12.85546875" style="206" bestFit="1" customWidth="1"/>
    <col min="10500" max="10500" width="15.85546875" style="206" customWidth="1"/>
    <col min="10501" max="10501" width="12.42578125" style="206" customWidth="1"/>
    <col min="10502" max="10502" width="12.42578125" style="206" bestFit="1" customWidth="1"/>
    <col min="10503" max="10503" width="10.42578125" style="206" bestFit="1" customWidth="1"/>
    <col min="10504" max="10504" width="12.140625" style="206" bestFit="1" customWidth="1"/>
    <col min="10505" max="10505" width="10.42578125" style="206" bestFit="1" customWidth="1"/>
    <col min="10506" max="10507" width="13.85546875" style="206" bestFit="1" customWidth="1"/>
    <col min="10508" max="10508" width="13.5703125" style="206" bestFit="1" customWidth="1"/>
    <col min="10509" max="10509" width="14.7109375" style="206" bestFit="1" customWidth="1"/>
    <col min="10510" max="10510" width="11.5703125" style="206" bestFit="1" customWidth="1"/>
    <col min="10511" max="10751" width="9.140625" style="206"/>
    <col min="10752" max="10752" width="4.5703125" style="206" customWidth="1"/>
    <col min="10753" max="10753" width="61.5703125" style="206" bestFit="1" customWidth="1"/>
    <col min="10754" max="10754" width="17.140625" style="206" bestFit="1" customWidth="1"/>
    <col min="10755" max="10755" width="12.85546875" style="206" bestFit="1" customWidth="1"/>
    <col min="10756" max="10756" width="15.85546875" style="206" customWidth="1"/>
    <col min="10757" max="10757" width="12.42578125" style="206" customWidth="1"/>
    <col min="10758" max="10758" width="12.42578125" style="206" bestFit="1" customWidth="1"/>
    <col min="10759" max="10759" width="10.42578125" style="206" bestFit="1" customWidth="1"/>
    <col min="10760" max="10760" width="12.140625" style="206" bestFit="1" customWidth="1"/>
    <col min="10761" max="10761" width="10.42578125" style="206" bestFit="1" customWidth="1"/>
    <col min="10762" max="10763" width="13.85546875" style="206" bestFit="1" customWidth="1"/>
    <col min="10764" max="10764" width="13.5703125" style="206" bestFit="1" customWidth="1"/>
    <col min="10765" max="10765" width="14.7109375" style="206" bestFit="1" customWidth="1"/>
    <col min="10766" max="10766" width="11.5703125" style="206" bestFit="1" customWidth="1"/>
    <col min="10767" max="11007" width="9.140625" style="206"/>
    <col min="11008" max="11008" width="4.5703125" style="206" customWidth="1"/>
    <col min="11009" max="11009" width="61.5703125" style="206" bestFit="1" customWidth="1"/>
    <col min="11010" max="11010" width="17.140625" style="206" bestFit="1" customWidth="1"/>
    <col min="11011" max="11011" width="12.85546875" style="206" bestFit="1" customWidth="1"/>
    <col min="11012" max="11012" width="15.85546875" style="206" customWidth="1"/>
    <col min="11013" max="11013" width="12.42578125" style="206" customWidth="1"/>
    <col min="11014" max="11014" width="12.42578125" style="206" bestFit="1" customWidth="1"/>
    <col min="11015" max="11015" width="10.42578125" style="206" bestFit="1" customWidth="1"/>
    <col min="11016" max="11016" width="12.140625" style="206" bestFit="1" customWidth="1"/>
    <col min="11017" max="11017" width="10.42578125" style="206" bestFit="1" customWidth="1"/>
    <col min="11018" max="11019" width="13.85546875" style="206" bestFit="1" customWidth="1"/>
    <col min="11020" max="11020" width="13.5703125" style="206" bestFit="1" customWidth="1"/>
    <col min="11021" max="11021" width="14.7109375" style="206" bestFit="1" customWidth="1"/>
    <col min="11022" max="11022" width="11.5703125" style="206" bestFit="1" customWidth="1"/>
    <col min="11023" max="11263" width="9.140625" style="206"/>
    <col min="11264" max="11264" width="4.5703125" style="206" customWidth="1"/>
    <col min="11265" max="11265" width="61.5703125" style="206" bestFit="1" customWidth="1"/>
    <col min="11266" max="11266" width="17.140625" style="206" bestFit="1" customWidth="1"/>
    <col min="11267" max="11267" width="12.85546875" style="206" bestFit="1" customWidth="1"/>
    <col min="11268" max="11268" width="15.85546875" style="206" customWidth="1"/>
    <col min="11269" max="11269" width="12.42578125" style="206" customWidth="1"/>
    <col min="11270" max="11270" width="12.42578125" style="206" bestFit="1" customWidth="1"/>
    <col min="11271" max="11271" width="10.42578125" style="206" bestFit="1" customWidth="1"/>
    <col min="11272" max="11272" width="12.140625" style="206" bestFit="1" customWidth="1"/>
    <col min="11273" max="11273" width="10.42578125" style="206" bestFit="1" customWidth="1"/>
    <col min="11274" max="11275" width="13.85546875" style="206" bestFit="1" customWidth="1"/>
    <col min="11276" max="11276" width="13.5703125" style="206" bestFit="1" customWidth="1"/>
    <col min="11277" max="11277" width="14.7109375" style="206" bestFit="1" customWidth="1"/>
    <col min="11278" max="11278" width="11.5703125" style="206" bestFit="1" customWidth="1"/>
    <col min="11279" max="11519" width="9.140625" style="206"/>
    <col min="11520" max="11520" width="4.5703125" style="206" customWidth="1"/>
    <col min="11521" max="11521" width="61.5703125" style="206" bestFit="1" customWidth="1"/>
    <col min="11522" max="11522" width="17.140625" style="206" bestFit="1" customWidth="1"/>
    <col min="11523" max="11523" width="12.85546875" style="206" bestFit="1" customWidth="1"/>
    <col min="11524" max="11524" width="15.85546875" style="206" customWidth="1"/>
    <col min="11525" max="11525" width="12.42578125" style="206" customWidth="1"/>
    <col min="11526" max="11526" width="12.42578125" style="206" bestFit="1" customWidth="1"/>
    <col min="11527" max="11527" width="10.42578125" style="206" bestFit="1" customWidth="1"/>
    <col min="11528" max="11528" width="12.140625" style="206" bestFit="1" customWidth="1"/>
    <col min="11529" max="11529" width="10.42578125" style="206" bestFit="1" customWidth="1"/>
    <col min="11530" max="11531" width="13.85546875" style="206" bestFit="1" customWidth="1"/>
    <col min="11532" max="11532" width="13.5703125" style="206" bestFit="1" customWidth="1"/>
    <col min="11533" max="11533" width="14.7109375" style="206" bestFit="1" customWidth="1"/>
    <col min="11534" max="11534" width="11.5703125" style="206" bestFit="1" customWidth="1"/>
    <col min="11535" max="11775" width="9.140625" style="206"/>
    <col min="11776" max="11776" width="4.5703125" style="206" customWidth="1"/>
    <col min="11777" max="11777" width="61.5703125" style="206" bestFit="1" customWidth="1"/>
    <col min="11778" max="11778" width="17.140625" style="206" bestFit="1" customWidth="1"/>
    <col min="11779" max="11779" width="12.85546875" style="206" bestFit="1" customWidth="1"/>
    <col min="11780" max="11780" width="15.85546875" style="206" customWidth="1"/>
    <col min="11781" max="11781" width="12.42578125" style="206" customWidth="1"/>
    <col min="11782" max="11782" width="12.42578125" style="206" bestFit="1" customWidth="1"/>
    <col min="11783" max="11783" width="10.42578125" style="206" bestFit="1" customWidth="1"/>
    <col min="11784" max="11784" width="12.140625" style="206" bestFit="1" customWidth="1"/>
    <col min="11785" max="11785" width="10.42578125" style="206" bestFit="1" customWidth="1"/>
    <col min="11786" max="11787" width="13.85546875" style="206" bestFit="1" customWidth="1"/>
    <col min="11788" max="11788" width="13.5703125" style="206" bestFit="1" customWidth="1"/>
    <col min="11789" max="11789" width="14.7109375" style="206" bestFit="1" customWidth="1"/>
    <col min="11790" max="11790" width="11.5703125" style="206" bestFit="1" customWidth="1"/>
    <col min="11791" max="12031" width="9.140625" style="206"/>
    <col min="12032" max="12032" width="4.5703125" style="206" customWidth="1"/>
    <col min="12033" max="12033" width="61.5703125" style="206" bestFit="1" customWidth="1"/>
    <col min="12034" max="12034" width="17.140625" style="206" bestFit="1" customWidth="1"/>
    <col min="12035" max="12035" width="12.85546875" style="206" bestFit="1" customWidth="1"/>
    <col min="12036" max="12036" width="15.85546875" style="206" customWidth="1"/>
    <col min="12037" max="12037" width="12.42578125" style="206" customWidth="1"/>
    <col min="12038" max="12038" width="12.42578125" style="206" bestFit="1" customWidth="1"/>
    <col min="12039" max="12039" width="10.42578125" style="206" bestFit="1" customWidth="1"/>
    <col min="12040" max="12040" width="12.140625" style="206" bestFit="1" customWidth="1"/>
    <col min="12041" max="12041" width="10.42578125" style="206" bestFit="1" customWidth="1"/>
    <col min="12042" max="12043" width="13.85546875" style="206" bestFit="1" customWidth="1"/>
    <col min="12044" max="12044" width="13.5703125" style="206" bestFit="1" customWidth="1"/>
    <col min="12045" max="12045" width="14.7109375" style="206" bestFit="1" customWidth="1"/>
    <col min="12046" max="12046" width="11.5703125" style="206" bestFit="1" customWidth="1"/>
    <col min="12047" max="12287" width="9.140625" style="206"/>
    <col min="12288" max="12288" width="4.5703125" style="206" customWidth="1"/>
    <col min="12289" max="12289" width="61.5703125" style="206" bestFit="1" customWidth="1"/>
    <col min="12290" max="12290" width="17.140625" style="206" bestFit="1" customWidth="1"/>
    <col min="12291" max="12291" width="12.85546875" style="206" bestFit="1" customWidth="1"/>
    <col min="12292" max="12292" width="15.85546875" style="206" customWidth="1"/>
    <col min="12293" max="12293" width="12.42578125" style="206" customWidth="1"/>
    <col min="12294" max="12294" width="12.42578125" style="206" bestFit="1" customWidth="1"/>
    <col min="12295" max="12295" width="10.42578125" style="206" bestFit="1" customWidth="1"/>
    <col min="12296" max="12296" width="12.140625" style="206" bestFit="1" customWidth="1"/>
    <col min="12297" max="12297" width="10.42578125" style="206" bestFit="1" customWidth="1"/>
    <col min="12298" max="12299" width="13.85546875" style="206" bestFit="1" customWidth="1"/>
    <col min="12300" max="12300" width="13.5703125" style="206" bestFit="1" customWidth="1"/>
    <col min="12301" max="12301" width="14.7109375" style="206" bestFit="1" customWidth="1"/>
    <col min="12302" max="12302" width="11.5703125" style="206" bestFit="1" customWidth="1"/>
    <col min="12303" max="12543" width="9.140625" style="206"/>
    <col min="12544" max="12544" width="4.5703125" style="206" customWidth="1"/>
    <col min="12545" max="12545" width="61.5703125" style="206" bestFit="1" customWidth="1"/>
    <col min="12546" max="12546" width="17.140625" style="206" bestFit="1" customWidth="1"/>
    <col min="12547" max="12547" width="12.85546875" style="206" bestFit="1" customWidth="1"/>
    <col min="12548" max="12548" width="15.85546875" style="206" customWidth="1"/>
    <col min="12549" max="12549" width="12.42578125" style="206" customWidth="1"/>
    <col min="12550" max="12550" width="12.42578125" style="206" bestFit="1" customWidth="1"/>
    <col min="12551" max="12551" width="10.42578125" style="206" bestFit="1" customWidth="1"/>
    <col min="12552" max="12552" width="12.140625" style="206" bestFit="1" customWidth="1"/>
    <col min="12553" max="12553" width="10.42578125" style="206" bestFit="1" customWidth="1"/>
    <col min="12554" max="12555" width="13.85546875" style="206" bestFit="1" customWidth="1"/>
    <col min="12556" max="12556" width="13.5703125" style="206" bestFit="1" customWidth="1"/>
    <col min="12557" max="12557" width="14.7109375" style="206" bestFit="1" customWidth="1"/>
    <col min="12558" max="12558" width="11.5703125" style="206" bestFit="1" customWidth="1"/>
    <col min="12559" max="12799" width="9.140625" style="206"/>
    <col min="12800" max="12800" width="4.5703125" style="206" customWidth="1"/>
    <col min="12801" max="12801" width="61.5703125" style="206" bestFit="1" customWidth="1"/>
    <col min="12802" max="12802" width="17.140625" style="206" bestFit="1" customWidth="1"/>
    <col min="12803" max="12803" width="12.85546875" style="206" bestFit="1" customWidth="1"/>
    <col min="12804" max="12804" width="15.85546875" style="206" customWidth="1"/>
    <col min="12805" max="12805" width="12.42578125" style="206" customWidth="1"/>
    <col min="12806" max="12806" width="12.42578125" style="206" bestFit="1" customWidth="1"/>
    <col min="12807" max="12807" width="10.42578125" style="206" bestFit="1" customWidth="1"/>
    <col min="12808" max="12808" width="12.140625" style="206" bestFit="1" customWidth="1"/>
    <col min="12809" max="12809" width="10.42578125" style="206" bestFit="1" customWidth="1"/>
    <col min="12810" max="12811" width="13.85546875" style="206" bestFit="1" customWidth="1"/>
    <col min="12812" max="12812" width="13.5703125" style="206" bestFit="1" customWidth="1"/>
    <col min="12813" max="12813" width="14.7109375" style="206" bestFit="1" customWidth="1"/>
    <col min="12814" max="12814" width="11.5703125" style="206" bestFit="1" customWidth="1"/>
    <col min="12815" max="13055" width="9.140625" style="206"/>
    <col min="13056" max="13056" width="4.5703125" style="206" customWidth="1"/>
    <col min="13057" max="13057" width="61.5703125" style="206" bestFit="1" customWidth="1"/>
    <col min="13058" max="13058" width="17.140625" style="206" bestFit="1" customWidth="1"/>
    <col min="13059" max="13059" width="12.85546875" style="206" bestFit="1" customWidth="1"/>
    <col min="13060" max="13060" width="15.85546875" style="206" customWidth="1"/>
    <col min="13061" max="13061" width="12.42578125" style="206" customWidth="1"/>
    <col min="13062" max="13062" width="12.42578125" style="206" bestFit="1" customWidth="1"/>
    <col min="13063" max="13063" width="10.42578125" style="206" bestFit="1" customWidth="1"/>
    <col min="13064" max="13064" width="12.140625" style="206" bestFit="1" customWidth="1"/>
    <col min="13065" max="13065" width="10.42578125" style="206" bestFit="1" customWidth="1"/>
    <col min="13066" max="13067" width="13.85546875" style="206" bestFit="1" customWidth="1"/>
    <col min="13068" max="13068" width="13.5703125" style="206" bestFit="1" customWidth="1"/>
    <col min="13069" max="13069" width="14.7109375" style="206" bestFit="1" customWidth="1"/>
    <col min="13070" max="13070" width="11.5703125" style="206" bestFit="1" customWidth="1"/>
    <col min="13071" max="13311" width="9.140625" style="206"/>
    <col min="13312" max="13312" width="4.5703125" style="206" customWidth="1"/>
    <col min="13313" max="13313" width="61.5703125" style="206" bestFit="1" customWidth="1"/>
    <col min="13314" max="13314" width="17.140625" style="206" bestFit="1" customWidth="1"/>
    <col min="13315" max="13315" width="12.85546875" style="206" bestFit="1" customWidth="1"/>
    <col min="13316" max="13316" width="15.85546875" style="206" customWidth="1"/>
    <col min="13317" max="13317" width="12.42578125" style="206" customWidth="1"/>
    <col min="13318" max="13318" width="12.42578125" style="206" bestFit="1" customWidth="1"/>
    <col min="13319" max="13319" width="10.42578125" style="206" bestFit="1" customWidth="1"/>
    <col min="13320" max="13320" width="12.140625" style="206" bestFit="1" customWidth="1"/>
    <col min="13321" max="13321" width="10.42578125" style="206" bestFit="1" customWidth="1"/>
    <col min="13322" max="13323" width="13.85546875" style="206" bestFit="1" customWidth="1"/>
    <col min="13324" max="13324" width="13.5703125" style="206" bestFit="1" customWidth="1"/>
    <col min="13325" max="13325" width="14.7109375" style="206" bestFit="1" customWidth="1"/>
    <col min="13326" max="13326" width="11.5703125" style="206" bestFit="1" customWidth="1"/>
    <col min="13327" max="13567" width="9.140625" style="206"/>
    <col min="13568" max="13568" width="4.5703125" style="206" customWidth="1"/>
    <col min="13569" max="13569" width="61.5703125" style="206" bestFit="1" customWidth="1"/>
    <col min="13570" max="13570" width="17.140625" style="206" bestFit="1" customWidth="1"/>
    <col min="13571" max="13571" width="12.85546875" style="206" bestFit="1" customWidth="1"/>
    <col min="13572" max="13572" width="15.85546875" style="206" customWidth="1"/>
    <col min="13573" max="13573" width="12.42578125" style="206" customWidth="1"/>
    <col min="13574" max="13574" width="12.42578125" style="206" bestFit="1" customWidth="1"/>
    <col min="13575" max="13575" width="10.42578125" style="206" bestFit="1" customWidth="1"/>
    <col min="13576" max="13576" width="12.140625" style="206" bestFit="1" customWidth="1"/>
    <col min="13577" max="13577" width="10.42578125" style="206" bestFit="1" customWidth="1"/>
    <col min="13578" max="13579" width="13.85546875" style="206" bestFit="1" customWidth="1"/>
    <col min="13580" max="13580" width="13.5703125" style="206" bestFit="1" customWidth="1"/>
    <col min="13581" max="13581" width="14.7109375" style="206" bestFit="1" customWidth="1"/>
    <col min="13582" max="13582" width="11.5703125" style="206" bestFit="1" customWidth="1"/>
    <col min="13583" max="13823" width="9.140625" style="206"/>
    <col min="13824" max="13824" width="4.5703125" style="206" customWidth="1"/>
    <col min="13825" max="13825" width="61.5703125" style="206" bestFit="1" customWidth="1"/>
    <col min="13826" max="13826" width="17.140625" style="206" bestFit="1" customWidth="1"/>
    <col min="13827" max="13827" width="12.85546875" style="206" bestFit="1" customWidth="1"/>
    <col min="13828" max="13828" width="15.85546875" style="206" customWidth="1"/>
    <col min="13829" max="13829" width="12.42578125" style="206" customWidth="1"/>
    <col min="13830" max="13830" width="12.42578125" style="206" bestFit="1" customWidth="1"/>
    <col min="13831" max="13831" width="10.42578125" style="206" bestFit="1" customWidth="1"/>
    <col min="13832" max="13832" width="12.140625" style="206" bestFit="1" customWidth="1"/>
    <col min="13833" max="13833" width="10.42578125" style="206" bestFit="1" customWidth="1"/>
    <col min="13834" max="13835" width="13.85546875" style="206" bestFit="1" customWidth="1"/>
    <col min="13836" max="13836" width="13.5703125" style="206" bestFit="1" customWidth="1"/>
    <col min="13837" max="13837" width="14.7109375" style="206" bestFit="1" customWidth="1"/>
    <col min="13838" max="13838" width="11.5703125" style="206" bestFit="1" customWidth="1"/>
    <col min="13839" max="14079" width="9.140625" style="206"/>
    <col min="14080" max="14080" width="4.5703125" style="206" customWidth="1"/>
    <col min="14081" max="14081" width="61.5703125" style="206" bestFit="1" customWidth="1"/>
    <col min="14082" max="14082" width="17.140625" style="206" bestFit="1" customWidth="1"/>
    <col min="14083" max="14083" width="12.85546875" style="206" bestFit="1" customWidth="1"/>
    <col min="14084" max="14084" width="15.85546875" style="206" customWidth="1"/>
    <col min="14085" max="14085" width="12.42578125" style="206" customWidth="1"/>
    <col min="14086" max="14086" width="12.42578125" style="206" bestFit="1" customWidth="1"/>
    <col min="14087" max="14087" width="10.42578125" style="206" bestFit="1" customWidth="1"/>
    <col min="14088" max="14088" width="12.140625" style="206" bestFit="1" customWidth="1"/>
    <col min="14089" max="14089" width="10.42578125" style="206" bestFit="1" customWidth="1"/>
    <col min="14090" max="14091" width="13.85546875" style="206" bestFit="1" customWidth="1"/>
    <col min="14092" max="14092" width="13.5703125" style="206" bestFit="1" customWidth="1"/>
    <col min="14093" max="14093" width="14.7109375" style="206" bestFit="1" customWidth="1"/>
    <col min="14094" max="14094" width="11.5703125" style="206" bestFit="1" customWidth="1"/>
    <col min="14095" max="14335" width="9.140625" style="206"/>
    <col min="14336" max="14336" width="4.5703125" style="206" customWidth="1"/>
    <col min="14337" max="14337" width="61.5703125" style="206" bestFit="1" customWidth="1"/>
    <col min="14338" max="14338" width="17.140625" style="206" bestFit="1" customWidth="1"/>
    <col min="14339" max="14339" width="12.85546875" style="206" bestFit="1" customWidth="1"/>
    <col min="14340" max="14340" width="15.85546875" style="206" customWidth="1"/>
    <col min="14341" max="14341" width="12.42578125" style="206" customWidth="1"/>
    <col min="14342" max="14342" width="12.42578125" style="206" bestFit="1" customWidth="1"/>
    <col min="14343" max="14343" width="10.42578125" style="206" bestFit="1" customWidth="1"/>
    <col min="14344" max="14344" width="12.140625" style="206" bestFit="1" customWidth="1"/>
    <col min="14345" max="14345" width="10.42578125" style="206" bestFit="1" customWidth="1"/>
    <col min="14346" max="14347" width="13.85546875" style="206" bestFit="1" customWidth="1"/>
    <col min="14348" max="14348" width="13.5703125" style="206" bestFit="1" customWidth="1"/>
    <col min="14349" max="14349" width="14.7109375" style="206" bestFit="1" customWidth="1"/>
    <col min="14350" max="14350" width="11.5703125" style="206" bestFit="1" customWidth="1"/>
    <col min="14351" max="14591" width="9.140625" style="206"/>
    <col min="14592" max="14592" width="4.5703125" style="206" customWidth="1"/>
    <col min="14593" max="14593" width="61.5703125" style="206" bestFit="1" customWidth="1"/>
    <col min="14594" max="14594" width="17.140625" style="206" bestFit="1" customWidth="1"/>
    <col min="14595" max="14595" width="12.85546875" style="206" bestFit="1" customWidth="1"/>
    <col min="14596" max="14596" width="15.85546875" style="206" customWidth="1"/>
    <col min="14597" max="14597" width="12.42578125" style="206" customWidth="1"/>
    <col min="14598" max="14598" width="12.42578125" style="206" bestFit="1" customWidth="1"/>
    <col min="14599" max="14599" width="10.42578125" style="206" bestFit="1" customWidth="1"/>
    <col min="14600" max="14600" width="12.140625" style="206" bestFit="1" customWidth="1"/>
    <col min="14601" max="14601" width="10.42578125" style="206" bestFit="1" customWidth="1"/>
    <col min="14602" max="14603" width="13.85546875" style="206" bestFit="1" customWidth="1"/>
    <col min="14604" max="14604" width="13.5703125" style="206" bestFit="1" customWidth="1"/>
    <col min="14605" max="14605" width="14.7109375" style="206" bestFit="1" customWidth="1"/>
    <col min="14606" max="14606" width="11.5703125" style="206" bestFit="1" customWidth="1"/>
    <col min="14607" max="14847" width="9.140625" style="206"/>
    <col min="14848" max="14848" width="4.5703125" style="206" customWidth="1"/>
    <col min="14849" max="14849" width="61.5703125" style="206" bestFit="1" customWidth="1"/>
    <col min="14850" max="14850" width="17.140625" style="206" bestFit="1" customWidth="1"/>
    <col min="14851" max="14851" width="12.85546875" style="206" bestFit="1" customWidth="1"/>
    <col min="14852" max="14852" width="15.85546875" style="206" customWidth="1"/>
    <col min="14853" max="14853" width="12.42578125" style="206" customWidth="1"/>
    <col min="14854" max="14854" width="12.42578125" style="206" bestFit="1" customWidth="1"/>
    <col min="14855" max="14855" width="10.42578125" style="206" bestFit="1" customWidth="1"/>
    <col min="14856" max="14856" width="12.140625" style="206" bestFit="1" customWidth="1"/>
    <col min="14857" max="14857" width="10.42578125" style="206" bestFit="1" customWidth="1"/>
    <col min="14858" max="14859" width="13.85546875" style="206" bestFit="1" customWidth="1"/>
    <col min="14860" max="14860" width="13.5703125" style="206" bestFit="1" customWidth="1"/>
    <col min="14861" max="14861" width="14.7109375" style="206" bestFit="1" customWidth="1"/>
    <col min="14862" max="14862" width="11.5703125" style="206" bestFit="1" customWidth="1"/>
    <col min="14863" max="15103" width="9.140625" style="206"/>
    <col min="15104" max="15104" width="4.5703125" style="206" customWidth="1"/>
    <col min="15105" max="15105" width="61.5703125" style="206" bestFit="1" customWidth="1"/>
    <col min="15106" max="15106" width="17.140625" style="206" bestFit="1" customWidth="1"/>
    <col min="15107" max="15107" width="12.85546875" style="206" bestFit="1" customWidth="1"/>
    <col min="15108" max="15108" width="15.85546875" style="206" customWidth="1"/>
    <col min="15109" max="15109" width="12.42578125" style="206" customWidth="1"/>
    <col min="15110" max="15110" width="12.42578125" style="206" bestFit="1" customWidth="1"/>
    <col min="15111" max="15111" width="10.42578125" style="206" bestFit="1" customWidth="1"/>
    <col min="15112" max="15112" width="12.140625" style="206" bestFit="1" customWidth="1"/>
    <col min="15113" max="15113" width="10.42578125" style="206" bestFit="1" customWidth="1"/>
    <col min="15114" max="15115" width="13.85546875" style="206" bestFit="1" customWidth="1"/>
    <col min="15116" max="15116" width="13.5703125" style="206" bestFit="1" customWidth="1"/>
    <col min="15117" max="15117" width="14.7109375" style="206" bestFit="1" customWidth="1"/>
    <col min="15118" max="15118" width="11.5703125" style="206" bestFit="1" customWidth="1"/>
    <col min="15119" max="15359" width="9.140625" style="206"/>
    <col min="15360" max="15360" width="4.5703125" style="206" customWidth="1"/>
    <col min="15361" max="15361" width="61.5703125" style="206" bestFit="1" customWidth="1"/>
    <col min="15362" max="15362" width="17.140625" style="206" bestFit="1" customWidth="1"/>
    <col min="15363" max="15363" width="12.85546875" style="206" bestFit="1" customWidth="1"/>
    <col min="15364" max="15364" width="15.85546875" style="206" customWidth="1"/>
    <col min="15365" max="15365" width="12.42578125" style="206" customWidth="1"/>
    <col min="15366" max="15366" width="12.42578125" style="206" bestFit="1" customWidth="1"/>
    <col min="15367" max="15367" width="10.42578125" style="206" bestFit="1" customWidth="1"/>
    <col min="15368" max="15368" width="12.140625" style="206" bestFit="1" customWidth="1"/>
    <col min="15369" max="15369" width="10.42578125" style="206" bestFit="1" customWidth="1"/>
    <col min="15370" max="15371" width="13.85546875" style="206" bestFit="1" customWidth="1"/>
    <col min="15372" max="15372" width="13.5703125" style="206" bestFit="1" customWidth="1"/>
    <col min="15373" max="15373" width="14.7109375" style="206" bestFit="1" customWidth="1"/>
    <col min="15374" max="15374" width="11.5703125" style="206" bestFit="1" customWidth="1"/>
    <col min="15375" max="15615" width="9.140625" style="206"/>
    <col min="15616" max="15616" width="4.5703125" style="206" customWidth="1"/>
    <col min="15617" max="15617" width="61.5703125" style="206" bestFit="1" customWidth="1"/>
    <col min="15618" max="15618" width="17.140625" style="206" bestFit="1" customWidth="1"/>
    <col min="15619" max="15619" width="12.85546875" style="206" bestFit="1" customWidth="1"/>
    <col min="15620" max="15620" width="15.85546875" style="206" customWidth="1"/>
    <col min="15621" max="15621" width="12.42578125" style="206" customWidth="1"/>
    <col min="15622" max="15622" width="12.42578125" style="206" bestFit="1" customWidth="1"/>
    <col min="15623" max="15623" width="10.42578125" style="206" bestFit="1" customWidth="1"/>
    <col min="15624" max="15624" width="12.140625" style="206" bestFit="1" customWidth="1"/>
    <col min="15625" max="15625" width="10.42578125" style="206" bestFit="1" customWidth="1"/>
    <col min="15626" max="15627" width="13.85546875" style="206" bestFit="1" customWidth="1"/>
    <col min="15628" max="15628" width="13.5703125" style="206" bestFit="1" customWidth="1"/>
    <col min="15629" max="15629" width="14.7109375" style="206" bestFit="1" customWidth="1"/>
    <col min="15630" max="15630" width="11.5703125" style="206" bestFit="1" customWidth="1"/>
    <col min="15631" max="15871" width="9.140625" style="206"/>
    <col min="15872" max="15872" width="4.5703125" style="206" customWidth="1"/>
    <col min="15873" max="15873" width="61.5703125" style="206" bestFit="1" customWidth="1"/>
    <col min="15874" max="15874" width="17.140625" style="206" bestFit="1" customWidth="1"/>
    <col min="15875" max="15875" width="12.85546875" style="206" bestFit="1" customWidth="1"/>
    <col min="15876" max="15876" width="15.85546875" style="206" customWidth="1"/>
    <col min="15877" max="15877" width="12.42578125" style="206" customWidth="1"/>
    <col min="15878" max="15878" width="12.42578125" style="206" bestFit="1" customWidth="1"/>
    <col min="15879" max="15879" width="10.42578125" style="206" bestFit="1" customWidth="1"/>
    <col min="15880" max="15880" width="12.140625" style="206" bestFit="1" customWidth="1"/>
    <col min="15881" max="15881" width="10.42578125" style="206" bestFit="1" customWidth="1"/>
    <col min="15882" max="15883" width="13.85546875" style="206" bestFit="1" customWidth="1"/>
    <col min="15884" max="15884" width="13.5703125" style="206" bestFit="1" customWidth="1"/>
    <col min="15885" max="15885" width="14.7109375" style="206" bestFit="1" customWidth="1"/>
    <col min="15886" max="15886" width="11.5703125" style="206" bestFit="1" customWidth="1"/>
    <col min="15887" max="16127" width="9.140625" style="206"/>
    <col min="16128" max="16128" width="4.5703125" style="206" customWidth="1"/>
    <col min="16129" max="16129" width="61.5703125" style="206" bestFit="1" customWidth="1"/>
    <col min="16130" max="16130" width="17.140625" style="206" bestFit="1" customWidth="1"/>
    <col min="16131" max="16131" width="12.85546875" style="206" bestFit="1" customWidth="1"/>
    <col min="16132" max="16132" width="15.85546875" style="206" customWidth="1"/>
    <col min="16133" max="16133" width="12.42578125" style="206" customWidth="1"/>
    <col min="16134" max="16134" width="12.42578125" style="206" bestFit="1" customWidth="1"/>
    <col min="16135" max="16135" width="10.42578125" style="206" bestFit="1" customWidth="1"/>
    <col min="16136" max="16136" width="12.140625" style="206" bestFit="1" customWidth="1"/>
    <col min="16137" max="16137" width="10.42578125" style="206" bestFit="1" customWidth="1"/>
    <col min="16138" max="16139" width="13.85546875" style="206" bestFit="1" customWidth="1"/>
    <col min="16140" max="16140" width="13.5703125" style="206" bestFit="1" customWidth="1"/>
    <col min="16141" max="16141" width="14.7109375" style="206" bestFit="1" customWidth="1"/>
    <col min="16142" max="16142" width="11.5703125" style="206" bestFit="1" customWidth="1"/>
    <col min="16143" max="16384" width="9.140625" style="206"/>
  </cols>
  <sheetData>
    <row r="2" spans="1:29" x14ac:dyDescent="0.25">
      <c r="K2" s="313"/>
    </row>
    <row r="3" spans="1:29" ht="18.75" x14ac:dyDescent="0.3">
      <c r="A3" s="1417" t="s">
        <v>875</v>
      </c>
      <c r="B3" s="1417"/>
      <c r="C3" s="1417"/>
      <c r="D3" s="1417"/>
      <c r="E3" s="1417"/>
      <c r="F3" s="1417"/>
      <c r="G3" s="1417"/>
      <c r="H3" s="1417"/>
      <c r="I3" s="1417"/>
      <c r="J3" s="1417"/>
      <c r="K3" s="313"/>
      <c r="L3" s="313"/>
      <c r="M3" s="313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</row>
    <row r="4" spans="1:29" ht="18.75" x14ac:dyDescent="0.3">
      <c r="A4" s="1417" t="s">
        <v>351</v>
      </c>
      <c r="B4" s="1417"/>
      <c r="C4" s="1417"/>
      <c r="D4" s="1417"/>
      <c r="E4" s="1417"/>
      <c r="F4" s="1417"/>
      <c r="G4" s="1417"/>
      <c r="H4" s="1417"/>
      <c r="I4" s="1417"/>
      <c r="J4" s="1417"/>
      <c r="K4" s="311"/>
      <c r="L4" s="313"/>
      <c r="M4" s="313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</row>
    <row r="5" spans="1:29" ht="18.75" x14ac:dyDescent="0.3">
      <c r="A5" s="311" t="s">
        <v>350</v>
      </c>
      <c r="B5" s="311"/>
      <c r="C5" s="311"/>
      <c r="D5" s="311"/>
      <c r="E5" s="311"/>
      <c r="F5" s="311"/>
      <c r="G5" s="311"/>
      <c r="H5" s="311"/>
      <c r="I5" s="311"/>
      <c r="J5" s="311"/>
      <c r="K5" s="1418" t="s">
        <v>349</v>
      </c>
      <c r="L5" s="1418"/>
      <c r="M5" s="1418"/>
    </row>
    <row r="6" spans="1:29" ht="18.75" x14ac:dyDescent="0.2">
      <c r="A6" s="311"/>
      <c r="B6" s="308"/>
      <c r="C6" s="308"/>
      <c r="D6" s="308"/>
      <c r="E6" s="310"/>
      <c r="F6" s="308"/>
      <c r="G6" s="308"/>
      <c r="H6" s="309"/>
      <c r="I6" s="309"/>
      <c r="J6" s="308"/>
      <c r="K6" s="308"/>
      <c r="L6" s="1419" t="s">
        <v>277</v>
      </c>
      <c r="M6" s="1419"/>
    </row>
    <row r="7" spans="1:29" ht="16.5" thickBot="1" x14ac:dyDescent="0.3">
      <c r="L7" s="1420"/>
      <c r="M7" s="1420"/>
    </row>
    <row r="8" spans="1:29" ht="37.5" customHeight="1" x14ac:dyDescent="0.2">
      <c r="A8" s="1423" t="s">
        <v>348</v>
      </c>
      <c r="B8" s="1425" t="s">
        <v>347</v>
      </c>
      <c r="C8" s="1427" t="s">
        <v>346</v>
      </c>
      <c r="D8" s="1434" t="s">
        <v>345</v>
      </c>
      <c r="E8" s="1432" t="s">
        <v>344</v>
      </c>
      <c r="F8" s="1429" t="s">
        <v>225</v>
      </c>
      <c r="G8" s="1436" t="s">
        <v>343</v>
      </c>
      <c r="H8" s="1431" t="s">
        <v>342</v>
      </c>
      <c r="I8" s="1431"/>
      <c r="J8" s="1438" t="s">
        <v>341</v>
      </c>
      <c r="K8" s="1439"/>
      <c r="L8" s="1429" t="s">
        <v>340</v>
      </c>
      <c r="M8" s="1421" t="s">
        <v>339</v>
      </c>
    </row>
    <row r="9" spans="1:29" ht="37.5" x14ac:dyDescent="0.2">
      <c r="A9" s="1424"/>
      <c r="B9" s="1426"/>
      <c r="C9" s="1428"/>
      <c r="D9" s="1435"/>
      <c r="E9" s="1433"/>
      <c r="F9" s="1430"/>
      <c r="G9" s="1437"/>
      <c r="H9" s="307" t="s">
        <v>337</v>
      </c>
      <c r="I9" s="307" t="s">
        <v>338</v>
      </c>
      <c r="J9" s="306" t="s">
        <v>337</v>
      </c>
      <c r="K9" s="306" t="s">
        <v>336</v>
      </c>
      <c r="L9" s="1430"/>
      <c r="M9" s="1422"/>
    </row>
    <row r="10" spans="1:29" x14ac:dyDescent="0.25">
      <c r="A10" s="305"/>
      <c r="B10" s="304"/>
      <c r="C10" s="303"/>
      <c r="D10" s="302"/>
      <c r="E10" s="301"/>
      <c r="F10" s="299"/>
      <c r="G10" s="299"/>
      <c r="H10" s="300"/>
      <c r="I10" s="300"/>
      <c r="J10" s="299"/>
      <c r="K10" s="299"/>
      <c r="L10" s="299"/>
      <c r="M10" s="298"/>
    </row>
    <row r="11" spans="1:29" ht="23.25" customHeight="1" x14ac:dyDescent="0.2">
      <c r="A11" s="251" t="s">
        <v>335</v>
      </c>
      <c r="B11" s="240"/>
      <c r="C11" s="250"/>
      <c r="D11" s="238"/>
      <c r="E11" s="223"/>
      <c r="F11" s="236"/>
      <c r="G11" s="236"/>
      <c r="H11" s="237"/>
      <c r="I11" s="237"/>
      <c r="J11" s="236"/>
      <c r="K11" s="236"/>
      <c r="L11" s="236"/>
      <c r="M11" s="235"/>
    </row>
    <row r="12" spans="1:29" s="278" customFormat="1" ht="18.75" x14ac:dyDescent="0.3">
      <c r="A12" s="283" t="s">
        <v>334</v>
      </c>
      <c r="B12" s="262"/>
      <c r="C12" s="282"/>
      <c r="D12" s="297"/>
      <c r="E12" s="223"/>
      <c r="F12" s="280"/>
      <c r="G12" s="280"/>
      <c r="H12" s="281"/>
      <c r="I12" s="281"/>
      <c r="J12" s="280"/>
      <c r="K12" s="280"/>
      <c r="L12" s="280"/>
      <c r="M12" s="279"/>
    </row>
    <row r="13" spans="1:29" ht="16.5" x14ac:dyDescent="0.25">
      <c r="A13" s="275"/>
      <c r="B13" s="296"/>
      <c r="C13" s="225"/>
      <c r="D13" s="295"/>
      <c r="E13" s="223"/>
      <c r="F13" s="293"/>
      <c r="G13" s="293"/>
      <c r="H13" s="294"/>
      <c r="I13" s="294"/>
      <c r="J13" s="293"/>
      <c r="K13" s="293"/>
      <c r="L13" s="293"/>
      <c r="M13" s="292"/>
    </row>
    <row r="14" spans="1:29" ht="31.5" customHeight="1" x14ac:dyDescent="0.25">
      <c r="A14" s="275" t="s">
        <v>333</v>
      </c>
      <c r="B14" s="290">
        <f>SUM('[2]1011.Városüzemelt.O'!$O$20+'[2]1011.Városüzemelt.O'!$O$31+'[2]1011.Városüzemelt.O'!$O$45+'[2]1011.Városüzemelt.O'!$O$67+'[2]1011.Városüzemelt.O'!$O$109+'[2]1011.Városüzemelt.O'!$O$117+'[2]1011.Városüzemelt.O'!$O$126+'[2]1011.Városüzemelt.O'!$O$134)</f>
        <v>2161977</v>
      </c>
      <c r="C14" s="288">
        <f t="shared" ref="C14:C28" si="0">B14</f>
        <v>2161977</v>
      </c>
      <c r="D14" s="238">
        <f t="shared" ref="D14:D28" si="1">C14-E14</f>
        <v>0</v>
      </c>
      <c r="E14" s="223">
        <f t="shared" ref="E14:E28" si="2">SUM(F14:M14)</f>
        <v>2161977</v>
      </c>
      <c r="F14" s="236">
        <v>364804</v>
      </c>
      <c r="G14" s="236">
        <v>179389</v>
      </c>
      <c r="H14" s="237">
        <v>359570</v>
      </c>
      <c r="I14" s="237"/>
      <c r="J14" s="236"/>
      <c r="K14" s="236"/>
      <c r="L14" s="236">
        <f>835759+61516-390604</f>
        <v>506671</v>
      </c>
      <c r="M14" s="235">
        <f>787259-35716</f>
        <v>751543</v>
      </c>
    </row>
    <row r="15" spans="1:29" ht="31.5" customHeight="1" x14ac:dyDescent="0.25">
      <c r="A15" s="275" t="s">
        <v>332</v>
      </c>
      <c r="B15" s="290">
        <f>SUM('[2]1011.Városüzemelt.O'!$O$118)</f>
        <v>40000</v>
      </c>
      <c r="C15" s="288">
        <f t="shared" si="0"/>
        <v>40000</v>
      </c>
      <c r="D15" s="238">
        <f t="shared" si="1"/>
        <v>0</v>
      </c>
      <c r="E15" s="223">
        <f t="shared" si="2"/>
        <v>40000</v>
      </c>
      <c r="F15" s="236"/>
      <c r="G15" s="236"/>
      <c r="H15" s="237"/>
      <c r="I15" s="237"/>
      <c r="J15" s="236"/>
      <c r="K15" s="236"/>
      <c r="L15" s="236"/>
      <c r="M15" s="235">
        <v>40000</v>
      </c>
    </row>
    <row r="16" spans="1:29" ht="31.5" customHeight="1" x14ac:dyDescent="0.25">
      <c r="A16" s="275" t="s">
        <v>331</v>
      </c>
      <c r="B16" s="290">
        <f>SUM('[2]1011.Városüzemelt.O'!$O$46)</f>
        <v>8000</v>
      </c>
      <c r="C16" s="288">
        <f t="shared" si="0"/>
        <v>8000</v>
      </c>
      <c r="D16" s="238">
        <f t="shared" si="1"/>
        <v>0</v>
      </c>
      <c r="E16" s="223">
        <f t="shared" si="2"/>
        <v>8000</v>
      </c>
      <c r="F16" s="236">
        <v>8000</v>
      </c>
      <c r="G16" s="236"/>
      <c r="H16" s="237"/>
      <c r="I16" s="237"/>
      <c r="J16" s="236"/>
      <c r="K16" s="236"/>
      <c r="L16" s="236"/>
      <c r="M16" s="235"/>
    </row>
    <row r="17" spans="1:13" ht="31.5" customHeight="1" x14ac:dyDescent="0.25">
      <c r="A17" s="275" t="s">
        <v>330</v>
      </c>
      <c r="B17" s="290">
        <f>SUM('[2]1018.Főépítész'!$O$22+'[2]1018.Főépítész'!$O$35+'[2]1023.Vagyongazd.O.'!$O$13)</f>
        <v>43546</v>
      </c>
      <c r="C17" s="288">
        <f t="shared" si="0"/>
        <v>43546</v>
      </c>
      <c r="D17" s="238">
        <f t="shared" si="1"/>
        <v>0</v>
      </c>
      <c r="E17" s="223">
        <f t="shared" si="2"/>
        <v>43546</v>
      </c>
      <c r="F17" s="236"/>
      <c r="G17" s="236"/>
      <c r="H17" s="237"/>
      <c r="I17" s="237"/>
      <c r="J17" s="236"/>
      <c r="K17" s="236"/>
      <c r="L17" s="236">
        <v>43546</v>
      </c>
      <c r="M17" s="235"/>
    </row>
    <row r="18" spans="1:13" ht="31.5" customHeight="1" x14ac:dyDescent="0.25">
      <c r="A18" s="275" t="s">
        <v>329</v>
      </c>
      <c r="B18" s="290">
        <f>SUM('[2]1005. ISMO'!$O$21+'[2]1017 Népjóléti Kabinet'!$O$8)</f>
        <v>40446</v>
      </c>
      <c r="C18" s="288">
        <f t="shared" si="0"/>
        <v>40446</v>
      </c>
      <c r="D18" s="238">
        <f t="shared" si="1"/>
        <v>0</v>
      </c>
      <c r="E18" s="223">
        <f t="shared" si="2"/>
        <v>40446</v>
      </c>
      <c r="F18" s="236">
        <v>40446</v>
      </c>
      <c r="G18" s="236"/>
      <c r="H18" s="237"/>
      <c r="I18" s="237"/>
      <c r="J18" s="236"/>
      <c r="K18" s="236"/>
      <c r="L18" s="236"/>
      <c r="M18" s="235"/>
    </row>
    <row r="19" spans="1:13" ht="31.5" customHeight="1" x14ac:dyDescent="0.25">
      <c r="A19" s="275" t="s">
        <v>328</v>
      </c>
      <c r="B19" s="290">
        <f>SUM('[2]1007.Szociális Főo.'!$O$16+'[2]1007.Szociális Főo.'!$O$20+'[2]1007.Szociális Főo.'!$O$27+'[2]1017 Népjóléti Kabinet'!$O$16+'[2]1017 Népjóléti Kabinet'!$O$18)</f>
        <v>271040</v>
      </c>
      <c r="C19" s="288">
        <f t="shared" si="0"/>
        <v>271040</v>
      </c>
      <c r="D19" s="238">
        <f t="shared" si="1"/>
        <v>0</v>
      </c>
      <c r="E19" s="223">
        <f t="shared" si="2"/>
        <v>271040</v>
      </c>
      <c r="F19" s="236">
        <v>271040</v>
      </c>
      <c r="G19" s="236"/>
      <c r="H19" s="237"/>
      <c r="I19" s="237"/>
      <c r="J19" s="236"/>
      <c r="K19" s="236"/>
      <c r="L19" s="236"/>
      <c r="M19" s="235"/>
    </row>
    <row r="20" spans="1:13" ht="39" customHeight="1" x14ac:dyDescent="0.25">
      <c r="A20" s="291" t="s">
        <v>327</v>
      </c>
      <c r="B20" s="290">
        <f>SUM('[2]1017 Népjóléti Kabinet'!$O$27)</f>
        <v>13300</v>
      </c>
      <c r="C20" s="288">
        <f t="shared" si="0"/>
        <v>13300</v>
      </c>
      <c r="D20" s="238">
        <f t="shared" si="1"/>
        <v>0</v>
      </c>
      <c r="E20" s="223">
        <f t="shared" si="2"/>
        <v>13300</v>
      </c>
      <c r="F20" s="236">
        <v>13300</v>
      </c>
      <c r="G20" s="236"/>
      <c r="H20" s="237"/>
      <c r="I20" s="237"/>
      <c r="J20" s="236"/>
      <c r="K20" s="236"/>
      <c r="L20" s="236"/>
      <c r="M20" s="235"/>
    </row>
    <row r="21" spans="1:13" ht="31.5" customHeight="1" x14ac:dyDescent="0.25">
      <c r="A21" s="275" t="s">
        <v>326</v>
      </c>
      <c r="B21" s="290">
        <f>SUM('[2]1019.Lakásügyi O.'!$O$12)</f>
        <v>20000</v>
      </c>
      <c r="C21" s="288">
        <f t="shared" si="0"/>
        <v>20000</v>
      </c>
      <c r="D21" s="238">
        <f t="shared" si="1"/>
        <v>0</v>
      </c>
      <c r="E21" s="223">
        <f t="shared" si="2"/>
        <v>20000</v>
      </c>
      <c r="F21" s="236"/>
      <c r="G21" s="236">
        <v>20000</v>
      </c>
      <c r="H21" s="237"/>
      <c r="I21" s="237"/>
      <c r="J21" s="236"/>
      <c r="K21" s="236"/>
      <c r="L21" s="236"/>
      <c r="M21" s="235"/>
    </row>
    <row r="22" spans="1:13" ht="31.5" customHeight="1" x14ac:dyDescent="0.25">
      <c r="A22" s="275" t="s">
        <v>325</v>
      </c>
      <c r="B22" s="290">
        <f>SUM('[2]1005. ISMO'!$O$23+'[2]1005. ISMO'!$O$39)</f>
        <v>83333</v>
      </c>
      <c r="C22" s="288">
        <f t="shared" si="0"/>
        <v>83333</v>
      </c>
      <c r="D22" s="238">
        <f t="shared" si="1"/>
        <v>0</v>
      </c>
      <c r="E22" s="223">
        <f t="shared" si="2"/>
        <v>83333</v>
      </c>
      <c r="F22" s="236">
        <v>83333</v>
      </c>
      <c r="G22" s="236"/>
      <c r="H22" s="237"/>
      <c r="I22" s="237"/>
      <c r="J22" s="236"/>
      <c r="K22" s="236"/>
      <c r="L22" s="236"/>
      <c r="M22" s="235"/>
    </row>
    <row r="23" spans="1:13" ht="31.5" customHeight="1" x14ac:dyDescent="0.25">
      <c r="A23" s="271" t="s">
        <v>324</v>
      </c>
      <c r="B23" s="240">
        <f>SUM('[2]1026 Közbiztonságért felelős Ka'!$O$15+'[2]1026 Közbiztonságért felelős Ka'!$O$27)</f>
        <v>8530</v>
      </c>
      <c r="C23" s="288">
        <f t="shared" si="0"/>
        <v>8530</v>
      </c>
      <c r="D23" s="238">
        <f t="shared" si="1"/>
        <v>0</v>
      </c>
      <c r="E23" s="223">
        <f t="shared" si="2"/>
        <v>8530</v>
      </c>
      <c r="F23" s="236">
        <v>7000</v>
      </c>
      <c r="G23" s="236"/>
      <c r="H23" s="237">
        <v>1530</v>
      </c>
      <c r="I23" s="237"/>
      <c r="J23" s="236"/>
      <c r="K23" s="236"/>
      <c r="L23" s="236"/>
      <c r="M23" s="235"/>
    </row>
    <row r="24" spans="1:13" ht="31.5" customHeight="1" x14ac:dyDescent="0.25">
      <c r="A24" s="271" t="s">
        <v>323</v>
      </c>
      <c r="B24" s="289">
        <f>SUM('[2]1003.Informatika'!$O$51+'[2]1006.Személyügy'!$O$27+'[2]1006.Személyügy'!$O$55+'[2]1006.Személyügy'!$O$67+'[2]1007.Szociális Főo.'!$O$10+'[2]1009 Pénzügy'!$O$17+'[2]1011.Városüzemelt.O'!$O$8+'[2]1011.Városüzemelt.O'!$O$10+'[2]1011.Városüzemelt.O'!$O$13+'[2]1011.Városüzemelt.O'!$O$14+'[2]1015.Jegyzői Titk.'!$O$31+'[2]1026 Közbiztonságért felelős Ka'!$O$12+'[2]1027 Kulturáért felelős Kabinet'!$O$11)</f>
        <v>476908</v>
      </c>
      <c r="C24" s="288">
        <f t="shared" si="0"/>
        <v>476908</v>
      </c>
      <c r="D24" s="238">
        <f t="shared" si="1"/>
        <v>0</v>
      </c>
      <c r="E24" s="223">
        <f t="shared" si="2"/>
        <v>476908</v>
      </c>
      <c r="F24" s="236">
        <f>473908+3000</f>
        <v>476908</v>
      </c>
      <c r="G24" s="244"/>
      <c r="H24" s="237"/>
      <c r="I24" s="237"/>
      <c r="J24" s="236"/>
      <c r="K24" s="236"/>
      <c r="L24" s="244"/>
      <c r="M24" s="235"/>
    </row>
    <row r="25" spans="1:13" ht="31.5" customHeight="1" x14ac:dyDescent="0.25">
      <c r="A25" s="271" t="s">
        <v>322</v>
      </c>
      <c r="B25" s="240">
        <f>SUM('[2]1004.Gondnokság'!$R$27+'[2]1011.Városüzemelt.O'!$O$49+'[2]1011.Városüzemelt.O'!$O$50+'[2]1011.Városüzemelt.O'!$O$123+'[2]1011.Városüzemelt.O'!$O$140+'[2]1023.Vagyongazd.O.'!$O$16+'[2]1027 Kulturáért felelős Kabinet'!$O$10)</f>
        <v>137559</v>
      </c>
      <c r="C25" s="288">
        <f t="shared" si="0"/>
        <v>137559</v>
      </c>
      <c r="D25" s="238">
        <f t="shared" si="1"/>
        <v>0</v>
      </c>
      <c r="E25" s="223">
        <f t="shared" si="2"/>
        <v>137559</v>
      </c>
      <c r="F25" s="236">
        <v>137559</v>
      </c>
      <c r="G25" s="236"/>
      <c r="H25" s="237"/>
      <c r="I25" s="237"/>
      <c r="J25" s="236"/>
      <c r="K25" s="236"/>
      <c r="L25" s="236"/>
      <c r="M25" s="235"/>
    </row>
    <row r="26" spans="1:13" ht="31.5" customHeight="1" x14ac:dyDescent="0.25">
      <c r="A26" s="271" t="s">
        <v>321</v>
      </c>
      <c r="B26" s="240">
        <f>SUM('[2]1013.Közhasznú Fogl.'!$O$9+'[2]1013.Közhasznú Fogl.'!$O$12+'[2]1013.Közhasznú Fogl.'!$O$25+'[2]1013.Közhasznú Fogl.'!$O$28)</f>
        <v>120560</v>
      </c>
      <c r="C26" s="288">
        <f t="shared" si="0"/>
        <v>120560</v>
      </c>
      <c r="D26" s="238">
        <f t="shared" si="1"/>
        <v>0</v>
      </c>
      <c r="E26" s="223">
        <f t="shared" si="2"/>
        <v>120560</v>
      </c>
      <c r="F26" s="236">
        <v>64967</v>
      </c>
      <c r="G26" s="244"/>
      <c r="H26" s="237">
        <v>55593</v>
      </c>
      <c r="I26" s="245"/>
      <c r="J26" s="236"/>
      <c r="K26" s="244"/>
      <c r="L26" s="244"/>
      <c r="M26" s="243"/>
    </row>
    <row r="27" spans="1:13" ht="31.5" customHeight="1" x14ac:dyDescent="0.25">
      <c r="A27" s="271" t="s">
        <v>320</v>
      </c>
      <c r="B27" s="240">
        <f>SUM('[2]1022.Költségv.O.'!$O$11)</f>
        <v>1713515</v>
      </c>
      <c r="C27" s="288">
        <f t="shared" si="0"/>
        <v>1713515</v>
      </c>
      <c r="D27" s="238">
        <f t="shared" si="1"/>
        <v>0</v>
      </c>
      <c r="E27" s="223">
        <f t="shared" si="2"/>
        <v>1713515</v>
      </c>
      <c r="F27" s="236">
        <v>1713515</v>
      </c>
      <c r="G27" s="244"/>
      <c r="H27" s="237"/>
      <c r="I27" s="245"/>
      <c r="J27" s="236"/>
      <c r="K27" s="244"/>
      <c r="L27" s="244"/>
      <c r="M27" s="243"/>
    </row>
    <row r="28" spans="1:13" ht="31.5" customHeight="1" x14ac:dyDescent="0.25">
      <c r="A28" s="271" t="s">
        <v>319</v>
      </c>
      <c r="B28" s="240">
        <f>SUM('[2]1022.Költségv.O.'!$O$14)</f>
        <v>189546</v>
      </c>
      <c r="C28" s="288">
        <f t="shared" si="0"/>
        <v>189546</v>
      </c>
      <c r="D28" s="238">
        <f t="shared" si="1"/>
        <v>0</v>
      </c>
      <c r="E28" s="223">
        <f t="shared" si="2"/>
        <v>189546</v>
      </c>
      <c r="F28" s="244"/>
      <c r="G28" s="244"/>
      <c r="H28" s="237"/>
      <c r="I28" s="245"/>
      <c r="J28" s="236"/>
      <c r="K28" s="244"/>
      <c r="L28" s="236">
        <v>189546</v>
      </c>
      <c r="M28" s="243"/>
    </row>
    <row r="29" spans="1:13" ht="31.5" customHeight="1" x14ac:dyDescent="0.25">
      <c r="A29" s="271" t="s">
        <v>298</v>
      </c>
      <c r="B29" s="240"/>
      <c r="C29" s="288"/>
      <c r="D29" s="238"/>
      <c r="E29" s="223"/>
      <c r="F29" s="244"/>
      <c r="G29" s="244"/>
      <c r="H29" s="237"/>
      <c r="I29" s="245"/>
      <c r="J29" s="236"/>
      <c r="K29" s="244"/>
      <c r="L29" s="236"/>
      <c r="M29" s="243"/>
    </row>
    <row r="30" spans="1:13" ht="31.5" customHeight="1" x14ac:dyDescent="0.25">
      <c r="A30" s="287" t="s">
        <v>318</v>
      </c>
      <c r="B30" s="240">
        <f>SUM('[2]1030 Gazdasági szervezetek'!$O$5+'[2]1030 Gazdasági szervezetek'!$O$17)</f>
        <v>180600</v>
      </c>
      <c r="C30" s="239">
        <f>B30</f>
        <v>180600</v>
      </c>
      <c r="D30" s="238">
        <f t="shared" ref="D30:D57" si="3">C30-E30</f>
        <v>0</v>
      </c>
      <c r="E30" s="223">
        <f>SUM(F30:M30)</f>
        <v>180600</v>
      </c>
      <c r="F30" s="236">
        <f>215000-53744-36550+2150</f>
        <v>126856</v>
      </c>
      <c r="G30" s="236"/>
      <c r="H30" s="237">
        <v>53744</v>
      </c>
      <c r="I30" s="237"/>
      <c r="J30" s="236"/>
      <c r="K30" s="236"/>
      <c r="L30" s="236"/>
      <c r="M30" s="235"/>
    </row>
    <row r="31" spans="1:13" ht="31.5" customHeight="1" x14ac:dyDescent="0.25">
      <c r="A31" s="287" t="s">
        <v>317</v>
      </c>
      <c r="B31" s="240">
        <f>SUM('[2]1030 Gazdasági szervezetek'!$O$7+'[2]1030 Gazdasági szervezetek'!$O$19)</f>
        <v>243600</v>
      </c>
      <c r="C31" s="239">
        <f>B31</f>
        <v>243600</v>
      </c>
      <c r="D31" s="238">
        <f t="shared" si="3"/>
        <v>0</v>
      </c>
      <c r="E31" s="223">
        <f>SUM(F31:M31)</f>
        <v>243600</v>
      </c>
      <c r="F31" s="236">
        <f>290000-49300+2900</f>
        <v>243600</v>
      </c>
      <c r="G31" s="236"/>
      <c r="H31" s="237"/>
      <c r="I31" s="237"/>
      <c r="J31" s="236"/>
      <c r="K31" s="236"/>
      <c r="L31" s="236"/>
      <c r="M31" s="235"/>
    </row>
    <row r="32" spans="1:13" ht="31.5" customHeight="1" x14ac:dyDescent="0.25">
      <c r="A32" s="287" t="s">
        <v>316</v>
      </c>
      <c r="B32" s="240">
        <f>SUM('[2]1030 Gazdasági szervezetek'!$O$10+'[2]1030 Gazdasági szervezetek'!$O$20+'[2]1030 Gazdasági szervezetek'!$O$30+'[2]1030 Gazdasági szervezetek'!$O$31)</f>
        <v>476861</v>
      </c>
      <c r="C32" s="239">
        <f>B32</f>
        <v>476861</v>
      </c>
      <c r="D32" s="238">
        <f t="shared" si="3"/>
        <v>0</v>
      </c>
      <c r="E32" s="223">
        <f>SUM(F32:M32)</f>
        <v>476861</v>
      </c>
      <c r="F32" s="236">
        <f>C32-K32</f>
        <v>406861</v>
      </c>
      <c r="G32" s="236"/>
      <c r="H32" s="237"/>
      <c r="I32" s="273"/>
      <c r="J32" s="236"/>
      <c r="K32" s="236">
        <v>70000</v>
      </c>
      <c r="L32" s="236"/>
      <c r="M32" s="235"/>
    </row>
    <row r="33" spans="1:13" ht="31.5" customHeight="1" x14ac:dyDescent="0.25">
      <c r="A33" s="286" t="s">
        <v>315</v>
      </c>
      <c r="B33" s="240">
        <f>SUM('[2]1030 Gazdasági szervezetek'!$O$13+'[2]1030 Gazdasági szervezetek'!$O$22+'[2]1030 Gazdasági szervezetek'!$O$33)</f>
        <v>1174160</v>
      </c>
      <c r="C33" s="239">
        <f>B33</f>
        <v>1174160</v>
      </c>
      <c r="D33" s="238">
        <f t="shared" si="3"/>
        <v>0</v>
      </c>
      <c r="E33" s="223">
        <f>SUM(F33:M33)</f>
        <v>1174160</v>
      </c>
      <c r="F33" s="236">
        <f>1354800-130000-191930+11290</f>
        <v>1044160</v>
      </c>
      <c r="G33" s="236"/>
      <c r="H33" s="237"/>
      <c r="I33" s="237"/>
      <c r="J33" s="236">
        <v>130000</v>
      </c>
      <c r="K33" s="236"/>
      <c r="L33" s="236"/>
      <c r="M33" s="235"/>
    </row>
    <row r="34" spans="1:13" s="263" customFormat="1" ht="30" customHeight="1" x14ac:dyDescent="0.25">
      <c r="A34" s="285" t="s">
        <v>314</v>
      </c>
      <c r="B34" s="269">
        <f>SUM(B14:B33)</f>
        <v>7403481</v>
      </c>
      <c r="C34" s="268">
        <f>SUM(C14:C33)</f>
        <v>7403481</v>
      </c>
      <c r="D34" s="267">
        <f t="shared" si="3"/>
        <v>0</v>
      </c>
      <c r="E34" s="266">
        <f>SUM(F34:M34)</f>
        <v>7403481</v>
      </c>
      <c r="F34" s="265">
        <f t="shared" ref="F34:M34" si="4">SUM(F14:F33)</f>
        <v>5002349</v>
      </c>
      <c r="G34" s="265">
        <f t="shared" si="4"/>
        <v>199389</v>
      </c>
      <c r="H34" s="265">
        <f t="shared" si="4"/>
        <v>470437</v>
      </c>
      <c r="I34" s="265">
        <f t="shared" si="4"/>
        <v>0</v>
      </c>
      <c r="J34" s="265">
        <f t="shared" si="4"/>
        <v>130000</v>
      </c>
      <c r="K34" s="265">
        <f t="shared" si="4"/>
        <v>70000</v>
      </c>
      <c r="L34" s="265">
        <f t="shared" si="4"/>
        <v>739763</v>
      </c>
      <c r="M34" s="264">
        <f t="shared" si="4"/>
        <v>791543</v>
      </c>
    </row>
    <row r="35" spans="1:13" x14ac:dyDescent="0.25">
      <c r="A35" s="284"/>
      <c r="B35" s="277"/>
      <c r="C35" s="276"/>
      <c r="D35" s="224">
        <f t="shared" si="3"/>
        <v>0</v>
      </c>
      <c r="E35" s="223"/>
      <c r="F35" s="220"/>
      <c r="G35" s="220"/>
      <c r="H35" s="221"/>
      <c r="I35" s="221"/>
      <c r="J35" s="220"/>
      <c r="K35" s="220"/>
      <c r="L35" s="220"/>
      <c r="M35" s="218"/>
    </row>
    <row r="36" spans="1:13" s="278" customFormat="1" ht="18.75" x14ac:dyDescent="0.3">
      <c r="A36" s="283" t="s">
        <v>313</v>
      </c>
      <c r="B36" s="262"/>
      <c r="C36" s="282"/>
      <c r="D36" s="224">
        <f t="shared" si="3"/>
        <v>0</v>
      </c>
      <c r="E36" s="223"/>
      <c r="F36" s="280"/>
      <c r="G36" s="280"/>
      <c r="H36" s="281"/>
      <c r="I36" s="281"/>
      <c r="J36" s="280"/>
      <c r="K36" s="280"/>
      <c r="L36" s="280"/>
      <c r="M36" s="279"/>
    </row>
    <row r="37" spans="1:13" ht="16.5" x14ac:dyDescent="0.25">
      <c r="A37" s="271"/>
      <c r="B37" s="277"/>
      <c r="C37" s="276"/>
      <c r="D37" s="224">
        <f t="shared" si="3"/>
        <v>0</v>
      </c>
      <c r="E37" s="223"/>
      <c r="F37" s="220"/>
      <c r="G37" s="220"/>
      <c r="H37" s="221"/>
      <c r="I37" s="221"/>
      <c r="J37" s="220"/>
      <c r="K37" s="220"/>
      <c r="L37" s="220"/>
      <c r="M37" s="218"/>
    </row>
    <row r="38" spans="1:13" ht="29.25" customHeight="1" x14ac:dyDescent="0.25">
      <c r="A38" s="271" t="s">
        <v>312</v>
      </c>
      <c r="B38" s="240">
        <f>SUM('[2]1011.Városüzemelt.O'!$O$32+'[2]1011.Városüzemelt.O'!$O$58)</f>
        <v>10800</v>
      </c>
      <c r="C38" s="239">
        <f t="shared" ref="C38:C55" si="5">B38</f>
        <v>10800</v>
      </c>
      <c r="D38" s="238">
        <f t="shared" si="3"/>
        <v>0</v>
      </c>
      <c r="E38" s="223">
        <f t="shared" ref="E38:E57" si="6">SUM(F38:M38)</f>
        <v>10800</v>
      </c>
      <c r="F38" s="236">
        <v>10800</v>
      </c>
      <c r="G38" s="236"/>
      <c r="H38" s="237"/>
      <c r="I38" s="237"/>
      <c r="J38" s="236"/>
      <c r="K38" s="236"/>
      <c r="L38" s="236"/>
      <c r="M38" s="235"/>
    </row>
    <row r="39" spans="1:13" ht="29.25" customHeight="1" x14ac:dyDescent="0.25">
      <c r="A39" s="275" t="s">
        <v>311</v>
      </c>
      <c r="B39" s="240">
        <f>SUM('[2]1027 Kulturáért felelős Kabinet'!$O$15+'[2]1027 Kulturáért felelős Kabinet'!$O$16+'[2]1027 Kulturáért felelős Kabinet'!$O$17)</f>
        <v>46168</v>
      </c>
      <c r="C39" s="239">
        <f t="shared" si="5"/>
        <v>46168</v>
      </c>
      <c r="D39" s="238">
        <f t="shared" si="3"/>
        <v>0</v>
      </c>
      <c r="E39" s="223">
        <f t="shared" si="6"/>
        <v>46168</v>
      </c>
      <c r="F39" s="236">
        <v>46168</v>
      </c>
      <c r="G39" s="236"/>
      <c r="H39" s="237"/>
      <c r="I39" s="237"/>
      <c r="J39" s="236"/>
      <c r="K39" s="236"/>
      <c r="L39" s="236"/>
      <c r="M39" s="235"/>
    </row>
    <row r="40" spans="1:13" ht="29.25" customHeight="1" x14ac:dyDescent="0.25">
      <c r="A40" s="275" t="s">
        <v>310</v>
      </c>
      <c r="B40" s="240">
        <f>SUM('[2]1005. ISMO'!$O$25+'[2]1005. ISMO'!$O$29+'[2]1025.TRÖK'!$O$4+'[2]1027 Kulturáért felelős Kabinet'!$O$18+'[2]1027 Kulturáért felelős Kabinet'!$O$21+'[2]1027 Kulturáért felelős Kabinet'!$O$35+'[2]1027 Kulturáért felelős Kabinet'!$O$39+'[2]1027 Kulturáért felelős Kabinet'!$O$40+'[2]1027 Kulturáért felelős Kabinet'!$O$41+'[2]1027 Kulturáért felelős Kabinet'!$O$42+'[2]1027 Kulturáért felelős Kabinet'!$O$38+'[2]1027 Kulturáért felelős Kabinet'!$O$37)</f>
        <v>285422</v>
      </c>
      <c r="C40" s="239">
        <f t="shared" si="5"/>
        <v>285422</v>
      </c>
      <c r="D40" s="238">
        <f t="shared" si="3"/>
        <v>0</v>
      </c>
      <c r="E40" s="223">
        <f t="shared" si="6"/>
        <v>285422</v>
      </c>
      <c r="F40" s="236">
        <v>255822</v>
      </c>
      <c r="G40" s="236">
        <f>20000+9600</f>
        <v>29600</v>
      </c>
      <c r="H40" s="237"/>
      <c r="I40" s="237"/>
      <c r="J40" s="236"/>
      <c r="K40" s="236"/>
      <c r="L40" s="236"/>
      <c r="M40" s="235"/>
    </row>
    <row r="41" spans="1:13" ht="29.25" customHeight="1" x14ac:dyDescent="0.25">
      <c r="A41" s="275" t="s">
        <v>309</v>
      </c>
      <c r="B41" s="240">
        <f>SUM('[2]1011.Városüzemelt.O'!$O$62+'[2]1011.Városüzemelt.O'!$O$119)</f>
        <v>42000</v>
      </c>
      <c r="C41" s="239">
        <f t="shared" si="5"/>
        <v>42000</v>
      </c>
      <c r="D41" s="238">
        <f t="shared" si="3"/>
        <v>0</v>
      </c>
      <c r="E41" s="223">
        <f t="shared" si="6"/>
        <v>42000</v>
      </c>
      <c r="F41" s="236">
        <v>42000</v>
      </c>
      <c r="G41" s="236"/>
      <c r="H41" s="237"/>
      <c r="I41" s="237"/>
      <c r="J41" s="236"/>
      <c r="K41" s="236"/>
      <c r="L41" s="236"/>
      <c r="M41" s="235"/>
    </row>
    <row r="42" spans="1:13" ht="29.25" customHeight="1" x14ac:dyDescent="0.25">
      <c r="A42" s="275" t="s">
        <v>308</v>
      </c>
      <c r="B42" s="240">
        <f>SUM('[2]1011.Városüzemelt.O'!$O$54)</f>
        <v>3000</v>
      </c>
      <c r="C42" s="239">
        <f t="shared" si="5"/>
        <v>3000</v>
      </c>
      <c r="D42" s="238">
        <f t="shared" si="3"/>
        <v>0</v>
      </c>
      <c r="E42" s="223">
        <f t="shared" si="6"/>
        <v>3000</v>
      </c>
      <c r="F42" s="236">
        <v>3000</v>
      </c>
      <c r="G42" s="236"/>
      <c r="H42" s="237"/>
      <c r="I42" s="237"/>
      <c r="J42" s="236"/>
      <c r="K42" s="236"/>
      <c r="L42" s="236"/>
      <c r="M42" s="235"/>
    </row>
    <row r="43" spans="1:13" ht="29.25" customHeight="1" x14ac:dyDescent="0.25">
      <c r="A43" s="275" t="s">
        <v>307</v>
      </c>
      <c r="B43" s="240">
        <f>SUM('[2]1011.Városüzemelt.O'!$O$142+'[2]1011.Városüzemelt.O'!$O$129)</f>
        <v>50000</v>
      </c>
      <c r="C43" s="239">
        <f t="shared" si="5"/>
        <v>50000</v>
      </c>
      <c r="D43" s="238">
        <f t="shared" si="3"/>
        <v>0</v>
      </c>
      <c r="E43" s="223">
        <f t="shared" si="6"/>
        <v>50000</v>
      </c>
      <c r="F43" s="236"/>
      <c r="G43" s="236"/>
      <c r="H43" s="237"/>
      <c r="I43" s="273"/>
      <c r="J43" s="236"/>
      <c r="K43" s="236">
        <v>30000</v>
      </c>
      <c r="L43" s="236"/>
      <c r="M43" s="235">
        <v>20000</v>
      </c>
    </row>
    <row r="44" spans="1:13" ht="29.25" customHeight="1" x14ac:dyDescent="0.25">
      <c r="A44" s="271" t="s">
        <v>306</v>
      </c>
      <c r="B44" s="240">
        <f>SUM('[2]1011.Városüzemelt.O'!$O$11)</f>
        <v>13000</v>
      </c>
      <c r="C44" s="239">
        <f t="shared" si="5"/>
        <v>13000</v>
      </c>
      <c r="D44" s="238">
        <f t="shared" si="3"/>
        <v>0</v>
      </c>
      <c r="E44" s="223">
        <f t="shared" si="6"/>
        <v>13000</v>
      </c>
      <c r="F44" s="236"/>
      <c r="G44" s="236"/>
      <c r="H44" s="237"/>
      <c r="I44" s="237"/>
      <c r="J44" s="236"/>
      <c r="K44" s="236"/>
      <c r="L44" s="236"/>
      <c r="M44" s="235">
        <v>13000</v>
      </c>
    </row>
    <row r="45" spans="1:13" ht="29.25" customHeight="1" x14ac:dyDescent="0.25">
      <c r="A45" s="275" t="s">
        <v>305</v>
      </c>
      <c r="B45" s="240">
        <f>SUM('[2]1011.Városüzemelt.O'!$O$127)</f>
        <v>33000</v>
      </c>
      <c r="C45" s="239">
        <f t="shared" si="5"/>
        <v>33000</v>
      </c>
      <c r="D45" s="238">
        <f t="shared" si="3"/>
        <v>0</v>
      </c>
      <c r="E45" s="223">
        <f t="shared" si="6"/>
        <v>33000</v>
      </c>
      <c r="F45" s="236"/>
      <c r="G45" s="236"/>
      <c r="H45" s="237"/>
      <c r="I45" s="237"/>
      <c r="J45" s="236"/>
      <c r="K45" s="236"/>
      <c r="L45" s="236"/>
      <c r="M45" s="235">
        <v>33000</v>
      </c>
    </row>
    <row r="46" spans="1:13" ht="29.25" customHeight="1" x14ac:dyDescent="0.25">
      <c r="A46" s="275" t="s">
        <v>304</v>
      </c>
      <c r="B46" s="240">
        <f>SUM('[2]1006.Személyügy'!$O$44+'[2]1009 Pénzügy'!$O$19+'[2]1014.Polgármester'!$O$28+'[2]1015.Jegyzői Titk.'!$O$21+'[2]1016 Gazdaságért felelős Kabine'!$O$10+'[2]1017 Népjóléti Kabinet'!$O$21+'[2]1022.Költségv.O.'!$O$8+'[2]1027 Kulturáért felelős Kabinet'!$O$8+'[2]1027 Kulturáért felelős Kabinet'!$O$13)</f>
        <v>151523</v>
      </c>
      <c r="C46" s="239">
        <f t="shared" si="5"/>
        <v>151523</v>
      </c>
      <c r="D46" s="238">
        <f t="shared" si="3"/>
        <v>0</v>
      </c>
      <c r="E46" s="223">
        <f t="shared" si="6"/>
        <v>151523</v>
      </c>
      <c r="F46" s="236">
        <v>143443</v>
      </c>
      <c r="G46" s="236"/>
      <c r="H46" s="237"/>
      <c r="I46" s="237"/>
      <c r="J46" s="236"/>
      <c r="K46" s="236"/>
      <c r="L46" s="236">
        <v>8080</v>
      </c>
      <c r="M46" s="235"/>
    </row>
    <row r="47" spans="1:13" ht="29.25" customHeight="1" x14ac:dyDescent="0.25">
      <c r="A47" s="271" t="s">
        <v>303</v>
      </c>
      <c r="B47" s="240">
        <f>SUM('[2]1005. ISMO'!$O$82+'[2]1005. ISMO'!$O$73+'[2]1005. ISMO'!$O$69+'[2]1005. ISMO'!$O$63+'[2]1005. ISMO'!$O$55+'[2]1005. ISMO'!$O$34+'[2]1007.Szociális Főo.'!$O$31+'[2]1009 Pénzügy'!$O$22+'[2]1017 Népjóléti Kabinet'!$O$32+'[2]1017 Népjóléti Kabinet'!$O$33+'[2]1017 Népjóléti Kabinet'!$O$34+'[2]1017 Népjóléti Kabinet'!$O$43+'[2]1019.Lakásügyi O.'!$O$10+'[2]1023.Vagyongazd.O.'!$O$22+'[2]1026 Közbiztonságért felelős Ka'!$O$17+'[2]1026 Közbiztonságért felelős Ka'!$O$23+'[2]1026 Közbiztonságért felelős Ka'!$O$29+'[2]1027 Kulturáért felelős Kabinet'!$O$25+'[2]1027 Kulturáért felelős Kabinet'!$O$32+'[2]1027 Kulturáért felelős Kabinet'!$O$36+'[2]1005. ISMO'!O70+'[2]1014.Polgármester'!O32+'[2]1005. ISMO'!O74+'[2]1005. ISMO'!O83)</f>
        <v>304699</v>
      </c>
      <c r="C47" s="239">
        <f t="shared" si="5"/>
        <v>304699</v>
      </c>
      <c r="D47" s="238">
        <f t="shared" si="3"/>
        <v>0</v>
      </c>
      <c r="E47" s="223">
        <f t="shared" si="6"/>
        <v>304699</v>
      </c>
      <c r="F47" s="236">
        <v>273588</v>
      </c>
      <c r="G47" s="236">
        <v>20111</v>
      </c>
      <c r="H47" s="237"/>
      <c r="I47" s="237"/>
      <c r="J47" s="272"/>
      <c r="K47" s="236">
        <v>3000</v>
      </c>
      <c r="L47" s="236">
        <f>5000+3000</f>
        <v>8000</v>
      </c>
      <c r="M47" s="235"/>
    </row>
    <row r="48" spans="1:13" ht="29.25" customHeight="1" x14ac:dyDescent="0.25">
      <c r="A48" s="271" t="s">
        <v>302</v>
      </c>
      <c r="B48" s="240">
        <f>SUM('[2]1017 Népjóléti Kabinet'!$O$35+'[2]1017 Népjóléti Kabinet'!$O$36+'[2]1017 Népjóléti Kabinet'!$O$38+'[2]1017 Népjóléti Kabinet'!$O$40+'[2]1017 Népjóléti Kabinet'!$O$42)</f>
        <v>11000</v>
      </c>
      <c r="C48" s="239">
        <f t="shared" si="5"/>
        <v>11000</v>
      </c>
      <c r="D48" s="238">
        <f t="shared" si="3"/>
        <v>0</v>
      </c>
      <c r="E48" s="223">
        <f t="shared" si="6"/>
        <v>11000</v>
      </c>
      <c r="F48" s="236">
        <v>11000</v>
      </c>
      <c r="G48" s="236"/>
      <c r="H48" s="237"/>
      <c r="I48" s="237"/>
      <c r="J48" s="236"/>
      <c r="K48" s="236"/>
      <c r="L48" s="236"/>
      <c r="M48" s="235"/>
    </row>
    <row r="49" spans="1:14" ht="29.25" customHeight="1" x14ac:dyDescent="0.25">
      <c r="A49" s="271" t="s">
        <v>301</v>
      </c>
      <c r="B49" s="240">
        <f>SUM('[2]1011.Városüzemelt.O'!$O$15)</f>
        <v>1500</v>
      </c>
      <c r="C49" s="239">
        <f t="shared" si="5"/>
        <v>1500</v>
      </c>
      <c r="D49" s="238">
        <f t="shared" si="3"/>
        <v>0</v>
      </c>
      <c r="E49" s="223">
        <f t="shared" si="6"/>
        <v>1500</v>
      </c>
      <c r="F49" s="244"/>
      <c r="G49" s="274"/>
      <c r="H49" s="245"/>
      <c r="I49" s="245"/>
      <c r="J49" s="244"/>
      <c r="K49" s="236"/>
      <c r="L49" s="244"/>
      <c r="M49" s="235">
        <v>1500</v>
      </c>
    </row>
    <row r="50" spans="1:14" ht="29.25" customHeight="1" x14ac:dyDescent="0.25">
      <c r="A50" s="271" t="s">
        <v>300</v>
      </c>
      <c r="B50" s="240">
        <f>SUM('[2]1003.Informatika'!$O$54+'[2]1014.Polgármester'!$O$41+'[2]1015.Jegyzői Titk.'!$O$35+'[2]1016 Gazdaságért felelős Kabine'!$O$24+'[2]1018.Főépítész'!$O$26+'[2]1025.TRÖK'!$O$5+'[2]1025.TRÖK'!$O$7+'[2]1026 Közbiztonságért felelős Ka'!$O$26+'[2]1026 Közbiztonságért felelős Ka'!$O$30+'[2]1026 Közbiztonságért felelős Ka'!$O$31+'[2]1027 Kulturáért felelős Kabinet'!$O$49+'[2]1027 Kulturáért felelős Kabinet'!$O$45+'[2]1027 Kulturáért felelős Kabinet'!$O$47+'[2]1027 Kulturáért felelős Kabinet'!$O$43)</f>
        <v>428892</v>
      </c>
      <c r="C50" s="239">
        <f t="shared" si="5"/>
        <v>428892</v>
      </c>
      <c r="D50" s="238">
        <f t="shared" si="3"/>
        <v>0</v>
      </c>
      <c r="E50" s="223">
        <f t="shared" si="6"/>
        <v>428892</v>
      </c>
      <c r="F50" s="236"/>
      <c r="G50" s="236">
        <v>268080</v>
      </c>
      <c r="H50" s="237"/>
      <c r="I50" s="273"/>
      <c r="J50" s="236"/>
      <c r="K50" s="236">
        <f>140000+1000</f>
        <v>141000</v>
      </c>
      <c r="L50" s="236">
        <v>19812</v>
      </c>
      <c r="M50" s="235"/>
    </row>
    <row r="51" spans="1:14" ht="29.25" customHeight="1" x14ac:dyDescent="0.25">
      <c r="A51" s="271" t="s">
        <v>299</v>
      </c>
      <c r="B51" s="240">
        <f>SUM('[2]1029 Pályázatok'!$O$39)+'[2]1014.Polgármester'!O43+'[2]1014.Polgármester'!O44</f>
        <v>3230366</v>
      </c>
      <c r="C51" s="239">
        <f t="shared" si="5"/>
        <v>3230366</v>
      </c>
      <c r="D51" s="238">
        <f t="shared" si="3"/>
        <v>0</v>
      </c>
      <c r="E51" s="223">
        <f t="shared" si="6"/>
        <v>3230366</v>
      </c>
      <c r="F51" s="236"/>
      <c r="G51" s="236"/>
      <c r="H51" s="237">
        <v>1212</v>
      </c>
      <c r="I51" s="237">
        <f>'5.b mell. Átvett peszk.'!E28+'5.b mell. Átvett peszk.'!E24+'5.b mell. Átvett peszk.'!E25+'5.b mell. Átvett peszk.'!E27</f>
        <v>373957</v>
      </c>
      <c r="J51" s="236"/>
      <c r="K51" s="272"/>
      <c r="L51" s="236">
        <f>1410240+430000+73000</f>
        <v>1913240</v>
      </c>
      <c r="M51" s="235">
        <f>C51-I51-L51-H51</f>
        <v>941957</v>
      </c>
      <c r="N51" s="210"/>
    </row>
    <row r="52" spans="1:14" ht="29.25" customHeight="1" x14ac:dyDescent="0.25">
      <c r="A52" s="271" t="s">
        <v>298</v>
      </c>
      <c r="B52" s="240"/>
      <c r="C52" s="239">
        <f t="shared" si="5"/>
        <v>0</v>
      </c>
      <c r="D52" s="238">
        <f t="shared" si="3"/>
        <v>0</v>
      </c>
      <c r="E52" s="223">
        <f t="shared" si="6"/>
        <v>0</v>
      </c>
      <c r="F52" s="236"/>
      <c r="G52" s="236"/>
      <c r="H52" s="237"/>
      <c r="I52" s="237"/>
      <c r="J52" s="236"/>
      <c r="K52" s="236"/>
      <c r="L52" s="236"/>
      <c r="M52" s="235"/>
    </row>
    <row r="53" spans="1:14" ht="29.25" customHeight="1" x14ac:dyDescent="0.25">
      <c r="A53" s="271" t="s">
        <v>297</v>
      </c>
      <c r="B53" s="240">
        <f>SUM('[2]1030 Gazdasági szervezetek'!$O$3+'[2]1030 Gazdasági szervezetek'!$O$16+'[2]1030 Gazdasági szervezetek'!$O$26)</f>
        <v>179003</v>
      </c>
      <c r="C53" s="239">
        <f t="shared" si="5"/>
        <v>179003</v>
      </c>
      <c r="D53" s="238">
        <f t="shared" si="3"/>
        <v>0</v>
      </c>
      <c r="E53" s="223">
        <f t="shared" si="6"/>
        <v>179003</v>
      </c>
      <c r="F53" s="236">
        <f>205403-28050+1650</f>
        <v>179003</v>
      </c>
      <c r="G53" s="236"/>
      <c r="H53" s="237"/>
      <c r="I53" s="237"/>
      <c r="J53" s="236"/>
      <c r="K53" s="236"/>
      <c r="L53" s="236"/>
      <c r="M53" s="235"/>
    </row>
    <row r="54" spans="1:14" ht="29.25" customHeight="1" x14ac:dyDescent="0.25">
      <c r="A54" s="271" t="s">
        <v>296</v>
      </c>
      <c r="B54" s="240">
        <f>SUM('[2]1030 Gazdasági szervezetek'!$O$11+'[2]1030 Gazdasági szervezetek'!$O$21)</f>
        <v>67200</v>
      </c>
      <c r="C54" s="239">
        <f t="shared" si="5"/>
        <v>67200</v>
      </c>
      <c r="D54" s="238">
        <f t="shared" si="3"/>
        <v>0</v>
      </c>
      <c r="E54" s="223">
        <f t="shared" si="6"/>
        <v>67200</v>
      </c>
      <c r="F54" s="236">
        <f>80000-13600+800</f>
        <v>67200</v>
      </c>
      <c r="G54" s="236"/>
      <c r="H54" s="237"/>
      <c r="I54" s="237"/>
      <c r="J54" s="236"/>
      <c r="K54" s="236"/>
      <c r="L54" s="236"/>
      <c r="M54" s="235"/>
    </row>
    <row r="55" spans="1:14" ht="29.25" customHeight="1" x14ac:dyDescent="0.25">
      <c r="A55" s="271" t="s">
        <v>295</v>
      </c>
      <c r="B55" s="240">
        <f>SUM('[2]Segédtábla -áthúzodó'!O35)</f>
        <v>1790379</v>
      </c>
      <c r="C55" s="239">
        <f t="shared" si="5"/>
        <v>1790379</v>
      </c>
      <c r="D55" s="238">
        <f t="shared" si="3"/>
        <v>0</v>
      </c>
      <c r="E55" s="223">
        <f t="shared" si="6"/>
        <v>1790379</v>
      </c>
      <c r="F55" s="236"/>
      <c r="G55" s="236"/>
      <c r="H55" s="237"/>
      <c r="I55" s="237"/>
      <c r="J55" s="236"/>
      <c r="K55" s="236"/>
      <c r="L55" s="236">
        <v>1790379</v>
      </c>
      <c r="M55" s="235"/>
    </row>
    <row r="56" spans="1:14" s="263" customFormat="1" ht="23.25" customHeight="1" x14ac:dyDescent="0.25">
      <c r="A56" s="270" t="s">
        <v>294</v>
      </c>
      <c r="B56" s="269">
        <f>SUM(B38:B55)</f>
        <v>6647952</v>
      </c>
      <c r="C56" s="268">
        <f>SUM(C38:C55)</f>
        <v>6647952</v>
      </c>
      <c r="D56" s="267">
        <f t="shared" si="3"/>
        <v>0</v>
      </c>
      <c r="E56" s="266">
        <f t="shared" si="6"/>
        <v>6647952</v>
      </c>
      <c r="F56" s="265">
        <f t="shared" ref="F56:M56" si="7">SUM(F38:F55)</f>
        <v>1032024</v>
      </c>
      <c r="G56" s="265">
        <f t="shared" si="7"/>
        <v>317791</v>
      </c>
      <c r="H56" s="265">
        <f t="shared" si="7"/>
        <v>1212</v>
      </c>
      <c r="I56" s="265">
        <f t="shared" si="7"/>
        <v>373957</v>
      </c>
      <c r="J56" s="265">
        <f t="shared" si="7"/>
        <v>0</v>
      </c>
      <c r="K56" s="265">
        <f t="shared" si="7"/>
        <v>174000</v>
      </c>
      <c r="L56" s="265">
        <f t="shared" si="7"/>
        <v>3739511</v>
      </c>
      <c r="M56" s="264">
        <f t="shared" si="7"/>
        <v>1009457</v>
      </c>
    </row>
    <row r="57" spans="1:14" s="228" customFormat="1" ht="26.25" customHeight="1" x14ac:dyDescent="0.3">
      <c r="A57" s="256" t="s">
        <v>293</v>
      </c>
      <c r="B57" s="233">
        <f>B56+B34</f>
        <v>14051433</v>
      </c>
      <c r="C57" s="232">
        <f>C56+C34</f>
        <v>14051433</v>
      </c>
      <c r="D57" s="231">
        <f t="shared" si="3"/>
        <v>0</v>
      </c>
      <c r="E57" s="230">
        <f t="shared" si="6"/>
        <v>14051433</v>
      </c>
      <c r="F57" s="230">
        <f t="shared" ref="F57:M57" si="8">F56+F34</f>
        <v>6034373</v>
      </c>
      <c r="G57" s="230">
        <f t="shared" si="8"/>
        <v>517180</v>
      </c>
      <c r="H57" s="230">
        <f t="shared" si="8"/>
        <v>471649</v>
      </c>
      <c r="I57" s="230">
        <f t="shared" si="8"/>
        <v>373957</v>
      </c>
      <c r="J57" s="230">
        <f t="shared" si="8"/>
        <v>130000</v>
      </c>
      <c r="K57" s="230">
        <f t="shared" si="8"/>
        <v>244000</v>
      </c>
      <c r="L57" s="230">
        <f t="shared" si="8"/>
        <v>4479274</v>
      </c>
      <c r="M57" s="229">
        <f t="shared" si="8"/>
        <v>1801000</v>
      </c>
    </row>
    <row r="58" spans="1:14" s="252" customFormat="1" ht="26.25" customHeight="1" x14ac:dyDescent="0.3">
      <c r="A58" s="255"/>
      <c r="B58" s="262"/>
      <c r="C58" s="261"/>
      <c r="D58" s="260"/>
      <c r="E58" s="254"/>
      <c r="F58" s="259"/>
      <c r="G58" s="259"/>
      <c r="H58" s="259"/>
      <c r="I58" s="259"/>
      <c r="J58" s="259"/>
      <c r="K58" s="259"/>
      <c r="L58" s="259"/>
      <c r="M58" s="258"/>
    </row>
    <row r="59" spans="1:14" ht="23.25" customHeight="1" x14ac:dyDescent="0.2">
      <c r="A59" s="251" t="s">
        <v>292</v>
      </c>
      <c r="B59" s="240"/>
      <c r="C59" s="250"/>
      <c r="D59" s="238"/>
      <c r="E59" s="223"/>
      <c r="F59" s="236"/>
      <c r="G59" s="236"/>
      <c r="H59" s="237"/>
      <c r="I59" s="237"/>
      <c r="J59" s="236"/>
      <c r="K59" s="236"/>
      <c r="L59" s="236"/>
      <c r="M59" s="235"/>
    </row>
    <row r="60" spans="1:14" ht="28.5" customHeight="1" x14ac:dyDescent="0.2">
      <c r="A60" s="257" t="s">
        <v>291</v>
      </c>
      <c r="B60" s="240"/>
      <c r="C60" s="239"/>
      <c r="D60" s="238">
        <f t="shared" ref="D60:D66" si="9">C60-E60</f>
        <v>0</v>
      </c>
      <c r="E60" s="223">
        <f>SUM(F60:M60)</f>
        <v>0</v>
      </c>
      <c r="F60" s="236"/>
      <c r="G60" s="236"/>
      <c r="H60" s="237"/>
      <c r="I60" s="237"/>
      <c r="J60" s="236"/>
      <c r="K60" s="236"/>
      <c r="L60" s="236"/>
      <c r="M60" s="235"/>
    </row>
    <row r="61" spans="1:14" ht="28.5" customHeight="1" x14ac:dyDescent="0.2">
      <c r="A61" s="257" t="s">
        <v>290</v>
      </c>
      <c r="B61" s="240">
        <f>SUM('[2]1002.Igazgatási osztály'!$S$11+'[2]1003.Informatika'!$S$51+'[2]1003.Informatika'!$S$91+'[2]1004.Gondnokság'!$V$23+'[2]1004.Gondnokság'!$V$27+'[2]1006.Személyügy'!$S$27+'[2]1006.Személyügy'!$S$34+'[2]1006.Személyügy'!$S$39+'[2]1006.Személyügy'!$S$55+'[2]1006.Személyügy'!$S$57+'[2]1006.Személyügy'!$S$59+'[2]1006.Személyügy'!$S$67+'[2]1008.Ügyviteli O.'!$S$11+'[2]1009 Pénzügy'!$S$17+'[2]1011.Városüzemelt.O'!$S$16+'[2]1011.Városüzemelt.O'!$S$31+'[2]1012.Adóosztály'!$S$12+'[2]1015.Jegyzői Titk.'!$S$31+'[2]1018.Főépítész'!$S$22+'[2]1020.Rendészet'!$S$6+'[2]1020.Rendészet'!$S$25+'[2]1023.Vagyongazd.O.'!$S$13+'[2]1026 Közbiztonságért felelős Ka'!$S$13)</f>
        <v>1855312.1023622048</v>
      </c>
      <c r="C61" s="239">
        <f>B61</f>
        <v>1855312.1023622048</v>
      </c>
      <c r="D61" s="238">
        <f t="shared" si="9"/>
        <v>0.10236220480874181</v>
      </c>
      <c r="E61" s="223">
        <f>SUM(F61:M61)</f>
        <v>1855312</v>
      </c>
      <c r="F61" s="236">
        <f>1111015-3000</f>
        <v>1108015</v>
      </c>
      <c r="G61" s="236">
        <v>29579</v>
      </c>
      <c r="H61" s="237">
        <v>717718</v>
      </c>
      <c r="I61" s="237"/>
      <c r="J61" s="236"/>
      <c r="K61" s="236"/>
      <c r="L61" s="236"/>
      <c r="M61" s="235"/>
    </row>
    <row r="62" spans="1:14" ht="28.5" customHeight="1" x14ac:dyDescent="0.2">
      <c r="A62" s="257" t="s">
        <v>289</v>
      </c>
      <c r="B62" s="240">
        <f>SUM('[2]1002.Igazgatási osztály'!$S$6+'[2]1002.Igazgatási osztály'!$S$14+'[2]1003.Informatika'!$S$5+'[2]1004.Gondnokság'!$V$7+'[2]1005. ISMO'!$S$6+'[2]1006.Személyügy'!$S$44+'[2]1006.Személyügy'!$S$47+'[2]1006.Személyügy'!$S$50+'[2]1006.Személyügy'!$S$52+'[2]1007.Szociális Főo.'!$S$6+'[2]1008.Ügyviteli O.'!$S$6+'[2]1009 Pénzügy'!$S$6+'[2]1011.Városüzemelt.O'!$S$5+'[2]1012.Adóosztály'!$S$6+'[2]1013.Közhasznú Fogl.'!$S$8+'[2]1014.Polgármester'!$S$16+'[2]1015.Jegyzői Titk.'!$S$6+'[2]1015.Jegyzői Titk.'!$S$10+'[2]1015.Jegyzői Titk.'!$S$21+'[2]1016 Gazdaságért felelős Kabine'!$S$5+'[2]1017 Népjóléti Kabinet'!$S$5+'[2]1018.Főépítész'!$S$6+'[2]1018.Főépítész'!$S$31+'[2]1018.Főépítész'!$S$37+'[2]1019.Lakásügyi O.'!$S$4+'[2]1020.Rendészet'!$S$8+'[2]1022.Költségv.O.'!$S$6+'[2]1023.Vagyongazd.O.'!$S$6+'[2]1026 Közbiztonságért felelős Ka'!$S$6+'[2]1027 Kulturáért felelős Kabinet'!$S$5)</f>
        <v>209344</v>
      </c>
      <c r="C62" s="239">
        <f>B62</f>
        <v>209344</v>
      </c>
      <c r="D62" s="238">
        <f t="shared" si="9"/>
        <v>0</v>
      </c>
      <c r="E62" s="223">
        <f>SUM(F62:M62)</f>
        <v>209344</v>
      </c>
      <c r="F62" s="236">
        <v>209344</v>
      </c>
      <c r="G62" s="236"/>
      <c r="H62" s="237"/>
      <c r="I62" s="237"/>
      <c r="J62" s="236"/>
      <c r="K62" s="236"/>
      <c r="L62" s="236"/>
      <c r="M62" s="235"/>
    </row>
    <row r="63" spans="1:14" s="228" customFormat="1" ht="26.25" customHeight="1" x14ac:dyDescent="0.3">
      <c r="A63" s="256" t="s">
        <v>288</v>
      </c>
      <c r="B63" s="233">
        <f>SUM(B60:B62)</f>
        <v>2064656.1023622048</v>
      </c>
      <c r="C63" s="232">
        <f>SUM(C60:C62)</f>
        <v>2064656.1023622048</v>
      </c>
      <c r="D63" s="231">
        <f t="shared" si="9"/>
        <v>0.10236220480874181</v>
      </c>
      <c r="E63" s="230">
        <f>SUM(F63:M63)</f>
        <v>2064656</v>
      </c>
      <c r="F63" s="230">
        <f t="shared" ref="F63:M63" si="10">SUM(F60:F62)</f>
        <v>1317359</v>
      </c>
      <c r="G63" s="230">
        <f t="shared" si="10"/>
        <v>29579</v>
      </c>
      <c r="H63" s="230">
        <f t="shared" si="10"/>
        <v>717718</v>
      </c>
      <c r="I63" s="230">
        <f t="shared" si="10"/>
        <v>0</v>
      </c>
      <c r="J63" s="230">
        <f t="shared" si="10"/>
        <v>0</v>
      </c>
      <c r="K63" s="230">
        <f t="shared" si="10"/>
        <v>0</v>
      </c>
      <c r="L63" s="230">
        <f t="shared" si="10"/>
        <v>0</v>
      </c>
      <c r="M63" s="229">
        <f t="shared" si="10"/>
        <v>0</v>
      </c>
    </row>
    <row r="64" spans="1:14" s="252" customFormat="1" ht="18.75" x14ac:dyDescent="0.3">
      <c r="A64" s="255"/>
      <c r="B64" s="248"/>
      <c r="C64" s="247"/>
      <c r="D64" s="238">
        <f t="shared" si="9"/>
        <v>0</v>
      </c>
      <c r="E64" s="254"/>
      <c r="F64" s="254"/>
      <c r="G64" s="254"/>
      <c r="H64" s="254"/>
      <c r="I64" s="254"/>
      <c r="J64" s="254"/>
      <c r="K64" s="254"/>
      <c r="L64" s="254"/>
      <c r="M64" s="253"/>
    </row>
    <row r="65" spans="1:13" ht="23.25" customHeight="1" x14ac:dyDescent="0.2">
      <c r="A65" s="251" t="s">
        <v>287</v>
      </c>
      <c r="B65" s="240"/>
      <c r="C65" s="250"/>
      <c r="D65" s="238">
        <f t="shared" si="9"/>
        <v>0</v>
      </c>
      <c r="E65" s="223"/>
      <c r="F65" s="236"/>
      <c r="G65" s="236"/>
      <c r="H65" s="237"/>
      <c r="I65" s="237"/>
      <c r="J65" s="236"/>
      <c r="K65" s="236"/>
      <c r="L65" s="236"/>
      <c r="M65" s="235"/>
    </row>
    <row r="66" spans="1:13" s="242" customFormat="1" ht="28.5" customHeight="1" x14ac:dyDescent="0.2">
      <c r="A66" s="249" t="s">
        <v>286</v>
      </c>
      <c r="B66" s="248">
        <f>SUM(B67:B68)</f>
        <v>2253151</v>
      </c>
      <c r="C66" s="247">
        <f>SUM(B66)</f>
        <v>2253151</v>
      </c>
      <c r="D66" s="246">
        <f t="shared" si="9"/>
        <v>0</v>
      </c>
      <c r="E66" s="223">
        <f>SUM(F66:M66)</f>
        <v>2253151</v>
      </c>
      <c r="F66" s="244">
        <v>962418</v>
      </c>
      <c r="G66" s="244"/>
      <c r="H66" s="245">
        <f>1938238-647505</f>
        <v>1290733</v>
      </c>
      <c r="I66" s="245"/>
      <c r="J66" s="244"/>
      <c r="K66" s="244"/>
      <c r="L66" s="244"/>
      <c r="M66" s="243"/>
    </row>
    <row r="67" spans="1:13" ht="28.5" customHeight="1" x14ac:dyDescent="0.2">
      <c r="A67" s="241" t="s">
        <v>282</v>
      </c>
      <c r="B67" s="240">
        <v>2129775</v>
      </c>
      <c r="C67" s="239"/>
      <c r="D67" s="238"/>
      <c r="E67" s="223"/>
      <c r="F67" s="236"/>
      <c r="G67" s="236"/>
      <c r="H67" s="237"/>
      <c r="I67" s="237"/>
      <c r="J67" s="236"/>
      <c r="K67" s="236"/>
      <c r="L67" s="236"/>
      <c r="M67" s="235"/>
    </row>
    <row r="68" spans="1:13" ht="28.5" customHeight="1" x14ac:dyDescent="0.2">
      <c r="A68" s="241" t="s">
        <v>281</v>
      </c>
      <c r="B68" s="240">
        <v>123376</v>
      </c>
      <c r="C68" s="239"/>
      <c r="D68" s="238"/>
      <c r="E68" s="223"/>
      <c r="F68" s="236"/>
      <c r="G68" s="236"/>
      <c r="H68" s="237"/>
      <c r="I68" s="237"/>
      <c r="J68" s="236"/>
      <c r="K68" s="236"/>
      <c r="L68" s="236"/>
      <c r="M68" s="235"/>
    </row>
    <row r="69" spans="1:13" s="242" customFormat="1" ht="28.5" customHeight="1" x14ac:dyDescent="0.2">
      <c r="A69" s="249" t="s">
        <v>285</v>
      </c>
      <c r="B69" s="248">
        <f>SUM(B70:B71)</f>
        <v>776368</v>
      </c>
      <c r="C69" s="247">
        <f>SUM(B69)</f>
        <v>776368</v>
      </c>
      <c r="D69" s="246">
        <f>C69-E69</f>
        <v>0</v>
      </c>
      <c r="E69" s="223">
        <f>SUM(F69:M69)</f>
        <v>776368</v>
      </c>
      <c r="F69" s="244">
        <v>0</v>
      </c>
      <c r="G69" s="244"/>
      <c r="H69" s="245">
        <f>902038-125670</f>
        <v>776368</v>
      </c>
      <c r="I69" s="245"/>
      <c r="J69" s="244"/>
      <c r="K69" s="244"/>
      <c r="L69" s="244"/>
      <c r="M69" s="243"/>
    </row>
    <row r="70" spans="1:13" ht="28.5" customHeight="1" x14ac:dyDescent="0.2">
      <c r="A70" s="241" t="s">
        <v>282</v>
      </c>
      <c r="B70" s="240">
        <f>689673+5258</f>
        <v>694931</v>
      </c>
      <c r="C70" s="239"/>
      <c r="D70" s="238"/>
      <c r="E70" s="223"/>
      <c r="F70" s="236"/>
      <c r="G70" s="236"/>
      <c r="H70" s="237"/>
      <c r="I70" s="237"/>
      <c r="J70" s="236"/>
      <c r="K70" s="236"/>
      <c r="L70" s="236"/>
      <c r="M70" s="235"/>
    </row>
    <row r="71" spans="1:13" ht="28.5" customHeight="1" x14ac:dyDescent="0.2">
      <c r="A71" s="241" t="s">
        <v>281</v>
      </c>
      <c r="B71" s="240">
        <v>81437</v>
      </c>
      <c r="C71" s="239"/>
      <c r="D71" s="238"/>
      <c r="E71" s="223"/>
      <c r="F71" s="236"/>
      <c r="G71" s="236"/>
      <c r="H71" s="237"/>
      <c r="I71" s="237"/>
      <c r="J71" s="236"/>
      <c r="K71" s="236"/>
      <c r="L71" s="236"/>
      <c r="M71" s="235"/>
    </row>
    <row r="72" spans="1:13" s="242" customFormat="1" ht="28.5" customHeight="1" x14ac:dyDescent="0.2">
      <c r="A72" s="249" t="s">
        <v>284</v>
      </c>
      <c r="B72" s="248">
        <f>SUM(B73:B74)</f>
        <v>1046581</v>
      </c>
      <c r="C72" s="247">
        <f>SUM(B72)</f>
        <v>1046581</v>
      </c>
      <c r="D72" s="246">
        <f>C72-E72</f>
        <v>0</v>
      </c>
      <c r="E72" s="223">
        <f>SUM(F72:M72)</f>
        <v>1046581</v>
      </c>
      <c r="F72" s="244">
        <v>399076</v>
      </c>
      <c r="G72" s="244"/>
      <c r="H72" s="245">
        <f>91800+399588+156117</f>
        <v>647505</v>
      </c>
      <c r="I72" s="245"/>
      <c r="J72" s="244"/>
      <c r="K72" s="244"/>
      <c r="L72" s="244"/>
      <c r="M72" s="243"/>
    </row>
    <row r="73" spans="1:13" ht="28.5" customHeight="1" x14ac:dyDescent="0.2">
      <c r="A73" s="241" t="s">
        <v>282</v>
      </c>
      <c r="B73" s="240">
        <v>972437</v>
      </c>
      <c r="C73" s="239"/>
      <c r="D73" s="238"/>
      <c r="E73" s="223"/>
      <c r="F73" s="236"/>
      <c r="G73" s="236"/>
      <c r="H73" s="237"/>
      <c r="I73" s="237"/>
      <c r="J73" s="236"/>
      <c r="K73" s="236"/>
      <c r="L73" s="236"/>
      <c r="M73" s="235"/>
    </row>
    <row r="74" spans="1:13" ht="28.5" customHeight="1" x14ac:dyDescent="0.2">
      <c r="A74" s="241" t="s">
        <v>281</v>
      </c>
      <c r="B74" s="240">
        <v>74144</v>
      </c>
      <c r="C74" s="239"/>
      <c r="D74" s="238"/>
      <c r="E74" s="223"/>
      <c r="F74" s="236"/>
      <c r="G74" s="236"/>
      <c r="H74" s="237"/>
      <c r="I74" s="237"/>
      <c r="J74" s="236"/>
      <c r="K74" s="236"/>
      <c r="L74" s="236"/>
      <c r="M74" s="235"/>
    </row>
    <row r="75" spans="1:13" s="242" customFormat="1" ht="28.5" customHeight="1" x14ac:dyDescent="0.2">
      <c r="A75" s="249" t="s">
        <v>283</v>
      </c>
      <c r="B75" s="248">
        <f>4092904+536987-90000</f>
        <v>4539891</v>
      </c>
      <c r="C75" s="247">
        <f>SUM(B75)</f>
        <v>4539891</v>
      </c>
      <c r="D75" s="246">
        <f>C75-E75</f>
        <v>0</v>
      </c>
      <c r="E75" s="223">
        <f>SUM(F75:M75)</f>
        <v>4539891</v>
      </c>
      <c r="F75" s="244">
        <v>1993647</v>
      </c>
      <c r="G75" s="244">
        <v>1110979</v>
      </c>
      <c r="H75" s="245">
        <f>767350+125670</f>
        <v>893020</v>
      </c>
      <c r="I75" s="245"/>
      <c r="J75" s="244"/>
      <c r="K75" s="244"/>
      <c r="L75" s="244">
        <v>542245</v>
      </c>
      <c r="M75" s="243"/>
    </row>
    <row r="76" spans="1:13" ht="28.5" customHeight="1" x14ac:dyDescent="0.2">
      <c r="A76" s="241" t="s">
        <v>282</v>
      </c>
      <c r="B76" s="240">
        <f>3414418+450302+55524+270639+900+82880</f>
        <v>4274663</v>
      </c>
      <c r="C76" s="239"/>
      <c r="D76" s="238"/>
      <c r="E76" s="223"/>
      <c r="F76" s="236"/>
      <c r="G76" s="236"/>
      <c r="H76" s="237"/>
      <c r="I76" s="237"/>
      <c r="J76" s="236"/>
      <c r="K76" s="236"/>
      <c r="L76" s="236"/>
      <c r="M76" s="235"/>
    </row>
    <row r="77" spans="1:13" ht="28.5" customHeight="1" x14ac:dyDescent="0.2">
      <c r="A77" s="241" t="s">
        <v>281</v>
      </c>
      <c r="B77" s="240">
        <f>219097+7398+5089+33644</f>
        <v>265228</v>
      </c>
      <c r="C77" s="239"/>
      <c r="D77" s="238"/>
      <c r="E77" s="223"/>
      <c r="F77" s="236"/>
      <c r="G77" s="236"/>
      <c r="H77" s="237"/>
      <c r="I77" s="237"/>
      <c r="J77" s="236"/>
      <c r="K77" s="236"/>
      <c r="L77" s="236"/>
      <c r="M77" s="235"/>
    </row>
    <row r="78" spans="1:13" s="228" customFormat="1" ht="46.9" customHeight="1" x14ac:dyDescent="0.3">
      <c r="A78" s="234" t="s">
        <v>280</v>
      </c>
      <c r="B78" s="233">
        <f>SUM([2]ÖK.ÖSSZESÍTŐ!$O$68)</f>
        <v>8615991</v>
      </c>
      <c r="C78" s="232">
        <f>SUM(C65:C75)</f>
        <v>8615991</v>
      </c>
      <c r="D78" s="231">
        <f>C78-E78</f>
        <v>0</v>
      </c>
      <c r="E78" s="230">
        <f>SUM(F78:M78)</f>
        <v>8615991</v>
      </c>
      <c r="F78" s="230">
        <f t="shared" ref="F78:L78" si="11">SUM(F65:F75)</f>
        <v>3355141</v>
      </c>
      <c r="G78" s="230">
        <f t="shared" si="11"/>
        <v>1110979</v>
      </c>
      <c r="H78" s="230">
        <f t="shared" si="11"/>
        <v>3607626</v>
      </c>
      <c r="I78" s="230">
        <f t="shared" si="11"/>
        <v>0</v>
      </c>
      <c r="J78" s="230">
        <f t="shared" si="11"/>
        <v>0</v>
      </c>
      <c r="K78" s="230">
        <f t="shared" si="11"/>
        <v>0</v>
      </c>
      <c r="L78" s="230">
        <f t="shared" si="11"/>
        <v>542245</v>
      </c>
      <c r="M78" s="229"/>
    </row>
    <row r="79" spans="1:13" x14ac:dyDescent="0.2">
      <c r="A79" s="227"/>
      <c r="B79" s="226"/>
      <c r="C79" s="225"/>
      <c r="D79" s="224">
        <f>C79-E79</f>
        <v>0</v>
      </c>
      <c r="E79" s="223">
        <f>SUM(F79:M79)</f>
        <v>0</v>
      </c>
      <c r="F79" s="219"/>
      <c r="G79" s="219"/>
      <c r="H79" s="222"/>
      <c r="I79" s="221"/>
      <c r="J79" s="220"/>
      <c r="K79" s="220"/>
      <c r="L79" s="219"/>
      <c r="M79" s="218"/>
    </row>
    <row r="80" spans="1:13" s="211" customFormat="1" ht="21" thickBot="1" x14ac:dyDescent="0.35">
      <c r="A80" s="217" t="s">
        <v>279</v>
      </c>
      <c r="B80" s="216">
        <f>B78+B63+B57</f>
        <v>24732080.102362204</v>
      </c>
      <c r="C80" s="215">
        <f>C78+C63+C57</f>
        <v>24732080.102362204</v>
      </c>
      <c r="D80" s="214">
        <f>C80-E80</f>
        <v>0.10236220434308052</v>
      </c>
      <c r="E80" s="213">
        <f>SUM(F80:M80)</f>
        <v>24732080</v>
      </c>
      <c r="F80" s="213">
        <f t="shared" ref="F80:M80" si="12">F78+F63+F57</f>
        <v>10706873</v>
      </c>
      <c r="G80" s="213">
        <f t="shared" si="12"/>
        <v>1657738</v>
      </c>
      <c r="H80" s="213">
        <f t="shared" si="12"/>
        <v>4796993</v>
      </c>
      <c r="I80" s="213">
        <f t="shared" si="12"/>
        <v>373957</v>
      </c>
      <c r="J80" s="213">
        <f t="shared" si="12"/>
        <v>130000</v>
      </c>
      <c r="K80" s="213">
        <f t="shared" si="12"/>
        <v>244000</v>
      </c>
      <c r="L80" s="213">
        <f t="shared" si="12"/>
        <v>5021519</v>
      </c>
      <c r="M80" s="212">
        <f t="shared" si="12"/>
        <v>1801000</v>
      </c>
    </row>
  </sheetData>
  <mergeCells count="15">
    <mergeCell ref="A3:J3"/>
    <mergeCell ref="A4:J4"/>
    <mergeCell ref="K5:M5"/>
    <mergeCell ref="L6:M7"/>
    <mergeCell ref="M8:M9"/>
    <mergeCell ref="A8:A9"/>
    <mergeCell ref="B8:B9"/>
    <mergeCell ref="C8:C9"/>
    <mergeCell ref="F8:F9"/>
    <mergeCell ref="H8:I8"/>
    <mergeCell ref="L8:L9"/>
    <mergeCell ref="E8:E9"/>
    <mergeCell ref="D8:D9"/>
    <mergeCell ref="G8:G9"/>
    <mergeCell ref="J8:K8"/>
  </mergeCells>
  <pageMargins left="0.39370078740157483" right="0.39370078740157483" top="0.74803149606299213" bottom="0.74803149606299213" header="0.31496062992125984" footer="0.31496062992125984"/>
  <pageSetup paperSize="9" scale="33" orientation="portrait" horizontalDpi="4294967293" verticalDpi="4294967293" r:id="rId1"/>
  <colBreaks count="1" manualBreakCount="1">
    <brk id="14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BreakPreview" zoomScaleNormal="100" zoomScaleSheetLayoutView="100" workbookViewId="0">
      <selection sqref="A1:B1"/>
    </sheetView>
  </sheetViews>
  <sheetFormatPr defaultColWidth="9.140625" defaultRowHeight="15" x14ac:dyDescent="0.25"/>
  <cols>
    <col min="1" max="1" width="68.140625" style="314" customWidth="1"/>
    <col min="2" max="2" width="25.28515625" style="315" bestFit="1" customWidth="1"/>
    <col min="3" max="16384" width="9.140625" style="314"/>
  </cols>
  <sheetData>
    <row r="1" spans="1:4" ht="72" customHeight="1" x14ac:dyDescent="0.25">
      <c r="A1" s="1440" t="s">
        <v>876</v>
      </c>
      <c r="B1" s="1440"/>
    </row>
    <row r="2" spans="1:4" ht="18.75" x14ac:dyDescent="0.3">
      <c r="A2" s="325"/>
      <c r="B2" s="326" t="s">
        <v>366</v>
      </c>
      <c r="C2" s="324"/>
      <c r="D2" s="324"/>
    </row>
    <row r="3" spans="1:4" ht="18.75" x14ac:dyDescent="0.3">
      <c r="A3" s="325"/>
      <c r="B3" s="324"/>
      <c r="C3" s="324"/>
      <c r="D3" s="324"/>
    </row>
    <row r="4" spans="1:4" ht="15.75" thickBot="1" x14ac:dyDescent="0.3">
      <c r="B4" s="323" t="s">
        <v>277</v>
      </c>
    </row>
    <row r="5" spans="1:4" ht="15.75" x14ac:dyDescent="0.25">
      <c r="A5" s="322" t="s">
        <v>365</v>
      </c>
      <c r="B5" s="321" t="s">
        <v>364</v>
      </c>
    </row>
    <row r="6" spans="1:4" ht="15.75" x14ac:dyDescent="0.25">
      <c r="A6" s="320" t="s">
        <v>363</v>
      </c>
      <c r="B6" s="318">
        <v>200000</v>
      </c>
    </row>
    <row r="7" spans="1:4" ht="15.75" x14ac:dyDescent="0.25">
      <c r="A7" s="320" t="s">
        <v>362</v>
      </c>
      <c r="B7" s="318">
        <v>40000</v>
      </c>
    </row>
    <row r="8" spans="1:4" ht="15.75" x14ac:dyDescent="0.25">
      <c r="A8" s="319" t="s">
        <v>361</v>
      </c>
      <c r="B8" s="318">
        <v>290000</v>
      </c>
    </row>
    <row r="9" spans="1:4" ht="31.5" x14ac:dyDescent="0.25">
      <c r="A9" s="319" t="s">
        <v>360</v>
      </c>
      <c r="B9" s="318">
        <v>400000</v>
      </c>
    </row>
    <row r="10" spans="1:4" ht="15.75" x14ac:dyDescent="0.25">
      <c r="A10" s="319" t="s">
        <v>359</v>
      </c>
      <c r="B10" s="318">
        <v>80000</v>
      </c>
    </row>
    <row r="11" spans="1:4" ht="15.75" x14ac:dyDescent="0.25">
      <c r="A11" s="319" t="s">
        <v>358</v>
      </c>
      <c r="B11" s="318">
        <v>100000</v>
      </c>
    </row>
    <row r="12" spans="1:4" ht="15.75" x14ac:dyDescent="0.25">
      <c r="A12" s="319" t="s">
        <v>357</v>
      </c>
      <c r="B12" s="318">
        <v>140000</v>
      </c>
    </row>
    <row r="13" spans="1:4" ht="15.75" x14ac:dyDescent="0.25">
      <c r="A13" s="319" t="s">
        <v>356</v>
      </c>
      <c r="B13" s="318">
        <v>60000</v>
      </c>
    </row>
    <row r="14" spans="1:4" ht="15.75" x14ac:dyDescent="0.25">
      <c r="A14" s="319" t="s">
        <v>355</v>
      </c>
      <c r="B14" s="318">
        <v>40000</v>
      </c>
    </row>
    <row r="15" spans="1:4" ht="15.75" x14ac:dyDescent="0.25">
      <c r="A15" s="319" t="s">
        <v>354</v>
      </c>
      <c r="B15" s="318">
        <v>20000</v>
      </c>
    </row>
    <row r="16" spans="1:4" ht="15.75" x14ac:dyDescent="0.25">
      <c r="A16" s="319" t="s">
        <v>353</v>
      </c>
      <c r="B16" s="318">
        <v>10000</v>
      </c>
    </row>
    <row r="17" spans="1:2" ht="16.5" thickBot="1" x14ac:dyDescent="0.3">
      <c r="A17" s="317" t="s">
        <v>352</v>
      </c>
      <c r="B17" s="316">
        <f>SUM(B6:B16)</f>
        <v>1380000</v>
      </c>
    </row>
  </sheetData>
  <mergeCells count="1">
    <mergeCell ref="A1:B1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5"/>
  <sheetViews>
    <sheetView zoomScaleNormal="100" workbookViewId="0">
      <selection activeCell="A2" sqref="A2:K2"/>
    </sheetView>
  </sheetViews>
  <sheetFormatPr defaultColWidth="9.140625" defaultRowHeight="12.75" x14ac:dyDescent="0.2"/>
  <cols>
    <col min="1" max="1" width="43.7109375" style="864" customWidth="1"/>
    <col min="2" max="3" width="15.85546875" style="864" hidden="1" customWidth="1"/>
    <col min="4" max="4" width="15.7109375" style="864" customWidth="1"/>
    <col min="5" max="5" width="15.7109375" style="865" customWidth="1"/>
    <col min="6" max="6" width="8.85546875" style="864" customWidth="1"/>
    <col min="7" max="7" width="43.7109375" style="864" customWidth="1"/>
    <col min="8" max="8" width="15" style="864" hidden="1" customWidth="1"/>
    <col min="9" max="9" width="17.140625" style="864" hidden="1" customWidth="1"/>
    <col min="10" max="10" width="15.7109375" style="864" customWidth="1"/>
    <col min="11" max="11" width="15.7109375" style="865" customWidth="1"/>
    <col min="12" max="16384" width="9.140625" style="864"/>
  </cols>
  <sheetData>
    <row r="2" spans="1:11" ht="30" customHeight="1" x14ac:dyDescent="0.2">
      <c r="A2" s="1297" t="s">
        <v>877</v>
      </c>
      <c r="B2" s="1298"/>
      <c r="C2" s="1298"/>
      <c r="D2" s="1298"/>
      <c r="E2" s="1298"/>
      <c r="F2" s="1298"/>
      <c r="G2" s="1298"/>
      <c r="H2" s="1298"/>
      <c r="I2" s="1298"/>
      <c r="J2" s="1298"/>
      <c r="K2" s="1298"/>
    </row>
    <row r="4" spans="1:11" x14ac:dyDescent="0.2">
      <c r="K4" s="952" t="s">
        <v>812</v>
      </c>
    </row>
    <row r="5" spans="1:11" x14ac:dyDescent="0.2">
      <c r="K5" s="952"/>
    </row>
    <row r="6" spans="1:11" s="893" customFormat="1" ht="15.75" x14ac:dyDescent="0.25">
      <c r="A6" s="894" t="s">
        <v>187</v>
      </c>
      <c r="B6" s="894"/>
      <c r="C6" s="894"/>
      <c r="D6" s="894"/>
      <c r="E6" s="894"/>
      <c r="G6" s="894" t="s">
        <v>811</v>
      </c>
      <c r="H6" s="894"/>
      <c r="I6" s="894"/>
      <c r="J6" s="894"/>
      <c r="K6" s="894"/>
    </row>
    <row r="7" spans="1:11" s="932" customFormat="1" ht="13.5" thickBot="1" x14ac:dyDescent="0.25">
      <c r="E7" s="933"/>
      <c r="K7" s="202" t="s">
        <v>277</v>
      </c>
    </row>
    <row r="8" spans="1:11" ht="24.75" customHeight="1" x14ac:dyDescent="0.2">
      <c r="A8" s="1299" t="s">
        <v>810</v>
      </c>
      <c r="B8" s="1293" t="s">
        <v>809</v>
      </c>
      <c r="C8" s="1293" t="s">
        <v>808</v>
      </c>
      <c r="D8" s="1293" t="s">
        <v>273</v>
      </c>
      <c r="E8" s="1295" t="s">
        <v>272</v>
      </c>
      <c r="F8" s="951"/>
      <c r="G8" s="1299" t="s">
        <v>810</v>
      </c>
      <c r="H8" s="1293" t="s">
        <v>809</v>
      </c>
      <c r="I8" s="1293" t="s">
        <v>808</v>
      </c>
      <c r="J8" s="1293" t="s">
        <v>273</v>
      </c>
      <c r="K8" s="1295" t="s">
        <v>272</v>
      </c>
    </row>
    <row r="9" spans="1:11" ht="28.5" customHeight="1" thickBot="1" x14ac:dyDescent="0.25">
      <c r="A9" s="1300"/>
      <c r="B9" s="1294"/>
      <c r="C9" s="1294"/>
      <c r="D9" s="1294"/>
      <c r="E9" s="1296"/>
      <c r="F9" s="951"/>
      <c r="G9" s="1301"/>
      <c r="H9" s="1294"/>
      <c r="I9" s="1294"/>
      <c r="J9" s="1294"/>
      <c r="K9" s="1296"/>
    </row>
    <row r="10" spans="1:11" ht="19.149999999999999" customHeight="1" x14ac:dyDescent="0.2">
      <c r="A10" s="922" t="s">
        <v>807</v>
      </c>
      <c r="B10" s="884">
        <v>3782665</v>
      </c>
      <c r="C10" s="884">
        <v>3746366</v>
      </c>
      <c r="D10" s="950">
        <v>4796993</v>
      </c>
      <c r="E10" s="890">
        <f>SUM([2]ÖK.ÖSSZESÍTŐ!T70)</f>
        <v>4796993</v>
      </c>
      <c r="G10" s="930" t="s">
        <v>59</v>
      </c>
      <c r="H10" s="891">
        <v>5380306</v>
      </c>
      <c r="I10" s="891">
        <v>5512385</v>
      </c>
      <c r="J10" s="949">
        <v>5884612</v>
      </c>
      <c r="K10" s="890">
        <f>SUM([2]ÖK.ÖSSZESÍTŐ!C70)</f>
        <v>5884612</v>
      </c>
    </row>
    <row r="11" spans="1:11" ht="19.149999999999999" customHeight="1" x14ac:dyDescent="0.2">
      <c r="A11" s="881" t="s">
        <v>225</v>
      </c>
      <c r="B11" s="880">
        <v>13007722</v>
      </c>
      <c r="C11" s="880">
        <v>10382524</v>
      </c>
      <c r="D11" s="927">
        <v>10706873</v>
      </c>
      <c r="E11" s="882">
        <f>SUM([2]ÖK.ÖSSZESÍTŐ!U70)</f>
        <v>10706873</v>
      </c>
      <c r="G11" s="943" t="s">
        <v>376</v>
      </c>
      <c r="H11" s="942">
        <v>1017683</v>
      </c>
      <c r="I11" s="942">
        <v>934071</v>
      </c>
      <c r="J11" s="941">
        <v>897732</v>
      </c>
      <c r="K11" s="882">
        <f>SUM([2]ÖK.ÖSSZESÍTŐ!D70)</f>
        <v>897732</v>
      </c>
    </row>
    <row r="12" spans="1:11" ht="19.149999999999999" customHeight="1" x14ac:dyDescent="0.2">
      <c r="A12" s="881" t="s">
        <v>806</v>
      </c>
      <c r="B12" s="880">
        <v>1593212</v>
      </c>
      <c r="C12" s="880">
        <v>1244203</v>
      </c>
      <c r="D12" s="927">
        <v>1657738</v>
      </c>
      <c r="E12" s="882">
        <f>SUM([2]ÖK.ÖSSZESÍTŐ!V70)</f>
        <v>1657738</v>
      </c>
      <c r="G12" s="948" t="s">
        <v>53</v>
      </c>
      <c r="H12" s="879">
        <v>4331364</v>
      </c>
      <c r="I12" s="879">
        <v>3639350</v>
      </c>
      <c r="J12" s="947">
        <v>5913422.1023622043</v>
      </c>
      <c r="K12" s="882">
        <f>SUM([2]ÖK.ÖSSZESÍTŐ!E70)</f>
        <v>5913422.1023622043</v>
      </c>
    </row>
    <row r="13" spans="1:11" ht="19.149999999999999" customHeight="1" x14ac:dyDescent="0.2">
      <c r="A13" s="881" t="s">
        <v>805</v>
      </c>
      <c r="B13" s="880">
        <v>32816</v>
      </c>
      <c r="C13" s="880">
        <v>11223</v>
      </c>
      <c r="D13" s="927">
        <v>130000</v>
      </c>
      <c r="E13" s="882">
        <f>SUM([2]ÖK.ÖSSZESÍTŐ!W70)</f>
        <v>130000</v>
      </c>
      <c r="G13" s="948" t="s">
        <v>50</v>
      </c>
      <c r="H13" s="879">
        <v>377021</v>
      </c>
      <c r="I13" s="879">
        <v>205410</v>
      </c>
      <c r="J13" s="947">
        <v>333212</v>
      </c>
      <c r="K13" s="882">
        <f>SUM([2]ÖK.ÖSSZESÍTŐ!F70)</f>
        <v>333212</v>
      </c>
    </row>
    <row r="14" spans="1:11" ht="19.149999999999999" customHeight="1" x14ac:dyDescent="0.2">
      <c r="A14" s="881"/>
      <c r="B14" s="880"/>
      <c r="C14" s="880"/>
      <c r="D14" s="927"/>
      <c r="E14" s="882"/>
      <c r="G14" s="946" t="s">
        <v>47</v>
      </c>
      <c r="H14" s="942">
        <v>3038706</v>
      </c>
      <c r="I14" s="942">
        <v>3355309</v>
      </c>
      <c r="J14" s="941">
        <v>3946960</v>
      </c>
      <c r="K14" s="882">
        <f>SUM([2]ÖK.ÖSSZESÍTŐ!G70)</f>
        <v>3946960</v>
      </c>
    </row>
    <row r="15" spans="1:11" ht="19.149999999999999" customHeight="1" x14ac:dyDescent="0.2">
      <c r="A15" s="881"/>
      <c r="B15" s="945"/>
      <c r="C15" s="945"/>
      <c r="D15" s="944"/>
      <c r="E15" s="882"/>
      <c r="G15" s="943" t="s">
        <v>804</v>
      </c>
      <c r="H15" s="942">
        <v>0</v>
      </c>
      <c r="I15" s="942">
        <v>0</v>
      </c>
      <c r="J15" s="941">
        <v>813505</v>
      </c>
      <c r="K15" s="882">
        <f>SUM('6.sz.mell.Tartalék'!F9+'6.sz.mell.Tartalék'!F8)</f>
        <v>448701</v>
      </c>
    </row>
    <row r="16" spans="1:11" s="937" customFormat="1" ht="19.149999999999999" customHeight="1" thickBot="1" x14ac:dyDescent="0.3">
      <c r="A16" s="877" t="s">
        <v>803</v>
      </c>
      <c r="B16" s="919">
        <f>SUM(B10:B15)</f>
        <v>18416415</v>
      </c>
      <c r="C16" s="919">
        <f>SUM(C10:C15)</f>
        <v>15384316</v>
      </c>
      <c r="D16" s="918">
        <v>17291604</v>
      </c>
      <c r="E16" s="872">
        <f>SUM(E10:E15)</f>
        <v>17291604</v>
      </c>
      <c r="G16" s="916" t="s">
        <v>802</v>
      </c>
      <c r="H16" s="940">
        <f>SUM(H10:H15)</f>
        <v>14145080</v>
      </c>
      <c r="I16" s="940">
        <f>SUM(I10:I15)</f>
        <v>13646525</v>
      </c>
      <c r="J16" s="939">
        <v>17789443.102362204</v>
      </c>
      <c r="K16" s="938">
        <f>SUM(K10:K15)</f>
        <v>17424639.102362204</v>
      </c>
    </row>
    <row r="17" spans="1:12" ht="19.149999999999999" customHeight="1" x14ac:dyDescent="0.2">
      <c r="A17" s="922"/>
      <c r="B17" s="921"/>
      <c r="C17" s="921"/>
      <c r="D17" s="936"/>
      <c r="E17" s="882"/>
      <c r="G17" s="935"/>
      <c r="H17" s="928"/>
      <c r="I17" s="928"/>
      <c r="J17" s="928"/>
      <c r="K17" s="928"/>
    </row>
    <row r="18" spans="1:12" s="932" customFormat="1" ht="19.149999999999999" customHeight="1" thickBot="1" x14ac:dyDescent="0.25">
      <c r="A18" s="934" t="s">
        <v>801</v>
      </c>
      <c r="B18" s="908">
        <f>B16-H16</f>
        <v>4271335</v>
      </c>
      <c r="C18" s="907">
        <f>C16-I16</f>
        <v>1737791</v>
      </c>
      <c r="D18" s="907">
        <v>-497839.10236220434</v>
      </c>
      <c r="E18" s="906">
        <f>E16-K16</f>
        <v>-133035.10236220434</v>
      </c>
      <c r="K18" s="933"/>
    </row>
    <row r="19" spans="1:12" s="932" customFormat="1" ht="19.149999999999999" customHeight="1" x14ac:dyDescent="0.2">
      <c r="B19" s="933"/>
      <c r="E19" s="933"/>
      <c r="K19" s="933"/>
    </row>
    <row r="20" spans="1:12" s="893" customFormat="1" ht="19.149999999999999" customHeight="1" x14ac:dyDescent="0.25">
      <c r="A20" s="894" t="s">
        <v>152</v>
      </c>
      <c r="B20" s="894"/>
      <c r="C20" s="895"/>
      <c r="D20" s="895"/>
      <c r="E20" s="894"/>
      <c r="G20" s="894" t="s">
        <v>800</v>
      </c>
      <c r="H20" s="894"/>
      <c r="I20" s="894"/>
      <c r="J20" s="894"/>
      <c r="K20" s="894"/>
    </row>
    <row r="21" spans="1:12" s="932" customFormat="1" ht="19.149999999999999" customHeight="1" thickBot="1" x14ac:dyDescent="0.25">
      <c r="E21" s="933"/>
      <c r="K21" s="933"/>
    </row>
    <row r="22" spans="1:12" ht="19.149999999999999" customHeight="1" x14ac:dyDescent="0.2">
      <c r="A22" s="930" t="s">
        <v>799</v>
      </c>
      <c r="B22" s="892">
        <v>408644</v>
      </c>
      <c r="C22" s="892">
        <v>940841</v>
      </c>
      <c r="D22" s="931">
        <v>373957</v>
      </c>
      <c r="E22" s="890">
        <f>SUM([2]ÖK.ÖSSZESÍTŐ!Y70)</f>
        <v>373957</v>
      </c>
      <c r="G22" s="930" t="s">
        <v>32</v>
      </c>
      <c r="H22" s="892">
        <v>3613873</v>
      </c>
      <c r="I22" s="929">
        <v>2747893</v>
      </c>
      <c r="J22" s="928">
        <v>5652972</v>
      </c>
      <c r="K22" s="890">
        <f>SUM([2]ÖK.ÖSSZESÍTŐ!J70)</f>
        <v>5652972</v>
      </c>
    </row>
    <row r="23" spans="1:12" ht="19.149999999999999" customHeight="1" x14ac:dyDescent="0.2">
      <c r="A23" s="926" t="s">
        <v>152</v>
      </c>
      <c r="B23" s="925">
        <v>841882</v>
      </c>
      <c r="C23" s="880">
        <v>56186</v>
      </c>
      <c r="D23" s="927">
        <v>1801000</v>
      </c>
      <c r="E23" s="882">
        <f>SUM([2]ÖK.ÖSSZESÍTŐ!Z70)</f>
        <v>1801000</v>
      </c>
      <c r="G23" s="926" t="s">
        <v>29</v>
      </c>
      <c r="H23" s="925">
        <v>1737446</v>
      </c>
      <c r="I23" s="885">
        <v>865423</v>
      </c>
      <c r="J23" s="920">
        <v>656690</v>
      </c>
      <c r="K23" s="882">
        <f>SUM([2]ÖK.ÖSSZESÍTŐ!K70)</f>
        <v>656690</v>
      </c>
    </row>
    <row r="24" spans="1:12" ht="19.149999999999999" customHeight="1" x14ac:dyDescent="0.2">
      <c r="A24" s="926" t="s">
        <v>798</v>
      </c>
      <c r="B24" s="925">
        <v>454983</v>
      </c>
      <c r="C24" s="880">
        <v>244405</v>
      </c>
      <c r="D24" s="927">
        <v>244000</v>
      </c>
      <c r="E24" s="882">
        <f>SUM([2]ÖK.ÖSSZESÍTŐ!AA70)</f>
        <v>244000</v>
      </c>
      <c r="G24" s="926" t="s">
        <v>26</v>
      </c>
      <c r="H24" s="925">
        <v>1485243</v>
      </c>
      <c r="I24" s="885">
        <v>607722</v>
      </c>
      <c r="J24" s="920">
        <v>536733</v>
      </c>
      <c r="K24" s="882">
        <f>SUM([2]ÖK.ÖSSZESÍTŐ!L70)</f>
        <v>536733</v>
      </c>
    </row>
    <row r="25" spans="1:12" ht="19.149999999999999" customHeight="1" x14ac:dyDescent="0.2">
      <c r="A25" s="922"/>
      <c r="B25" s="921"/>
      <c r="C25" s="924"/>
      <c r="D25" s="923"/>
      <c r="E25" s="882"/>
      <c r="G25" s="922" t="s">
        <v>797</v>
      </c>
      <c r="H25" s="921">
        <v>0</v>
      </c>
      <c r="I25" s="885">
        <v>0</v>
      </c>
      <c r="J25" s="920">
        <v>271500</v>
      </c>
      <c r="K25" s="882">
        <f>SUM('6.sz.mell.Tartalék'!F82)</f>
        <v>271500</v>
      </c>
    </row>
    <row r="26" spans="1:12" ht="19.149999999999999" customHeight="1" thickBot="1" x14ac:dyDescent="0.3">
      <c r="A26" s="877" t="s">
        <v>796</v>
      </c>
      <c r="B26" s="919">
        <f>SUM(B22:B25)</f>
        <v>1705509</v>
      </c>
      <c r="C26" s="919">
        <f>SUM(C22:C25)</f>
        <v>1241432</v>
      </c>
      <c r="D26" s="918">
        <v>2418957</v>
      </c>
      <c r="E26" s="917">
        <f>SUM(E22:E25)</f>
        <v>2418957</v>
      </c>
      <c r="G26" s="916" t="s">
        <v>795</v>
      </c>
      <c r="H26" s="915">
        <f>SUM(H22:H25)</f>
        <v>6836562</v>
      </c>
      <c r="I26" s="915">
        <f>SUM(I22:I25)</f>
        <v>4221038</v>
      </c>
      <c r="J26" s="914">
        <v>7117895</v>
      </c>
      <c r="K26" s="913">
        <f>SUM(K22:K25)</f>
        <v>7117895</v>
      </c>
      <c r="L26" s="865"/>
    </row>
    <row r="27" spans="1:12" ht="19.149999999999999" customHeight="1" x14ac:dyDescent="0.25">
      <c r="A27" s="875"/>
      <c r="B27" s="915"/>
      <c r="C27" s="915"/>
      <c r="D27" s="914"/>
      <c r="E27" s="913"/>
      <c r="G27" s="912"/>
      <c r="H27" s="911"/>
      <c r="I27" s="911"/>
      <c r="J27" s="911"/>
      <c r="K27" s="910"/>
    </row>
    <row r="28" spans="1:12" s="867" customFormat="1" ht="19.149999999999999" customHeight="1" thickBot="1" x14ac:dyDescent="0.25">
      <c r="A28" s="909" t="s">
        <v>794</v>
      </c>
      <c r="B28" s="908">
        <f>B26-H26</f>
        <v>-5131053</v>
      </c>
      <c r="C28" s="907">
        <f>C26-I26</f>
        <v>-2979606</v>
      </c>
      <c r="D28" s="907">
        <v>-4698938</v>
      </c>
      <c r="E28" s="906">
        <f>E26-K26</f>
        <v>-4698938</v>
      </c>
      <c r="G28" s="905"/>
      <c r="H28" s="904"/>
      <c r="I28" s="904"/>
      <c r="J28" s="904"/>
      <c r="K28" s="904"/>
    </row>
    <row r="29" spans="1:12" s="898" customFormat="1" ht="19.149999999999999" customHeight="1" x14ac:dyDescent="0.2">
      <c r="A29" s="903"/>
      <c r="B29" s="902"/>
      <c r="C29" s="902"/>
      <c r="D29" s="901"/>
      <c r="E29" s="901"/>
      <c r="G29" s="900"/>
      <c r="H29" s="899"/>
      <c r="I29" s="899"/>
      <c r="J29" s="899"/>
      <c r="K29" s="899"/>
    </row>
    <row r="30" spans="1:12" s="894" customFormat="1" ht="19.149999999999999" customHeight="1" x14ac:dyDescent="0.25">
      <c r="A30" s="897" t="s">
        <v>793</v>
      </c>
      <c r="B30" s="896">
        <f>B16+B26-H16-H26</f>
        <v>-859718</v>
      </c>
      <c r="C30" s="896">
        <f>C16+C26-I16-I26</f>
        <v>-1241815</v>
      </c>
      <c r="D30" s="896">
        <v>-5196777.1023622043</v>
      </c>
      <c r="E30" s="896">
        <f>E16+E26-K16-K26</f>
        <v>-4831973.1023622043</v>
      </c>
      <c r="G30" s="864"/>
      <c r="H30" s="865"/>
      <c r="I30" s="864"/>
      <c r="J30" s="864"/>
      <c r="K30" s="865"/>
    </row>
    <row r="31" spans="1:12" ht="19.149999999999999" customHeight="1" x14ac:dyDescent="0.2">
      <c r="I31" s="865"/>
      <c r="J31" s="865"/>
    </row>
    <row r="32" spans="1:12" s="893" customFormat="1" ht="19.149999999999999" customHeight="1" x14ac:dyDescent="0.25">
      <c r="A32" s="894" t="s">
        <v>792</v>
      </c>
      <c r="B32" s="894"/>
      <c r="C32" s="895"/>
      <c r="D32" s="895"/>
      <c r="E32" s="894"/>
      <c r="G32" s="894" t="s">
        <v>791</v>
      </c>
      <c r="H32" s="894"/>
      <c r="I32" s="894"/>
      <c r="J32" s="894"/>
      <c r="K32" s="894"/>
    </row>
    <row r="33" spans="1:12" ht="19.149999999999999" customHeight="1" thickBot="1" x14ac:dyDescent="0.25"/>
    <row r="34" spans="1:12" ht="19.149999999999999" customHeight="1" x14ac:dyDescent="0.2">
      <c r="A34" s="889" t="s">
        <v>790</v>
      </c>
      <c r="B34" s="891">
        <v>240358</v>
      </c>
      <c r="C34" s="892">
        <v>189546</v>
      </c>
      <c r="D34" s="891">
        <v>1178136</v>
      </c>
      <c r="E34" s="890">
        <f>'1.a sz.melléklet'!G93+988590-364804</f>
        <v>813332</v>
      </c>
      <c r="G34" s="889" t="s">
        <v>789</v>
      </c>
      <c r="H34" s="888">
        <v>240358</v>
      </c>
      <c r="I34" s="888">
        <v>140215</v>
      </c>
      <c r="J34" s="887">
        <v>189546</v>
      </c>
      <c r="K34" s="886">
        <f>SUM([2]ÖK.ÖSSZESÍTŐ!M70)</f>
        <v>189546</v>
      </c>
      <c r="L34" s="865" t="s">
        <v>350</v>
      </c>
    </row>
    <row r="35" spans="1:12" ht="19.149999999999999" customHeight="1" x14ac:dyDescent="0.2">
      <c r="A35" s="881" t="s">
        <v>788</v>
      </c>
      <c r="B35" s="884">
        <f>5186718-240358</f>
        <v>4946360</v>
      </c>
      <c r="C35" s="884">
        <v>3728853</v>
      </c>
      <c r="D35" s="885">
        <v>4208187</v>
      </c>
      <c r="E35" s="882">
        <f>SUM('1.a sz.melléklet'!G78)-E34</f>
        <v>4208187</v>
      </c>
      <c r="G35" s="881" t="s">
        <v>787</v>
      </c>
      <c r="H35" s="880"/>
      <c r="I35" s="880"/>
      <c r="J35" s="879">
        <v>0</v>
      </c>
      <c r="K35" s="878">
        <v>0</v>
      </c>
    </row>
    <row r="36" spans="1:12" ht="19.149999999999999" hidden="1" customHeight="1" x14ac:dyDescent="0.2">
      <c r="A36" s="881"/>
      <c r="B36" s="884"/>
      <c r="C36" s="883"/>
      <c r="D36" s="883"/>
      <c r="E36" s="882"/>
      <c r="G36" s="881"/>
      <c r="H36" s="880"/>
      <c r="I36" s="880"/>
      <c r="J36" s="879"/>
      <c r="K36" s="878"/>
    </row>
    <row r="37" spans="1:12" ht="19.149999999999999" customHeight="1" x14ac:dyDescent="0.2">
      <c r="A37" s="881"/>
      <c r="B37" s="883"/>
      <c r="C37" s="883"/>
      <c r="D37" s="883"/>
      <c r="E37" s="882"/>
      <c r="G37" s="881" t="s">
        <v>786</v>
      </c>
      <c r="H37" s="880"/>
      <c r="I37" s="880"/>
      <c r="J37" s="879">
        <v>0</v>
      </c>
      <c r="K37" s="878">
        <v>0</v>
      </c>
    </row>
    <row r="38" spans="1:12" ht="19.149999999999999" customHeight="1" thickBot="1" x14ac:dyDescent="0.3">
      <c r="A38" s="877" t="s">
        <v>785</v>
      </c>
      <c r="B38" s="876">
        <f>SUM(B34:B35)</f>
        <v>5186718</v>
      </c>
      <c r="C38" s="876">
        <f>SUM(C34:C35)</f>
        <v>3918399</v>
      </c>
      <c r="D38" s="876">
        <v>5386323</v>
      </c>
      <c r="E38" s="872">
        <f>SUM(E34:E35)</f>
        <v>5021519</v>
      </c>
      <c r="G38" s="1270" t="s">
        <v>784</v>
      </c>
      <c r="H38" s="1271">
        <f>SUM(H34:H35)</f>
        <v>240358</v>
      </c>
      <c r="I38" s="1271">
        <f>SUM(I34:I37)</f>
        <v>140215</v>
      </c>
      <c r="J38" s="1272">
        <v>189546</v>
      </c>
      <c r="K38" s="1273">
        <f>K35+K37+K34</f>
        <v>189546</v>
      </c>
    </row>
    <row r="39" spans="1:12" ht="19.149999999999999" customHeight="1" x14ac:dyDescent="0.25">
      <c r="A39" s="875"/>
      <c r="B39" s="874"/>
      <c r="C39" s="874"/>
      <c r="D39" s="873"/>
      <c r="E39" s="872"/>
      <c r="G39" s="1274"/>
      <c r="H39" s="911"/>
      <c r="I39" s="911"/>
      <c r="J39" s="911"/>
      <c r="K39" s="910"/>
    </row>
    <row r="40" spans="1:12" ht="19.149999999999999" customHeight="1" thickBot="1" x14ac:dyDescent="0.25">
      <c r="A40" s="871" t="s">
        <v>783</v>
      </c>
      <c r="B40" s="870">
        <f>B38-H38</f>
        <v>4946360</v>
      </c>
      <c r="C40" s="869">
        <f>C38-I38</f>
        <v>3778184</v>
      </c>
      <c r="D40" s="869">
        <v>5196777</v>
      </c>
      <c r="E40" s="868">
        <f>E38-K38</f>
        <v>4831973</v>
      </c>
      <c r="F40" s="867"/>
      <c r="G40" s="1275"/>
      <c r="H40" s="1276"/>
      <c r="I40" s="1276"/>
      <c r="J40" s="1276"/>
      <c r="K40" s="1276"/>
    </row>
    <row r="41" spans="1:12" ht="19.149999999999999" customHeight="1" x14ac:dyDescent="0.2"/>
    <row r="43" spans="1:12" x14ac:dyDescent="0.2">
      <c r="G43" s="865"/>
    </row>
    <row r="65" spans="2:2" x14ac:dyDescent="0.2">
      <c r="B65" s="866"/>
    </row>
  </sheetData>
  <mergeCells count="11">
    <mergeCell ref="J8:J9"/>
    <mergeCell ref="H8:H9"/>
    <mergeCell ref="I8:I9"/>
    <mergeCell ref="K8:K9"/>
    <mergeCell ref="A2:K2"/>
    <mergeCell ref="A8:A9"/>
    <mergeCell ref="B8:B9"/>
    <mergeCell ref="C8:C9"/>
    <mergeCell ref="E8:E9"/>
    <mergeCell ref="G8:G9"/>
    <mergeCell ref="D8:D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W414"/>
  <sheetViews>
    <sheetView tabSelected="1" view="pageBreakPreview" zoomScale="60" zoomScaleNormal="120" workbookViewId="0">
      <selection activeCell="A2" sqref="A2:V2"/>
    </sheetView>
  </sheetViews>
  <sheetFormatPr defaultColWidth="9.140625" defaultRowHeight="12.75" x14ac:dyDescent="0.2"/>
  <cols>
    <col min="1" max="1" width="7.5703125" style="1" customWidth="1"/>
    <col min="2" max="2" width="42.85546875" style="1" customWidth="1"/>
    <col min="3" max="3" width="12.7109375" style="760" hidden="1" customWidth="1"/>
    <col min="4" max="4" width="12.7109375" style="760" customWidth="1"/>
    <col min="5" max="5" width="11" style="762" customWidth="1"/>
    <col min="6" max="6" width="14.28515625" style="761" bestFit="1" customWidth="1"/>
    <col min="7" max="7" width="10.5703125" style="760" hidden="1" customWidth="1"/>
    <col min="8" max="8" width="10.5703125" style="760" customWidth="1"/>
    <col min="9" max="9" width="11.7109375" style="1" bestFit="1" customWidth="1"/>
    <col min="10" max="10" width="14" style="153" bestFit="1" customWidth="1"/>
    <col min="11" max="11" width="12.7109375" style="759" hidden="1" customWidth="1"/>
    <col min="12" max="12" width="12.7109375" style="759" customWidth="1"/>
    <col min="13" max="13" width="12.7109375" style="758" customWidth="1"/>
    <col min="14" max="14" width="13.28515625" style="153" bestFit="1" customWidth="1"/>
    <col min="15" max="15" width="12.7109375" style="757" hidden="1" customWidth="1"/>
    <col min="16" max="16" width="12.7109375" style="757" customWidth="1"/>
    <col min="17" max="17" width="12.7109375" style="756" customWidth="1"/>
    <col min="18" max="18" width="13.42578125" style="755" customWidth="1"/>
    <col min="19" max="19" width="11.5703125" style="1" hidden="1" customWidth="1"/>
    <col min="20" max="21" width="11.5703125" style="1" customWidth="1"/>
    <col min="22" max="22" width="13.28515625" style="153" bestFit="1" customWidth="1"/>
    <col min="23" max="16384" width="9.140625" style="1"/>
  </cols>
  <sheetData>
    <row r="1" spans="1:22" x14ac:dyDescent="0.2">
      <c r="O1" s="767"/>
      <c r="P1" s="767"/>
      <c r="Q1" s="408"/>
      <c r="R1" s="765"/>
    </row>
    <row r="2" spans="1:22" ht="32.25" customHeight="1" x14ac:dyDescent="0.3">
      <c r="A2" s="1302" t="s">
        <v>878</v>
      </c>
      <c r="B2" s="1302"/>
      <c r="C2" s="1302"/>
      <c r="D2" s="1302"/>
      <c r="E2" s="1302"/>
      <c r="F2" s="1302"/>
      <c r="G2" s="1302"/>
      <c r="H2" s="1302"/>
      <c r="I2" s="1302"/>
      <c r="J2" s="1302"/>
      <c r="K2" s="1302"/>
      <c r="L2" s="1302"/>
      <c r="M2" s="1302"/>
      <c r="N2" s="1302"/>
      <c r="O2" s="1302"/>
      <c r="P2" s="1302"/>
      <c r="Q2" s="1302"/>
      <c r="R2" s="1302"/>
      <c r="S2" s="1302"/>
      <c r="T2" s="1302"/>
      <c r="U2" s="1302"/>
      <c r="V2" s="1302"/>
    </row>
    <row r="3" spans="1:22" ht="32.25" customHeight="1" x14ac:dyDescent="0.3">
      <c r="C3" s="1266"/>
      <c r="D3" s="1266"/>
      <c r="E3" s="1266"/>
      <c r="F3" s="1266"/>
      <c r="G3" s="1266"/>
      <c r="H3" s="1266"/>
      <c r="I3" s="1266"/>
      <c r="J3" s="1266"/>
      <c r="K3" s="1266"/>
      <c r="L3" s="1266"/>
      <c r="M3" s="1266"/>
      <c r="N3" s="1266"/>
      <c r="O3" s="1266"/>
      <c r="P3" s="1266"/>
      <c r="Q3" s="1266"/>
      <c r="R3" s="1266"/>
      <c r="S3" s="1266"/>
      <c r="T3" s="1256"/>
      <c r="U3" s="754"/>
      <c r="V3" s="754"/>
    </row>
    <row r="4" spans="1:22" ht="15" customHeight="1" x14ac:dyDescent="0.25">
      <c r="O4"/>
      <c r="P4"/>
      <c r="Q4" s="408"/>
      <c r="R4" s="765"/>
      <c r="S4" s="863"/>
      <c r="T4" s="863"/>
      <c r="U4" s="1311" t="s">
        <v>782</v>
      </c>
      <c r="V4" s="1285"/>
    </row>
    <row r="5" spans="1:22" ht="15" customHeight="1" x14ac:dyDescent="0.25">
      <c r="O5"/>
      <c r="P5"/>
      <c r="Q5" s="408"/>
      <c r="R5" s="765"/>
      <c r="S5" s="863"/>
      <c r="T5" s="863"/>
      <c r="U5" s="1258"/>
      <c r="V5" s="1257"/>
    </row>
    <row r="6" spans="1:22" ht="15.75" thickBot="1" x14ac:dyDescent="0.3">
      <c r="F6" s="862"/>
      <c r="G6" s="767"/>
      <c r="H6" s="767"/>
      <c r="O6"/>
      <c r="P6"/>
      <c r="Q6" s="408"/>
      <c r="R6" s="765"/>
      <c r="V6" s="861" t="s">
        <v>277</v>
      </c>
    </row>
    <row r="7" spans="1:22" s="860" customFormat="1" ht="15" customHeight="1" x14ac:dyDescent="0.25">
      <c r="A7" s="1303" t="s">
        <v>276</v>
      </c>
      <c r="B7" s="1306" t="s">
        <v>438</v>
      </c>
      <c r="C7" s="1308" t="s">
        <v>781</v>
      </c>
      <c r="D7" s="1308"/>
      <c r="E7" s="1309"/>
      <c r="F7" s="1309"/>
      <c r="G7" s="1308" t="s">
        <v>762</v>
      </c>
      <c r="H7" s="1308"/>
      <c r="I7" s="1309"/>
      <c r="J7" s="1309"/>
      <c r="K7" s="1308" t="s">
        <v>780</v>
      </c>
      <c r="L7" s="1308"/>
      <c r="M7" s="1309"/>
      <c r="N7" s="1309"/>
      <c r="O7" s="1308" t="s">
        <v>335</v>
      </c>
      <c r="P7" s="1308"/>
      <c r="Q7" s="1309"/>
      <c r="R7" s="1309"/>
      <c r="S7" s="1308" t="s">
        <v>779</v>
      </c>
      <c r="T7" s="1308"/>
      <c r="U7" s="1309"/>
      <c r="V7" s="1312"/>
    </row>
    <row r="8" spans="1:22" s="854" customFormat="1" ht="15" customHeight="1" x14ac:dyDescent="0.2">
      <c r="A8" s="1304"/>
      <c r="B8" s="1307"/>
      <c r="C8" s="1310"/>
      <c r="D8" s="1310"/>
      <c r="E8" s="1310"/>
      <c r="F8" s="1310"/>
      <c r="G8" s="1310"/>
      <c r="H8" s="1310"/>
      <c r="I8" s="1310"/>
      <c r="J8" s="1310"/>
      <c r="K8" s="1310"/>
      <c r="L8" s="1310"/>
      <c r="M8" s="1310"/>
      <c r="N8" s="1310"/>
      <c r="O8" s="1310"/>
      <c r="P8" s="1310"/>
      <c r="Q8" s="1310"/>
      <c r="R8" s="1310"/>
      <c r="S8" s="1310"/>
      <c r="T8" s="1310"/>
      <c r="U8" s="1310"/>
      <c r="V8" s="1313"/>
    </row>
    <row r="9" spans="1:22" s="854" customFormat="1" ht="27" customHeight="1" thickBot="1" x14ac:dyDescent="0.25">
      <c r="A9" s="1305"/>
      <c r="B9" s="859" t="s">
        <v>778</v>
      </c>
      <c r="C9" s="856" t="s">
        <v>777</v>
      </c>
      <c r="D9" s="856" t="s">
        <v>273</v>
      </c>
      <c r="E9" s="856" t="s">
        <v>272</v>
      </c>
      <c r="F9" s="858" t="s">
        <v>598</v>
      </c>
      <c r="G9" s="856" t="s">
        <v>777</v>
      </c>
      <c r="H9" s="856" t="s">
        <v>273</v>
      </c>
      <c r="I9" s="856" t="s">
        <v>272</v>
      </c>
      <c r="J9" s="857" t="s">
        <v>598</v>
      </c>
      <c r="K9" s="856" t="s">
        <v>777</v>
      </c>
      <c r="L9" s="856" t="s">
        <v>273</v>
      </c>
      <c r="M9" s="856" t="s">
        <v>272</v>
      </c>
      <c r="N9" s="857" t="s">
        <v>598</v>
      </c>
      <c r="O9" s="856" t="s">
        <v>777</v>
      </c>
      <c r="P9" s="856" t="s">
        <v>273</v>
      </c>
      <c r="Q9" s="856" t="s">
        <v>272</v>
      </c>
      <c r="R9" s="857" t="s">
        <v>598</v>
      </c>
      <c r="S9" s="856" t="s">
        <v>777</v>
      </c>
      <c r="T9" s="856" t="s">
        <v>273</v>
      </c>
      <c r="U9" s="856" t="s">
        <v>272</v>
      </c>
      <c r="V9" s="855" t="s">
        <v>598</v>
      </c>
    </row>
    <row r="10" spans="1:22" s="183" customFormat="1" ht="15" x14ac:dyDescent="0.25">
      <c r="A10" s="853" t="s">
        <v>64</v>
      </c>
      <c r="B10" s="852" t="s">
        <v>424</v>
      </c>
      <c r="C10" s="851"/>
      <c r="D10" s="850"/>
      <c r="E10" s="849"/>
      <c r="F10" s="848"/>
      <c r="G10" s="845"/>
      <c r="H10" s="844"/>
      <c r="I10" s="847"/>
      <c r="J10" s="846"/>
      <c r="K10" s="845"/>
      <c r="L10" s="844"/>
      <c r="M10" s="840"/>
      <c r="N10" s="843"/>
      <c r="O10" s="842"/>
      <c r="P10" s="841"/>
      <c r="Q10" s="840"/>
      <c r="R10" s="843"/>
      <c r="S10" s="842"/>
      <c r="T10" s="841"/>
      <c r="U10" s="840"/>
      <c r="V10" s="839"/>
    </row>
    <row r="11" spans="1:22" s="159" customFormat="1" ht="35.25" customHeight="1" x14ac:dyDescent="0.25">
      <c r="A11" s="66" t="s">
        <v>72</v>
      </c>
      <c r="B11" s="832" t="s">
        <v>267</v>
      </c>
      <c r="C11" s="838">
        <v>0</v>
      </c>
      <c r="D11" s="789">
        <v>0</v>
      </c>
      <c r="E11" s="789">
        <f>SUM(E12:E14)</f>
        <v>0</v>
      </c>
      <c r="F11" s="793"/>
      <c r="G11" s="790">
        <v>0</v>
      </c>
      <c r="H11" s="789">
        <v>0</v>
      </c>
      <c r="I11" s="789">
        <f>SUM(I12:I14)</f>
        <v>0</v>
      </c>
      <c r="J11" s="836"/>
      <c r="K11" s="790">
        <v>0</v>
      </c>
      <c r="L11" s="789">
        <v>0</v>
      </c>
      <c r="M11" s="789">
        <f>I11+E11</f>
        <v>0</v>
      </c>
      <c r="N11" s="814"/>
      <c r="O11" s="815">
        <v>3557326</v>
      </c>
      <c r="P11" s="813">
        <v>4796993</v>
      </c>
      <c r="Q11" s="813">
        <f>SUM(Q12:Q14)</f>
        <v>4796993</v>
      </c>
      <c r="R11" s="814">
        <f t="shared" ref="R11:R45" si="0">Q11/P11</f>
        <v>1</v>
      </c>
      <c r="S11" s="790">
        <v>3557326</v>
      </c>
      <c r="T11" s="789">
        <v>4796993</v>
      </c>
      <c r="U11" s="813">
        <f t="shared" ref="U11:U39" si="1">Q11+M11</f>
        <v>4796993</v>
      </c>
      <c r="V11" s="812">
        <f t="shared" ref="V11:V42" si="2">U11/T11</f>
        <v>1</v>
      </c>
    </row>
    <row r="12" spans="1:22" ht="35.25" hidden="1" customHeight="1" x14ac:dyDescent="0.25">
      <c r="A12" s="611"/>
      <c r="B12" s="810" t="s">
        <v>769</v>
      </c>
      <c r="C12" s="835"/>
      <c r="D12" s="800"/>
      <c r="E12" s="800"/>
      <c r="F12" s="834"/>
      <c r="G12" s="806">
        <v>0</v>
      </c>
      <c r="H12" s="805">
        <v>0</v>
      </c>
      <c r="I12" s="800">
        <f>SUM('[2]Segédtábla 2.sz.melléklethez'!BE6)</f>
        <v>0</v>
      </c>
      <c r="J12" s="836"/>
      <c r="K12" s="801">
        <v>0</v>
      </c>
      <c r="L12" s="800">
        <v>0</v>
      </c>
      <c r="M12" s="800">
        <f>I12+E12</f>
        <v>0</v>
      </c>
      <c r="N12" s="802"/>
      <c r="O12" s="803">
        <v>0</v>
      </c>
      <c r="P12" s="799">
        <v>0</v>
      </c>
      <c r="Q12" s="799">
        <f>SUM('[2]Segédtábla 2.sz.melléklethez'!AD6)</f>
        <v>0</v>
      </c>
      <c r="R12" s="802" t="e">
        <f t="shared" si="0"/>
        <v>#DIV/0!</v>
      </c>
      <c r="S12" s="801">
        <v>0</v>
      </c>
      <c r="T12" s="800">
        <v>0</v>
      </c>
      <c r="U12" s="799">
        <f t="shared" si="1"/>
        <v>0</v>
      </c>
      <c r="V12" s="798" t="e">
        <f t="shared" si="2"/>
        <v>#DIV/0!</v>
      </c>
    </row>
    <row r="13" spans="1:22" ht="35.25" hidden="1" customHeight="1" x14ac:dyDescent="0.25">
      <c r="A13" s="611"/>
      <c r="B13" s="810" t="s">
        <v>768</v>
      </c>
      <c r="C13" s="835">
        <v>0</v>
      </c>
      <c r="D13" s="800">
        <v>0</v>
      </c>
      <c r="E13" s="800">
        <f>SUM([2]ÖK.ÖSSZESÍTŐ!T65)</f>
        <v>0</v>
      </c>
      <c r="F13" s="834"/>
      <c r="G13" s="806">
        <v>0</v>
      </c>
      <c r="H13" s="805">
        <v>0</v>
      </c>
      <c r="I13" s="805">
        <f>SUM('[2]Segédtábla 2.sz.melléklethez'!BE7)</f>
        <v>0</v>
      </c>
      <c r="J13" s="836"/>
      <c r="K13" s="801">
        <v>0</v>
      </c>
      <c r="L13" s="800">
        <v>0</v>
      </c>
      <c r="M13" s="800">
        <f>I13+E13</f>
        <v>0</v>
      </c>
      <c r="N13" s="802"/>
      <c r="O13" s="803">
        <v>3557326</v>
      </c>
      <c r="P13" s="799">
        <v>4795463</v>
      </c>
      <c r="Q13" s="799">
        <f>SUM('[2]Segédtábla 2.sz.melléklethez'!AD7)</f>
        <v>4795463</v>
      </c>
      <c r="R13" s="802">
        <f t="shared" si="0"/>
        <v>1</v>
      </c>
      <c r="S13" s="801">
        <v>3557326</v>
      </c>
      <c r="T13" s="800">
        <v>4795463</v>
      </c>
      <c r="U13" s="799">
        <f t="shared" si="1"/>
        <v>4795463</v>
      </c>
      <c r="V13" s="798">
        <f t="shared" si="2"/>
        <v>1</v>
      </c>
    </row>
    <row r="14" spans="1:22" ht="35.25" hidden="1" customHeight="1" x14ac:dyDescent="0.25">
      <c r="A14" s="611"/>
      <c r="B14" s="810" t="s">
        <v>767</v>
      </c>
      <c r="C14" s="835"/>
      <c r="D14" s="800"/>
      <c r="E14" s="800"/>
      <c r="F14" s="834"/>
      <c r="G14" s="806">
        <v>0</v>
      </c>
      <c r="H14" s="805">
        <v>0</v>
      </c>
      <c r="I14" s="805">
        <f>SUM('[2]Segédtábla 2.sz.melléklethez'!BE8)</f>
        <v>0</v>
      </c>
      <c r="J14" s="836"/>
      <c r="K14" s="801">
        <v>0</v>
      </c>
      <c r="L14" s="800">
        <v>0</v>
      </c>
      <c r="M14" s="800">
        <f>I14+E14</f>
        <v>0</v>
      </c>
      <c r="N14" s="802"/>
      <c r="O14" s="803">
        <v>0</v>
      </c>
      <c r="P14" s="799">
        <v>1530</v>
      </c>
      <c r="Q14" s="799">
        <f>SUM('[2]Segédtábla 2.sz.melléklethez'!AD8)</f>
        <v>1530</v>
      </c>
      <c r="R14" s="802">
        <f t="shared" si="0"/>
        <v>1</v>
      </c>
      <c r="S14" s="801">
        <v>0</v>
      </c>
      <c r="T14" s="800">
        <v>1530</v>
      </c>
      <c r="U14" s="799">
        <f t="shared" si="1"/>
        <v>1530</v>
      </c>
      <c r="V14" s="798">
        <f t="shared" si="2"/>
        <v>1</v>
      </c>
    </row>
    <row r="15" spans="1:22" s="159" customFormat="1" ht="35.25" customHeight="1" x14ac:dyDescent="0.25">
      <c r="A15" s="66" t="s">
        <v>70</v>
      </c>
      <c r="B15" s="832" t="s">
        <v>232</v>
      </c>
      <c r="C15" s="790">
        <v>0</v>
      </c>
      <c r="D15" s="789">
        <v>0</v>
      </c>
      <c r="E15" s="789">
        <f>SUM(E16:E18)</f>
        <v>0</v>
      </c>
      <c r="F15" s="793"/>
      <c r="G15" s="790">
        <v>0</v>
      </c>
      <c r="H15" s="789">
        <v>0</v>
      </c>
      <c r="I15" s="789">
        <f>SUM(I17:I18)</f>
        <v>0</v>
      </c>
      <c r="J15" s="836"/>
      <c r="K15" s="790">
        <v>0</v>
      </c>
      <c r="L15" s="789">
        <v>0</v>
      </c>
      <c r="M15" s="789">
        <f>I15+E15</f>
        <v>0</v>
      </c>
      <c r="N15" s="814"/>
      <c r="O15" s="815">
        <v>1078733</v>
      </c>
      <c r="P15" s="813">
        <v>373957</v>
      </c>
      <c r="Q15" s="813">
        <f>SUM(Q16:Q18)</f>
        <v>373957</v>
      </c>
      <c r="R15" s="814">
        <f t="shared" si="0"/>
        <v>1</v>
      </c>
      <c r="S15" s="790">
        <v>1078733</v>
      </c>
      <c r="T15" s="789">
        <v>373957</v>
      </c>
      <c r="U15" s="813">
        <f t="shared" si="1"/>
        <v>373957</v>
      </c>
      <c r="V15" s="812">
        <f t="shared" si="2"/>
        <v>1</v>
      </c>
    </row>
    <row r="16" spans="1:22" ht="35.25" hidden="1" customHeight="1" x14ac:dyDescent="0.2">
      <c r="A16" s="611"/>
      <c r="B16" s="810" t="s">
        <v>769</v>
      </c>
      <c r="C16" s="835"/>
      <c r="D16" s="800"/>
      <c r="E16" s="800"/>
      <c r="F16" s="834"/>
      <c r="G16" s="801"/>
      <c r="H16" s="800"/>
      <c r="I16" s="800"/>
      <c r="J16" s="837"/>
      <c r="K16" s="801"/>
      <c r="L16" s="800"/>
      <c r="M16" s="800"/>
      <c r="N16" s="802"/>
      <c r="O16" s="801"/>
      <c r="P16" s="800"/>
      <c r="Q16" s="799"/>
      <c r="R16" s="802" t="e">
        <f t="shared" si="0"/>
        <v>#DIV/0!</v>
      </c>
      <c r="S16" s="801">
        <v>0</v>
      </c>
      <c r="T16" s="800">
        <v>0</v>
      </c>
      <c r="U16" s="799">
        <f t="shared" si="1"/>
        <v>0</v>
      </c>
      <c r="V16" s="798" t="e">
        <f t="shared" si="2"/>
        <v>#DIV/0!</v>
      </c>
    </row>
    <row r="17" spans="1:22" ht="35.25" hidden="1" customHeight="1" x14ac:dyDescent="0.25">
      <c r="A17" s="611"/>
      <c r="B17" s="810" t="s">
        <v>768</v>
      </c>
      <c r="C17" s="835">
        <v>0</v>
      </c>
      <c r="D17" s="800">
        <v>0</v>
      </c>
      <c r="E17" s="800">
        <f>SUM([2]ÖK.ÖSSZESÍTŐ!Y65)</f>
        <v>0</v>
      </c>
      <c r="F17" s="834"/>
      <c r="G17" s="806">
        <v>0</v>
      </c>
      <c r="H17" s="805">
        <v>0</v>
      </c>
      <c r="I17" s="805">
        <f>SUM('[2]Segédtábla 2.sz.melléklethez'!BE11)</f>
        <v>0</v>
      </c>
      <c r="J17" s="836"/>
      <c r="K17" s="801">
        <v>0</v>
      </c>
      <c r="L17" s="800">
        <v>0</v>
      </c>
      <c r="M17" s="800">
        <f t="shared" ref="M17:M40" si="3">I17+E17</f>
        <v>0</v>
      </c>
      <c r="N17" s="802"/>
      <c r="O17" s="803">
        <v>0</v>
      </c>
      <c r="P17" s="799">
        <v>138884</v>
      </c>
      <c r="Q17" s="799">
        <f>SUM('[2]Segédtábla 2.sz.melléklethez'!AD11)</f>
        <v>138884</v>
      </c>
      <c r="R17" s="802">
        <f t="shared" si="0"/>
        <v>1</v>
      </c>
      <c r="S17" s="801">
        <v>0</v>
      </c>
      <c r="T17" s="800">
        <v>138884</v>
      </c>
      <c r="U17" s="799">
        <f t="shared" si="1"/>
        <v>138884</v>
      </c>
      <c r="V17" s="798">
        <f t="shared" si="2"/>
        <v>1</v>
      </c>
    </row>
    <row r="18" spans="1:22" ht="35.25" hidden="1" customHeight="1" x14ac:dyDescent="0.25">
      <c r="A18" s="611"/>
      <c r="B18" s="810" t="s">
        <v>767</v>
      </c>
      <c r="C18" s="835"/>
      <c r="D18" s="800"/>
      <c r="E18" s="800"/>
      <c r="F18" s="834"/>
      <c r="G18" s="806">
        <v>0</v>
      </c>
      <c r="H18" s="805">
        <v>0</v>
      </c>
      <c r="I18" s="805">
        <f>SUM('[2]Segédtábla 2.sz.melléklethez'!BE12)</f>
        <v>0</v>
      </c>
      <c r="J18" s="836"/>
      <c r="K18" s="801">
        <v>0</v>
      </c>
      <c r="L18" s="800">
        <v>0</v>
      </c>
      <c r="M18" s="800">
        <f t="shared" si="3"/>
        <v>0</v>
      </c>
      <c r="N18" s="802"/>
      <c r="O18" s="803">
        <v>1078733</v>
      </c>
      <c r="P18" s="799">
        <v>235073</v>
      </c>
      <c r="Q18" s="799">
        <f>SUM('[2]Segédtábla 2.sz.melléklethez'!AD12)</f>
        <v>235073</v>
      </c>
      <c r="R18" s="802">
        <f t="shared" si="0"/>
        <v>1</v>
      </c>
      <c r="S18" s="801">
        <v>1078733</v>
      </c>
      <c r="T18" s="800">
        <v>235073</v>
      </c>
      <c r="U18" s="799">
        <f t="shared" si="1"/>
        <v>235073</v>
      </c>
      <c r="V18" s="798">
        <f t="shared" si="2"/>
        <v>1</v>
      </c>
    </row>
    <row r="19" spans="1:22" s="159" customFormat="1" ht="35.25" customHeight="1" x14ac:dyDescent="0.25">
      <c r="A19" s="66" t="s">
        <v>91</v>
      </c>
      <c r="B19" s="832" t="s">
        <v>225</v>
      </c>
      <c r="C19" s="790">
        <v>0</v>
      </c>
      <c r="D19" s="789">
        <v>0</v>
      </c>
      <c r="E19" s="789">
        <f>SUM(E20:E22)</f>
        <v>0</v>
      </c>
      <c r="F19" s="793"/>
      <c r="G19" s="790">
        <v>2106</v>
      </c>
      <c r="H19" s="789">
        <v>8000</v>
      </c>
      <c r="I19" s="789">
        <f>SUM(I20:I22)</f>
        <v>8000</v>
      </c>
      <c r="J19" s="792">
        <f t="shared" ref="J19:J26" si="4">I19/H19</f>
        <v>1</v>
      </c>
      <c r="K19" s="790">
        <v>2106</v>
      </c>
      <c r="L19" s="789">
        <v>8000</v>
      </c>
      <c r="M19" s="789">
        <f t="shared" si="3"/>
        <v>8000</v>
      </c>
      <c r="N19" s="814">
        <f t="shared" ref="N19:N26" si="5">M19/L19</f>
        <v>1</v>
      </c>
      <c r="O19" s="815">
        <v>13107844</v>
      </c>
      <c r="P19" s="813">
        <v>10698873</v>
      </c>
      <c r="Q19" s="813">
        <f>SUM(Q20:Q22)</f>
        <v>10698873</v>
      </c>
      <c r="R19" s="814">
        <f t="shared" si="0"/>
        <v>1</v>
      </c>
      <c r="S19" s="790">
        <v>13109950</v>
      </c>
      <c r="T19" s="789">
        <v>10706873</v>
      </c>
      <c r="U19" s="813">
        <f t="shared" si="1"/>
        <v>10706873</v>
      </c>
      <c r="V19" s="812">
        <f t="shared" si="2"/>
        <v>1</v>
      </c>
    </row>
    <row r="20" spans="1:22" ht="35.25" hidden="1" customHeight="1" x14ac:dyDescent="0.2">
      <c r="A20" s="611"/>
      <c r="B20" s="810" t="s">
        <v>769</v>
      </c>
      <c r="C20" s="835"/>
      <c r="D20" s="800"/>
      <c r="E20" s="800"/>
      <c r="F20" s="834"/>
      <c r="G20" s="806">
        <v>0</v>
      </c>
      <c r="H20" s="805">
        <v>0</v>
      </c>
      <c r="I20" s="805">
        <f>SUM('[2]Segédtábla 2.sz.melléklethez'!BE14)</f>
        <v>0</v>
      </c>
      <c r="J20" s="804" t="e">
        <f t="shared" si="4"/>
        <v>#DIV/0!</v>
      </c>
      <c r="K20" s="801">
        <v>0</v>
      </c>
      <c r="L20" s="800">
        <v>0</v>
      </c>
      <c r="M20" s="800">
        <f t="shared" si="3"/>
        <v>0</v>
      </c>
      <c r="N20" s="802" t="e">
        <f t="shared" si="5"/>
        <v>#DIV/0!</v>
      </c>
      <c r="O20" s="803"/>
      <c r="P20" s="799"/>
      <c r="Q20" s="799"/>
      <c r="R20" s="802" t="e">
        <f t="shared" si="0"/>
        <v>#DIV/0!</v>
      </c>
      <c r="S20" s="801">
        <v>0</v>
      </c>
      <c r="T20" s="800">
        <v>0</v>
      </c>
      <c r="U20" s="799">
        <f t="shared" si="1"/>
        <v>0</v>
      </c>
      <c r="V20" s="798" t="e">
        <f t="shared" si="2"/>
        <v>#DIV/0!</v>
      </c>
    </row>
    <row r="21" spans="1:22" ht="35.25" hidden="1" customHeight="1" x14ac:dyDescent="0.2">
      <c r="A21" s="611"/>
      <c r="B21" s="810" t="s">
        <v>768</v>
      </c>
      <c r="C21" s="835">
        <v>0</v>
      </c>
      <c r="D21" s="800">
        <v>0</v>
      </c>
      <c r="E21" s="800">
        <f>SUM([2]ÖK.ÖSSZESÍTŐ!U65)</f>
        <v>0</v>
      </c>
      <c r="F21" s="834"/>
      <c r="G21" s="806">
        <v>2106</v>
      </c>
      <c r="H21" s="805">
        <v>8000</v>
      </c>
      <c r="I21" s="805">
        <f>SUM('[2]Segédtábla 2.sz.melléklethez'!BE15)</f>
        <v>8000</v>
      </c>
      <c r="J21" s="804">
        <f t="shared" si="4"/>
        <v>1</v>
      </c>
      <c r="K21" s="801">
        <v>2106</v>
      </c>
      <c r="L21" s="800">
        <v>8000</v>
      </c>
      <c r="M21" s="800">
        <f t="shared" si="3"/>
        <v>8000</v>
      </c>
      <c r="N21" s="802">
        <f t="shared" si="5"/>
        <v>1</v>
      </c>
      <c r="O21" s="803">
        <v>13107844</v>
      </c>
      <c r="P21" s="799">
        <v>10698873</v>
      </c>
      <c r="Q21" s="799">
        <f>SUM('[2]Segédtábla 2.sz.melléklethez'!AD15)</f>
        <v>10698873</v>
      </c>
      <c r="R21" s="802">
        <f t="shared" si="0"/>
        <v>1</v>
      </c>
      <c r="S21" s="801">
        <v>13109950</v>
      </c>
      <c r="T21" s="800">
        <v>10706873</v>
      </c>
      <c r="U21" s="799">
        <f t="shared" si="1"/>
        <v>10706873</v>
      </c>
      <c r="V21" s="798">
        <f t="shared" si="2"/>
        <v>1</v>
      </c>
    </row>
    <row r="22" spans="1:22" ht="35.25" hidden="1" customHeight="1" x14ac:dyDescent="0.2">
      <c r="A22" s="611"/>
      <c r="B22" s="810" t="s">
        <v>767</v>
      </c>
      <c r="C22" s="835"/>
      <c r="D22" s="800"/>
      <c r="E22" s="800"/>
      <c r="F22" s="834"/>
      <c r="G22" s="806">
        <v>0</v>
      </c>
      <c r="H22" s="805">
        <v>0</v>
      </c>
      <c r="I22" s="805">
        <f>SUM('[2]Segédtábla 2.sz.melléklethez'!BE16)</f>
        <v>0</v>
      </c>
      <c r="J22" s="804" t="e">
        <f t="shared" si="4"/>
        <v>#DIV/0!</v>
      </c>
      <c r="K22" s="801">
        <v>0</v>
      </c>
      <c r="L22" s="800">
        <v>0</v>
      </c>
      <c r="M22" s="800">
        <f t="shared" si="3"/>
        <v>0</v>
      </c>
      <c r="N22" s="802" t="e">
        <f t="shared" si="5"/>
        <v>#DIV/0!</v>
      </c>
      <c r="O22" s="803">
        <v>0</v>
      </c>
      <c r="P22" s="799">
        <v>0</v>
      </c>
      <c r="Q22" s="799">
        <f>SUM('[2]Segédtábla 2.sz.melléklethez'!AD16)</f>
        <v>0</v>
      </c>
      <c r="R22" s="802" t="e">
        <f t="shared" si="0"/>
        <v>#DIV/0!</v>
      </c>
      <c r="S22" s="801">
        <v>0</v>
      </c>
      <c r="T22" s="800">
        <v>0</v>
      </c>
      <c r="U22" s="799">
        <f t="shared" si="1"/>
        <v>0</v>
      </c>
      <c r="V22" s="798" t="e">
        <f t="shared" si="2"/>
        <v>#DIV/0!</v>
      </c>
    </row>
    <row r="23" spans="1:22" s="159" customFormat="1" ht="35.25" customHeight="1" x14ac:dyDescent="0.25">
      <c r="A23" s="66" t="s">
        <v>66</v>
      </c>
      <c r="B23" s="832" t="s">
        <v>187</v>
      </c>
      <c r="C23" s="822">
        <v>1190307</v>
      </c>
      <c r="D23" s="821">
        <v>1110979</v>
      </c>
      <c r="E23" s="821">
        <f>SUM(E24:E26)</f>
        <v>1110979</v>
      </c>
      <c r="F23" s="817">
        <f>E23/D23</f>
        <v>1</v>
      </c>
      <c r="G23" s="790">
        <v>39196</v>
      </c>
      <c r="H23" s="789">
        <v>29579</v>
      </c>
      <c r="I23" s="789">
        <f>SUM(I24:I26)</f>
        <v>29579</v>
      </c>
      <c r="J23" s="792">
        <f t="shared" si="4"/>
        <v>1</v>
      </c>
      <c r="K23" s="790">
        <v>1229503</v>
      </c>
      <c r="L23" s="789">
        <v>1140558</v>
      </c>
      <c r="M23" s="789">
        <f t="shared" si="3"/>
        <v>1140558</v>
      </c>
      <c r="N23" s="814">
        <f t="shared" si="5"/>
        <v>1</v>
      </c>
      <c r="O23" s="815">
        <v>756302</v>
      </c>
      <c r="P23" s="813">
        <v>517180</v>
      </c>
      <c r="Q23" s="813">
        <f>SUM(Q24:Q26)</f>
        <v>517180</v>
      </c>
      <c r="R23" s="814">
        <f t="shared" si="0"/>
        <v>1</v>
      </c>
      <c r="S23" s="790">
        <v>1985805</v>
      </c>
      <c r="T23" s="789">
        <v>1657738</v>
      </c>
      <c r="U23" s="813">
        <f t="shared" si="1"/>
        <v>1657738</v>
      </c>
      <c r="V23" s="812">
        <f t="shared" si="2"/>
        <v>1</v>
      </c>
    </row>
    <row r="24" spans="1:22" ht="35.25" hidden="1" customHeight="1" x14ac:dyDescent="0.2">
      <c r="A24" s="611"/>
      <c r="B24" s="810" t="s">
        <v>769</v>
      </c>
      <c r="C24" s="809"/>
      <c r="D24" s="808"/>
      <c r="E24" s="808"/>
      <c r="F24" s="807"/>
      <c r="G24" s="806">
        <v>0</v>
      </c>
      <c r="H24" s="805">
        <v>0</v>
      </c>
      <c r="I24" s="805">
        <f>SUM('[2]Segédtábla 2.sz.melléklethez'!BE18)</f>
        <v>0</v>
      </c>
      <c r="J24" s="804" t="e">
        <f t="shared" si="4"/>
        <v>#DIV/0!</v>
      </c>
      <c r="K24" s="801">
        <v>0</v>
      </c>
      <c r="L24" s="800">
        <v>0</v>
      </c>
      <c r="M24" s="800">
        <f t="shared" si="3"/>
        <v>0</v>
      </c>
      <c r="N24" s="802" t="e">
        <f t="shared" si="5"/>
        <v>#DIV/0!</v>
      </c>
      <c r="O24" s="803"/>
      <c r="P24" s="799"/>
      <c r="Q24" s="799"/>
      <c r="R24" s="802" t="e">
        <f t="shared" si="0"/>
        <v>#DIV/0!</v>
      </c>
      <c r="S24" s="801">
        <v>0</v>
      </c>
      <c r="T24" s="800">
        <v>0</v>
      </c>
      <c r="U24" s="799">
        <f t="shared" si="1"/>
        <v>0</v>
      </c>
      <c r="V24" s="798" t="e">
        <f t="shared" si="2"/>
        <v>#DIV/0!</v>
      </c>
    </row>
    <row r="25" spans="1:22" ht="35.25" hidden="1" customHeight="1" x14ac:dyDescent="0.2">
      <c r="A25" s="611"/>
      <c r="B25" s="810" t="s">
        <v>768</v>
      </c>
      <c r="C25" s="809">
        <v>1190307</v>
      </c>
      <c r="D25" s="808">
        <v>1110979</v>
      </c>
      <c r="E25" s="808">
        <f>SUM([2]ÖK.ÖSSZESÍTŐ!V65)</f>
        <v>1110979</v>
      </c>
      <c r="F25" s="807">
        <f>E25/C25</f>
        <v>0.93335500841379582</v>
      </c>
      <c r="G25" s="806">
        <v>38625</v>
      </c>
      <c r="H25" s="805">
        <v>28500</v>
      </c>
      <c r="I25" s="805">
        <f>SUM('[2]Segédtábla 2.sz.melléklethez'!BE19)</f>
        <v>28500</v>
      </c>
      <c r="J25" s="804">
        <f t="shared" si="4"/>
        <v>1</v>
      </c>
      <c r="K25" s="801">
        <v>1228932</v>
      </c>
      <c r="L25" s="800">
        <v>1139479</v>
      </c>
      <c r="M25" s="800">
        <f t="shared" si="3"/>
        <v>1139479</v>
      </c>
      <c r="N25" s="802">
        <f t="shared" si="5"/>
        <v>1</v>
      </c>
      <c r="O25" s="803">
        <v>291236</v>
      </c>
      <c r="P25" s="799">
        <v>47800</v>
      </c>
      <c r="Q25" s="799">
        <f>SUM('[2]Segédtábla 2.sz.melléklethez'!AD19)</f>
        <v>47800</v>
      </c>
      <c r="R25" s="802">
        <f t="shared" si="0"/>
        <v>1</v>
      </c>
      <c r="S25" s="801">
        <v>1520168</v>
      </c>
      <c r="T25" s="800">
        <v>1187279</v>
      </c>
      <c r="U25" s="799">
        <f t="shared" si="1"/>
        <v>1187279</v>
      </c>
      <c r="V25" s="798">
        <f t="shared" si="2"/>
        <v>1</v>
      </c>
    </row>
    <row r="26" spans="1:22" ht="35.25" hidden="1" customHeight="1" x14ac:dyDescent="0.2">
      <c r="A26" s="611"/>
      <c r="B26" s="810" t="s">
        <v>767</v>
      </c>
      <c r="C26" s="809"/>
      <c r="D26" s="808"/>
      <c r="E26" s="808"/>
      <c r="F26" s="807"/>
      <c r="G26" s="806">
        <v>571</v>
      </c>
      <c r="H26" s="805">
        <v>1079</v>
      </c>
      <c r="I26" s="805">
        <f>SUM('[2]Segédtábla 2.sz.melléklethez'!BE20)</f>
        <v>1079</v>
      </c>
      <c r="J26" s="804">
        <f t="shared" si="4"/>
        <v>1</v>
      </c>
      <c r="K26" s="801">
        <v>571</v>
      </c>
      <c r="L26" s="800">
        <v>1079</v>
      </c>
      <c r="M26" s="800">
        <f t="shared" si="3"/>
        <v>1079</v>
      </c>
      <c r="N26" s="802">
        <f t="shared" si="5"/>
        <v>1</v>
      </c>
      <c r="O26" s="803">
        <v>465066</v>
      </c>
      <c r="P26" s="799">
        <v>469380</v>
      </c>
      <c r="Q26" s="799">
        <f>SUM('[2]Segédtábla 2.sz.melléklethez'!AD20)</f>
        <v>469380</v>
      </c>
      <c r="R26" s="802">
        <f t="shared" si="0"/>
        <v>1</v>
      </c>
      <c r="S26" s="801">
        <v>465637</v>
      </c>
      <c r="T26" s="800">
        <v>470459</v>
      </c>
      <c r="U26" s="799">
        <f t="shared" si="1"/>
        <v>470459</v>
      </c>
      <c r="V26" s="798">
        <f t="shared" si="2"/>
        <v>1</v>
      </c>
    </row>
    <row r="27" spans="1:22" s="159" customFormat="1" ht="35.25" customHeight="1" x14ac:dyDescent="0.25">
      <c r="A27" s="66" t="s">
        <v>200</v>
      </c>
      <c r="B27" s="832" t="s">
        <v>152</v>
      </c>
      <c r="C27" s="822">
        <v>0</v>
      </c>
      <c r="D27" s="821">
        <v>0</v>
      </c>
      <c r="E27" s="821">
        <f>SUM(E28:E30)</f>
        <v>0</v>
      </c>
      <c r="F27" s="817"/>
      <c r="G27" s="790">
        <v>0</v>
      </c>
      <c r="H27" s="789">
        <v>0</v>
      </c>
      <c r="I27" s="789">
        <f>SUM(I29:I30)</f>
        <v>0</v>
      </c>
      <c r="J27" s="792"/>
      <c r="K27" s="790">
        <v>0</v>
      </c>
      <c r="L27" s="789">
        <v>0</v>
      </c>
      <c r="M27" s="789">
        <f t="shared" si="3"/>
        <v>0</v>
      </c>
      <c r="N27" s="814"/>
      <c r="O27" s="815">
        <v>2760</v>
      </c>
      <c r="P27" s="813">
        <v>1801000</v>
      </c>
      <c r="Q27" s="813">
        <f>SUM(Q28:Q30)</f>
        <v>1801000</v>
      </c>
      <c r="R27" s="814">
        <f t="shared" si="0"/>
        <v>1</v>
      </c>
      <c r="S27" s="790">
        <v>2760</v>
      </c>
      <c r="T27" s="789">
        <v>1801000</v>
      </c>
      <c r="U27" s="813">
        <f t="shared" si="1"/>
        <v>1801000</v>
      </c>
      <c r="V27" s="812">
        <f t="shared" si="2"/>
        <v>1</v>
      </c>
    </row>
    <row r="28" spans="1:22" ht="35.25" hidden="1" customHeight="1" x14ac:dyDescent="0.2">
      <c r="A28" s="611"/>
      <c r="B28" s="810" t="s">
        <v>769</v>
      </c>
      <c r="C28" s="809"/>
      <c r="D28" s="808"/>
      <c r="E28" s="808"/>
      <c r="F28" s="807"/>
      <c r="G28" s="806">
        <v>0</v>
      </c>
      <c r="H28" s="805">
        <v>0</v>
      </c>
      <c r="I28" s="805">
        <f>SUM('[2]Segédtábla 2.sz.melléklethez'!BE22)</f>
        <v>0</v>
      </c>
      <c r="J28" s="804" t="e">
        <f>I28/H28</f>
        <v>#DIV/0!</v>
      </c>
      <c r="K28" s="801">
        <v>0</v>
      </c>
      <c r="L28" s="800">
        <v>0</v>
      </c>
      <c r="M28" s="800">
        <f t="shared" si="3"/>
        <v>0</v>
      </c>
      <c r="N28" s="802"/>
      <c r="O28" s="803"/>
      <c r="P28" s="799"/>
      <c r="Q28" s="799"/>
      <c r="R28" s="802" t="e">
        <f t="shared" si="0"/>
        <v>#DIV/0!</v>
      </c>
      <c r="S28" s="801">
        <v>0</v>
      </c>
      <c r="T28" s="800">
        <v>0</v>
      </c>
      <c r="U28" s="799">
        <f t="shared" si="1"/>
        <v>0</v>
      </c>
      <c r="V28" s="798" t="e">
        <f t="shared" si="2"/>
        <v>#DIV/0!</v>
      </c>
    </row>
    <row r="29" spans="1:22" ht="35.25" hidden="1" customHeight="1" x14ac:dyDescent="0.2">
      <c r="A29" s="611"/>
      <c r="B29" s="810" t="s">
        <v>768</v>
      </c>
      <c r="C29" s="809">
        <v>0</v>
      </c>
      <c r="D29" s="808">
        <v>0</v>
      </c>
      <c r="E29" s="808">
        <f>SUM([2]ÖK.ÖSSZESÍTŐ!Z65)</f>
        <v>0</v>
      </c>
      <c r="F29" s="807"/>
      <c r="G29" s="806">
        <v>0</v>
      </c>
      <c r="H29" s="805">
        <v>0</v>
      </c>
      <c r="I29" s="805">
        <f>SUM('[2]Segédtábla 2.sz.melléklethez'!BE23)</f>
        <v>0</v>
      </c>
      <c r="J29" s="804" t="e">
        <f>I29/H29</f>
        <v>#DIV/0!</v>
      </c>
      <c r="K29" s="801">
        <v>0</v>
      </c>
      <c r="L29" s="800">
        <v>0</v>
      </c>
      <c r="M29" s="800">
        <f t="shared" si="3"/>
        <v>0</v>
      </c>
      <c r="N29" s="802"/>
      <c r="O29" s="803">
        <v>0</v>
      </c>
      <c r="P29" s="799">
        <v>0</v>
      </c>
      <c r="Q29" s="799">
        <f>SUM('[2]Segédtábla 2.sz.melléklethez'!AD23)</f>
        <v>0</v>
      </c>
      <c r="R29" s="802" t="e">
        <f t="shared" si="0"/>
        <v>#DIV/0!</v>
      </c>
      <c r="S29" s="801">
        <v>0</v>
      </c>
      <c r="T29" s="800">
        <v>0</v>
      </c>
      <c r="U29" s="799">
        <f t="shared" si="1"/>
        <v>0</v>
      </c>
      <c r="V29" s="798" t="e">
        <f t="shared" si="2"/>
        <v>#DIV/0!</v>
      </c>
    </row>
    <row r="30" spans="1:22" ht="35.25" hidden="1" customHeight="1" x14ac:dyDescent="0.2">
      <c r="A30" s="611"/>
      <c r="B30" s="810" t="s">
        <v>767</v>
      </c>
      <c r="C30" s="809"/>
      <c r="D30" s="808"/>
      <c r="E30" s="808"/>
      <c r="F30" s="807"/>
      <c r="G30" s="806">
        <v>0</v>
      </c>
      <c r="H30" s="805">
        <v>0</v>
      </c>
      <c r="I30" s="805">
        <f>SUM('[2]Segédtábla 2.sz.melléklethez'!BE24)</f>
        <v>0</v>
      </c>
      <c r="J30" s="804" t="e">
        <f>I30/H30</f>
        <v>#DIV/0!</v>
      </c>
      <c r="K30" s="801">
        <v>0</v>
      </c>
      <c r="L30" s="800">
        <v>0</v>
      </c>
      <c r="M30" s="800">
        <f t="shared" si="3"/>
        <v>0</v>
      </c>
      <c r="N30" s="802"/>
      <c r="O30" s="803">
        <v>2760</v>
      </c>
      <c r="P30" s="799">
        <v>1801000</v>
      </c>
      <c r="Q30" s="799">
        <f>SUM('[2]Segédtábla 2.sz.melléklethez'!AD24)</f>
        <v>1801000</v>
      </c>
      <c r="R30" s="802">
        <f t="shared" si="0"/>
        <v>1</v>
      </c>
      <c r="S30" s="801">
        <v>2760</v>
      </c>
      <c r="T30" s="800">
        <v>1801000</v>
      </c>
      <c r="U30" s="799">
        <f t="shared" si="1"/>
        <v>1801000</v>
      </c>
      <c r="V30" s="798">
        <f t="shared" si="2"/>
        <v>1</v>
      </c>
    </row>
    <row r="31" spans="1:22" s="159" customFormat="1" ht="35.25" customHeight="1" x14ac:dyDescent="0.25">
      <c r="A31" s="66" t="s">
        <v>420</v>
      </c>
      <c r="B31" s="832" t="s">
        <v>137</v>
      </c>
      <c r="C31" s="822">
        <v>0</v>
      </c>
      <c r="D31" s="821">
        <v>0</v>
      </c>
      <c r="E31" s="821">
        <f>SUM(E33:E34)</f>
        <v>0</v>
      </c>
      <c r="F31" s="817"/>
      <c r="G31" s="790">
        <v>0</v>
      </c>
      <c r="H31" s="789">
        <v>0</v>
      </c>
      <c r="I31" s="789">
        <f>SUM(I32:I34)</f>
        <v>0</v>
      </c>
      <c r="J31" s="792"/>
      <c r="K31" s="790">
        <v>0</v>
      </c>
      <c r="L31" s="789">
        <v>0</v>
      </c>
      <c r="M31" s="789">
        <f t="shared" si="3"/>
        <v>0</v>
      </c>
      <c r="N31" s="814"/>
      <c r="O31" s="815">
        <v>1000</v>
      </c>
      <c r="P31" s="813">
        <v>130000</v>
      </c>
      <c r="Q31" s="813">
        <f>SUM(Q32:Q34)</f>
        <v>130000</v>
      </c>
      <c r="R31" s="814">
        <f t="shared" si="0"/>
        <v>1</v>
      </c>
      <c r="S31" s="790">
        <v>1000</v>
      </c>
      <c r="T31" s="789">
        <v>130000</v>
      </c>
      <c r="U31" s="813">
        <f t="shared" si="1"/>
        <v>130000</v>
      </c>
      <c r="V31" s="812">
        <f t="shared" si="2"/>
        <v>1</v>
      </c>
    </row>
    <row r="32" spans="1:22" ht="35.25" hidden="1" customHeight="1" x14ac:dyDescent="0.2">
      <c r="A32" s="611"/>
      <c r="B32" s="810" t="s">
        <v>769</v>
      </c>
      <c r="C32" s="809"/>
      <c r="D32" s="808"/>
      <c r="E32" s="808"/>
      <c r="F32" s="807"/>
      <c r="G32" s="806">
        <v>0</v>
      </c>
      <c r="H32" s="805">
        <v>0</v>
      </c>
      <c r="I32" s="805">
        <f>SUM('[2]Segédtábla 2.sz.melléklethez'!BE26)</f>
        <v>0</v>
      </c>
      <c r="J32" s="804" t="e">
        <f>I32/H32</f>
        <v>#DIV/0!</v>
      </c>
      <c r="K32" s="801">
        <v>0</v>
      </c>
      <c r="L32" s="800">
        <v>0</v>
      </c>
      <c r="M32" s="800">
        <f t="shared" si="3"/>
        <v>0</v>
      </c>
      <c r="N32" s="802"/>
      <c r="O32" s="803"/>
      <c r="P32" s="799"/>
      <c r="Q32" s="799"/>
      <c r="R32" s="802" t="e">
        <f t="shared" si="0"/>
        <v>#DIV/0!</v>
      </c>
      <c r="S32" s="801">
        <v>0</v>
      </c>
      <c r="T32" s="800">
        <v>0</v>
      </c>
      <c r="U32" s="799">
        <f t="shared" si="1"/>
        <v>0</v>
      </c>
      <c r="V32" s="798" t="e">
        <f t="shared" si="2"/>
        <v>#DIV/0!</v>
      </c>
    </row>
    <row r="33" spans="1:22" ht="35.25" hidden="1" customHeight="1" x14ac:dyDescent="0.2">
      <c r="A33" s="611"/>
      <c r="B33" s="810" t="s">
        <v>768</v>
      </c>
      <c r="C33" s="809">
        <v>0</v>
      </c>
      <c r="D33" s="808">
        <v>0</v>
      </c>
      <c r="E33" s="808">
        <f>SUM([2]ÖK.ÖSSZESÍTŐ!W65)</f>
        <v>0</v>
      </c>
      <c r="F33" s="807"/>
      <c r="G33" s="806">
        <v>0</v>
      </c>
      <c r="H33" s="805">
        <v>0</v>
      </c>
      <c r="I33" s="805">
        <f>SUM('[2]Segédtábla 2.sz.melléklethez'!BE27)</f>
        <v>0</v>
      </c>
      <c r="J33" s="804" t="e">
        <f>I33/H33</f>
        <v>#DIV/0!</v>
      </c>
      <c r="K33" s="801">
        <v>0</v>
      </c>
      <c r="L33" s="800">
        <v>0</v>
      </c>
      <c r="M33" s="800">
        <f t="shared" si="3"/>
        <v>0</v>
      </c>
      <c r="N33" s="802"/>
      <c r="O33" s="803">
        <v>0</v>
      </c>
      <c r="P33" s="799">
        <v>0</v>
      </c>
      <c r="Q33" s="799">
        <f>SUM('[2]Segédtábla 2.sz.melléklethez'!AD27)</f>
        <v>0</v>
      </c>
      <c r="R33" s="802" t="e">
        <f t="shared" si="0"/>
        <v>#DIV/0!</v>
      </c>
      <c r="S33" s="801">
        <v>0</v>
      </c>
      <c r="T33" s="800">
        <v>0</v>
      </c>
      <c r="U33" s="799">
        <f t="shared" si="1"/>
        <v>0</v>
      </c>
      <c r="V33" s="798" t="e">
        <f t="shared" si="2"/>
        <v>#DIV/0!</v>
      </c>
    </row>
    <row r="34" spans="1:22" ht="35.25" hidden="1" customHeight="1" x14ac:dyDescent="0.2">
      <c r="A34" s="611"/>
      <c r="B34" s="810" t="s">
        <v>767</v>
      </c>
      <c r="C34" s="809"/>
      <c r="D34" s="808"/>
      <c r="E34" s="808"/>
      <c r="F34" s="807"/>
      <c r="G34" s="806">
        <v>0</v>
      </c>
      <c r="H34" s="805">
        <v>0</v>
      </c>
      <c r="I34" s="805">
        <f>SUM('[2]Segédtábla 2.sz.melléklethez'!BE28)</f>
        <v>0</v>
      </c>
      <c r="J34" s="804" t="e">
        <f>I34/H34</f>
        <v>#DIV/0!</v>
      </c>
      <c r="K34" s="801">
        <v>0</v>
      </c>
      <c r="L34" s="800">
        <v>0</v>
      </c>
      <c r="M34" s="800">
        <f t="shared" si="3"/>
        <v>0</v>
      </c>
      <c r="N34" s="802"/>
      <c r="O34" s="803">
        <v>1000</v>
      </c>
      <c r="P34" s="799">
        <v>130000</v>
      </c>
      <c r="Q34" s="799">
        <f>SUM('[2]Segédtábla 2.sz.melléklethez'!AD28)</f>
        <v>130000</v>
      </c>
      <c r="R34" s="802">
        <f t="shared" si="0"/>
        <v>1</v>
      </c>
      <c r="S34" s="801">
        <v>1000</v>
      </c>
      <c r="T34" s="800">
        <v>130000</v>
      </c>
      <c r="U34" s="799">
        <f t="shared" si="1"/>
        <v>130000</v>
      </c>
      <c r="V34" s="798">
        <f t="shared" si="2"/>
        <v>1</v>
      </c>
    </row>
    <row r="35" spans="1:22" s="159" customFormat="1" ht="35.25" customHeight="1" x14ac:dyDescent="0.25">
      <c r="A35" s="66" t="s">
        <v>419</v>
      </c>
      <c r="B35" s="832" t="s">
        <v>130</v>
      </c>
      <c r="C35" s="822">
        <v>0</v>
      </c>
      <c r="D35" s="821">
        <v>0</v>
      </c>
      <c r="E35" s="821">
        <f>SUM(E36:E38)</f>
        <v>0</v>
      </c>
      <c r="F35" s="817"/>
      <c r="G35" s="790">
        <v>0</v>
      </c>
      <c r="H35" s="789">
        <v>0</v>
      </c>
      <c r="I35" s="789">
        <f>SUM(I36:I38)</f>
        <v>0</v>
      </c>
      <c r="J35" s="792"/>
      <c r="K35" s="790">
        <v>0</v>
      </c>
      <c r="L35" s="789">
        <v>0</v>
      </c>
      <c r="M35" s="789">
        <f t="shared" si="3"/>
        <v>0</v>
      </c>
      <c r="N35" s="814"/>
      <c r="O35" s="815">
        <v>588000</v>
      </c>
      <c r="P35" s="813">
        <v>244000</v>
      </c>
      <c r="Q35" s="813">
        <f>SUM(Q37:Q38)</f>
        <v>244000</v>
      </c>
      <c r="R35" s="814">
        <f t="shared" si="0"/>
        <v>1</v>
      </c>
      <c r="S35" s="790">
        <v>588000</v>
      </c>
      <c r="T35" s="789">
        <v>244000</v>
      </c>
      <c r="U35" s="813">
        <f t="shared" si="1"/>
        <v>244000</v>
      </c>
      <c r="V35" s="812">
        <f t="shared" si="2"/>
        <v>1</v>
      </c>
    </row>
    <row r="36" spans="1:22" ht="35.25" hidden="1" customHeight="1" x14ac:dyDescent="0.2">
      <c r="A36" s="611"/>
      <c r="B36" s="810" t="s">
        <v>769</v>
      </c>
      <c r="C36" s="833"/>
      <c r="D36" s="808"/>
      <c r="E36" s="808"/>
      <c r="F36" s="807"/>
      <c r="G36" s="806">
        <v>0</v>
      </c>
      <c r="H36" s="805">
        <v>0</v>
      </c>
      <c r="I36" s="805">
        <f>SUM('[2]Segédtábla 2.sz.melléklethez'!BE30)</f>
        <v>0</v>
      </c>
      <c r="J36" s="804" t="e">
        <f t="shared" ref="J36:J45" si="6">I36/H36</f>
        <v>#DIV/0!</v>
      </c>
      <c r="K36" s="801">
        <v>0</v>
      </c>
      <c r="L36" s="800">
        <v>0</v>
      </c>
      <c r="M36" s="800">
        <f t="shared" si="3"/>
        <v>0</v>
      </c>
      <c r="N36" s="802" t="e">
        <f t="shared" ref="N36:N45" si="7">M36/L36</f>
        <v>#DIV/0!</v>
      </c>
      <c r="O36" s="803"/>
      <c r="P36" s="799"/>
      <c r="Q36" s="799"/>
      <c r="R36" s="802" t="e">
        <f t="shared" si="0"/>
        <v>#DIV/0!</v>
      </c>
      <c r="S36" s="801">
        <v>0</v>
      </c>
      <c r="T36" s="800">
        <v>0</v>
      </c>
      <c r="U36" s="799">
        <f t="shared" si="1"/>
        <v>0</v>
      </c>
      <c r="V36" s="798" t="e">
        <f t="shared" si="2"/>
        <v>#DIV/0!</v>
      </c>
    </row>
    <row r="37" spans="1:22" ht="35.25" hidden="1" customHeight="1" x14ac:dyDescent="0.2">
      <c r="A37" s="611"/>
      <c r="B37" s="810" t="s">
        <v>768</v>
      </c>
      <c r="C37" s="833">
        <v>0</v>
      </c>
      <c r="D37" s="808">
        <v>0</v>
      </c>
      <c r="E37" s="808">
        <f>SUM([2]ÖK.ÖSSZESÍTŐ!AA65)</f>
        <v>0</v>
      </c>
      <c r="F37" s="807"/>
      <c r="G37" s="806">
        <v>0</v>
      </c>
      <c r="H37" s="805">
        <v>0</v>
      </c>
      <c r="I37" s="805">
        <f>SUM('[2]Segédtábla 2.sz.melléklethez'!BE31)</f>
        <v>0</v>
      </c>
      <c r="J37" s="804" t="e">
        <f t="shared" si="6"/>
        <v>#DIV/0!</v>
      </c>
      <c r="K37" s="801">
        <v>0</v>
      </c>
      <c r="L37" s="800">
        <v>0</v>
      </c>
      <c r="M37" s="800">
        <f t="shared" si="3"/>
        <v>0</v>
      </c>
      <c r="N37" s="802" t="e">
        <f t="shared" si="7"/>
        <v>#DIV/0!</v>
      </c>
      <c r="O37" s="803">
        <v>580000</v>
      </c>
      <c r="P37" s="799"/>
      <c r="Q37" s="799"/>
      <c r="R37" s="802" t="e">
        <f t="shared" si="0"/>
        <v>#DIV/0!</v>
      </c>
      <c r="S37" s="801">
        <v>580000</v>
      </c>
      <c r="T37" s="800">
        <v>0</v>
      </c>
      <c r="U37" s="799">
        <f t="shared" si="1"/>
        <v>0</v>
      </c>
      <c r="V37" s="798" t="e">
        <f t="shared" si="2"/>
        <v>#DIV/0!</v>
      </c>
    </row>
    <row r="38" spans="1:22" ht="35.25" hidden="1" customHeight="1" thickBot="1" x14ac:dyDescent="0.25">
      <c r="A38" s="611"/>
      <c r="B38" s="810" t="s">
        <v>767</v>
      </c>
      <c r="C38" s="833"/>
      <c r="D38" s="808"/>
      <c r="E38" s="808"/>
      <c r="F38" s="807"/>
      <c r="G38" s="806">
        <v>0</v>
      </c>
      <c r="H38" s="805">
        <v>0</v>
      </c>
      <c r="I38" s="805">
        <f>SUM('[2]Segédtábla 2.sz.melléklethez'!BE32)</f>
        <v>0</v>
      </c>
      <c r="J38" s="804" t="e">
        <f t="shared" si="6"/>
        <v>#DIV/0!</v>
      </c>
      <c r="K38" s="801">
        <v>0</v>
      </c>
      <c r="L38" s="800">
        <v>0</v>
      </c>
      <c r="M38" s="800">
        <f t="shared" si="3"/>
        <v>0</v>
      </c>
      <c r="N38" s="802" t="e">
        <f t="shared" si="7"/>
        <v>#DIV/0!</v>
      </c>
      <c r="O38" s="803">
        <v>8000</v>
      </c>
      <c r="P38" s="799">
        <v>244000</v>
      </c>
      <c r="Q38" s="799">
        <f>SUM('[2]Segédtábla 2.sz.melléklethez'!AD32)</f>
        <v>244000</v>
      </c>
      <c r="R38" s="802">
        <f t="shared" si="0"/>
        <v>1</v>
      </c>
      <c r="S38" s="801">
        <v>8000</v>
      </c>
      <c r="T38" s="800">
        <v>244000</v>
      </c>
      <c r="U38" s="799">
        <f t="shared" si="1"/>
        <v>244000</v>
      </c>
      <c r="V38" s="798">
        <f t="shared" si="2"/>
        <v>1</v>
      </c>
    </row>
    <row r="39" spans="1:22" s="159" customFormat="1" ht="35.25" customHeight="1" x14ac:dyDescent="0.25">
      <c r="A39" s="796" t="s">
        <v>776</v>
      </c>
      <c r="B39" s="795" t="s">
        <v>775</v>
      </c>
      <c r="C39" s="794">
        <v>1190307</v>
      </c>
      <c r="D39" s="789">
        <v>1110979</v>
      </c>
      <c r="E39" s="789">
        <f>E11+E15+E19+E23+E27+E31+E35</f>
        <v>1110979</v>
      </c>
      <c r="F39" s="793">
        <f>E39/D39</f>
        <v>1</v>
      </c>
      <c r="G39" s="790">
        <v>41302</v>
      </c>
      <c r="H39" s="789">
        <v>37579</v>
      </c>
      <c r="I39" s="789">
        <f>I35+I31+I27+I23+I19+I15+I11</f>
        <v>37579</v>
      </c>
      <c r="J39" s="792">
        <f t="shared" si="6"/>
        <v>1</v>
      </c>
      <c r="K39" s="790">
        <v>1231609</v>
      </c>
      <c r="L39" s="789">
        <v>1148558</v>
      </c>
      <c r="M39" s="789">
        <f t="shared" si="3"/>
        <v>1148558</v>
      </c>
      <c r="N39" s="791">
        <f t="shared" si="7"/>
        <v>1</v>
      </c>
      <c r="O39" s="790">
        <v>19091965</v>
      </c>
      <c r="P39" s="789">
        <v>18562003</v>
      </c>
      <c r="Q39" s="789">
        <f>Q11+Q15+Q19+Q23+Q27+Q31+Q35</f>
        <v>18562003</v>
      </c>
      <c r="R39" s="791">
        <f t="shared" si="0"/>
        <v>1</v>
      </c>
      <c r="S39" s="790">
        <v>20323574</v>
      </c>
      <c r="T39" s="789">
        <v>19710561</v>
      </c>
      <c r="U39" s="789">
        <f t="shared" si="1"/>
        <v>19710561</v>
      </c>
      <c r="V39" s="788">
        <f t="shared" si="2"/>
        <v>1</v>
      </c>
    </row>
    <row r="40" spans="1:22" s="159" customFormat="1" ht="35.25" customHeight="1" x14ac:dyDescent="0.25">
      <c r="A40" s="66" t="s">
        <v>418</v>
      </c>
      <c r="B40" s="832" t="s">
        <v>423</v>
      </c>
      <c r="C40" s="822">
        <v>6820635</v>
      </c>
      <c r="D40" s="821">
        <v>7505012</v>
      </c>
      <c r="E40" s="821">
        <f>SUM(E41:E43)</f>
        <v>7505012</v>
      </c>
      <c r="F40" s="817">
        <f>E40/D40</f>
        <v>1</v>
      </c>
      <c r="G40" s="790">
        <v>2161996.9950000001</v>
      </c>
      <c r="H40" s="789">
        <v>2027077.1023622048</v>
      </c>
      <c r="I40" s="789">
        <f>SUM(I41:I43)</f>
        <v>2027077.1023622048</v>
      </c>
      <c r="J40" s="792">
        <f t="shared" si="6"/>
        <v>1</v>
      </c>
      <c r="K40" s="790">
        <v>8982631.995000001</v>
      </c>
      <c r="L40" s="789">
        <v>9532089.1023622043</v>
      </c>
      <c r="M40" s="789">
        <f t="shared" si="3"/>
        <v>9532089.1023622043</v>
      </c>
      <c r="N40" s="814">
        <f t="shared" si="7"/>
        <v>1</v>
      </c>
      <c r="O40" s="815">
        <v>9151831</v>
      </c>
      <c r="P40" s="813">
        <v>5386323</v>
      </c>
      <c r="Q40" s="813">
        <f>Q43+Q42+Q41</f>
        <v>5021519</v>
      </c>
      <c r="R40" s="814">
        <f t="shared" si="0"/>
        <v>0.93227216414611602</v>
      </c>
      <c r="S40" s="790">
        <v>9151831</v>
      </c>
      <c r="T40" s="789">
        <v>5386323</v>
      </c>
      <c r="U40" s="813">
        <f>+U41+U42+U43</f>
        <v>5021519</v>
      </c>
      <c r="V40" s="812">
        <f t="shared" si="2"/>
        <v>0.93227216414611602</v>
      </c>
    </row>
    <row r="41" spans="1:22" ht="35.25" hidden="1" customHeight="1" x14ac:dyDescent="0.2">
      <c r="A41" s="611"/>
      <c r="B41" s="810" t="s">
        <v>769</v>
      </c>
      <c r="C41" s="809"/>
      <c r="D41" s="808"/>
      <c r="E41" s="808"/>
      <c r="F41" s="807"/>
      <c r="G41" s="806"/>
      <c r="H41" s="805"/>
      <c r="I41" s="805"/>
      <c r="J41" s="804" t="e">
        <f t="shared" si="6"/>
        <v>#DIV/0!</v>
      </c>
      <c r="K41" s="831"/>
      <c r="L41" s="830"/>
      <c r="M41" s="830"/>
      <c r="N41" s="802" t="e">
        <f t="shared" si="7"/>
        <v>#DIV/0!</v>
      </c>
      <c r="O41" s="803"/>
      <c r="P41" s="799"/>
      <c r="Q41" s="799"/>
      <c r="R41" s="802" t="e">
        <f t="shared" si="0"/>
        <v>#DIV/0!</v>
      </c>
      <c r="S41" s="801"/>
      <c r="T41" s="800"/>
      <c r="U41" s="799"/>
      <c r="V41" s="798" t="e">
        <f t="shared" si="2"/>
        <v>#DIV/0!</v>
      </c>
    </row>
    <row r="42" spans="1:22" ht="35.25" hidden="1" customHeight="1" x14ac:dyDescent="0.2">
      <c r="A42" s="611"/>
      <c r="B42" s="810" t="s">
        <v>768</v>
      </c>
      <c r="C42" s="809">
        <v>6820635</v>
      </c>
      <c r="D42" s="808">
        <v>7505012</v>
      </c>
      <c r="E42" s="808">
        <f>+[2]ÖK.ÖSSZESÍTŐ!AL65*-1</f>
        <v>7505012</v>
      </c>
      <c r="F42" s="807">
        <f>E42/C42</f>
        <v>1.1003391912923064</v>
      </c>
      <c r="G42" s="806">
        <v>2161996.9950000001</v>
      </c>
      <c r="H42" s="805">
        <v>2027077.1023622048</v>
      </c>
      <c r="I42" s="805">
        <f>SUM([2]ÖK.ÖSSZESÍTŐ!AI63*(-1))</f>
        <v>2027077.1023622048</v>
      </c>
      <c r="J42" s="804">
        <f t="shared" si="6"/>
        <v>1</v>
      </c>
      <c r="K42" s="801">
        <v>8982631.995000001</v>
      </c>
      <c r="L42" s="800">
        <v>9532089.1023622043</v>
      </c>
      <c r="M42" s="800">
        <f>I42+E42</f>
        <v>9532089.1023622043</v>
      </c>
      <c r="N42" s="802">
        <f t="shared" si="7"/>
        <v>1</v>
      </c>
      <c r="O42" s="803"/>
      <c r="P42" s="799"/>
      <c r="Q42" s="799"/>
      <c r="R42" s="802" t="e">
        <f t="shared" si="0"/>
        <v>#DIV/0!</v>
      </c>
      <c r="S42" s="801"/>
      <c r="T42" s="800"/>
      <c r="U42" s="799"/>
      <c r="V42" s="798" t="e">
        <f t="shared" si="2"/>
        <v>#DIV/0!</v>
      </c>
    </row>
    <row r="43" spans="1:22" ht="35.25" hidden="1" customHeight="1" thickBot="1" x14ac:dyDescent="0.25">
      <c r="A43" s="611"/>
      <c r="B43" s="810" t="s">
        <v>767</v>
      </c>
      <c r="C43" s="809"/>
      <c r="D43" s="808"/>
      <c r="E43" s="808"/>
      <c r="F43" s="807"/>
      <c r="G43" s="806"/>
      <c r="H43" s="805"/>
      <c r="I43" s="805"/>
      <c r="J43" s="804" t="e">
        <f t="shared" si="6"/>
        <v>#DIV/0!</v>
      </c>
      <c r="K43" s="831"/>
      <c r="L43" s="830"/>
      <c r="M43" s="830"/>
      <c r="N43" s="802" t="e">
        <f t="shared" si="7"/>
        <v>#DIV/0!</v>
      </c>
      <c r="O43" s="803">
        <v>9151831</v>
      </c>
      <c r="P43" s="799">
        <v>5386323</v>
      </c>
      <c r="Q43" s="799">
        <f>SUM([2]ÖK.ÖSSZESÍTŐ!AB33)</f>
        <v>5021519</v>
      </c>
      <c r="R43" s="802">
        <f t="shared" si="0"/>
        <v>0.93227216414611602</v>
      </c>
      <c r="S43" s="801">
        <v>9151831</v>
      </c>
      <c r="T43" s="800">
        <v>5383323</v>
      </c>
      <c r="U43" s="799">
        <f>+Q43</f>
        <v>5021519</v>
      </c>
      <c r="V43" s="798">
        <f t="shared" ref="V43:V74" si="8">U43/T43</f>
        <v>0.93279169761873848</v>
      </c>
    </row>
    <row r="44" spans="1:22" s="159" customFormat="1" ht="35.25" customHeight="1" x14ac:dyDescent="0.25">
      <c r="A44" s="796" t="s">
        <v>774</v>
      </c>
      <c r="B44" s="829" t="s">
        <v>773</v>
      </c>
      <c r="C44" s="794">
        <v>6820635</v>
      </c>
      <c r="D44" s="789">
        <v>7505012</v>
      </c>
      <c r="E44" s="789">
        <f>SUM(E40)</f>
        <v>7505012</v>
      </c>
      <c r="F44" s="793">
        <f>E44/D44</f>
        <v>1</v>
      </c>
      <c r="G44" s="790">
        <v>2161996.9950000001</v>
      </c>
      <c r="H44" s="789">
        <v>2027077.1023622048</v>
      </c>
      <c r="I44" s="789">
        <f>SUM(I40)</f>
        <v>2027077.1023622048</v>
      </c>
      <c r="J44" s="792">
        <f t="shared" si="6"/>
        <v>1</v>
      </c>
      <c r="K44" s="790">
        <v>8982631.995000001</v>
      </c>
      <c r="L44" s="789">
        <v>9532089.1023622043</v>
      </c>
      <c r="M44" s="789">
        <f>I44+E44</f>
        <v>9532089.1023622043</v>
      </c>
      <c r="N44" s="791">
        <f t="shared" si="7"/>
        <v>1</v>
      </c>
      <c r="O44" s="790">
        <v>9151831</v>
      </c>
      <c r="P44" s="789">
        <v>5386323</v>
      </c>
      <c r="Q44" s="789">
        <f>Q40</f>
        <v>5021519</v>
      </c>
      <c r="R44" s="791">
        <f t="shared" si="0"/>
        <v>0.93227216414611602</v>
      </c>
      <c r="S44" s="790">
        <v>9151831</v>
      </c>
      <c r="T44" s="789">
        <v>5386323</v>
      </c>
      <c r="U44" s="789">
        <f>+Q44</f>
        <v>5021519</v>
      </c>
      <c r="V44" s="788">
        <f t="shared" si="8"/>
        <v>0.93227216414611602</v>
      </c>
    </row>
    <row r="45" spans="1:22" s="778" customFormat="1" ht="35.25" customHeight="1" x14ac:dyDescent="0.25">
      <c r="A45" s="787"/>
      <c r="B45" s="786" t="s">
        <v>772</v>
      </c>
      <c r="C45" s="785">
        <v>8010942</v>
      </c>
      <c r="D45" s="780">
        <v>8615991</v>
      </c>
      <c r="E45" s="780">
        <f>E39+E44</f>
        <v>8615991</v>
      </c>
      <c r="F45" s="784">
        <f>E45/D45</f>
        <v>1</v>
      </c>
      <c r="G45" s="781">
        <v>2203298.9950000001</v>
      </c>
      <c r="H45" s="780">
        <v>2064656.1023622048</v>
      </c>
      <c r="I45" s="780">
        <f>I39+I44</f>
        <v>2064656.1023622048</v>
      </c>
      <c r="J45" s="783">
        <f t="shared" si="6"/>
        <v>1</v>
      </c>
      <c r="K45" s="781">
        <v>10214240.995000001</v>
      </c>
      <c r="L45" s="780">
        <v>10680647.102362204</v>
      </c>
      <c r="M45" s="780">
        <f>I45+E45</f>
        <v>10680647.102362204</v>
      </c>
      <c r="N45" s="782">
        <f t="shared" si="7"/>
        <v>1</v>
      </c>
      <c r="O45" s="781">
        <v>28243796</v>
      </c>
      <c r="P45" s="780">
        <v>23948326</v>
      </c>
      <c r="Q45" s="780">
        <f>Q39+Q44</f>
        <v>23583522</v>
      </c>
      <c r="R45" s="782">
        <f t="shared" si="0"/>
        <v>0.98476703549133249</v>
      </c>
      <c r="S45" s="781">
        <v>29475405</v>
      </c>
      <c r="T45" s="780">
        <v>25096884</v>
      </c>
      <c r="U45" s="780">
        <f>+U44+U39</f>
        <v>24732080</v>
      </c>
      <c r="V45" s="779">
        <f t="shared" si="8"/>
        <v>0.98546417156807198</v>
      </c>
    </row>
    <row r="46" spans="1:22" s="183" customFormat="1" ht="35.25" customHeight="1" x14ac:dyDescent="0.2">
      <c r="A46" s="828" t="s">
        <v>119</v>
      </c>
      <c r="B46" s="827" t="s">
        <v>421</v>
      </c>
      <c r="C46" s="809"/>
      <c r="D46" s="808"/>
      <c r="E46" s="808"/>
      <c r="F46" s="807"/>
      <c r="G46" s="826"/>
      <c r="H46" s="825"/>
      <c r="I46" s="825"/>
      <c r="J46" s="818"/>
      <c r="K46" s="824"/>
      <c r="L46" s="823"/>
      <c r="M46" s="823"/>
      <c r="N46" s="802"/>
      <c r="O46" s="803"/>
      <c r="P46" s="799"/>
      <c r="Q46" s="799"/>
      <c r="R46" s="802"/>
      <c r="S46" s="801"/>
      <c r="T46" s="800"/>
      <c r="U46" s="799"/>
      <c r="V46" s="798"/>
    </row>
    <row r="47" spans="1:22" s="159" customFormat="1" ht="35.25" customHeight="1" x14ac:dyDescent="0.25">
      <c r="A47" s="66" t="s">
        <v>72</v>
      </c>
      <c r="B47" s="816" t="s">
        <v>59</v>
      </c>
      <c r="C47" s="822">
        <v>3947547</v>
      </c>
      <c r="D47" s="821">
        <v>4078653</v>
      </c>
      <c r="E47" s="821">
        <f>SUM(E48:E50)</f>
        <v>4078653</v>
      </c>
      <c r="F47" s="817">
        <f t="shared" ref="F47:F59" si="9">E47/D47</f>
        <v>1</v>
      </c>
      <c r="G47" s="820">
        <v>1441256</v>
      </c>
      <c r="H47" s="819">
        <v>1453264</v>
      </c>
      <c r="I47" s="819">
        <f>SUM(I48:I50)</f>
        <v>1453264</v>
      </c>
      <c r="J47" s="818">
        <f t="shared" ref="J47:J58" si="10">I47/H47</f>
        <v>1</v>
      </c>
      <c r="K47" s="790">
        <v>5388803</v>
      </c>
      <c r="L47" s="789">
        <v>5531917</v>
      </c>
      <c r="M47" s="789">
        <f t="shared" ref="M47:M90" si="11">I47+E47</f>
        <v>5531917</v>
      </c>
      <c r="N47" s="814">
        <f t="shared" ref="N47:N62" si="12">M47/L47</f>
        <v>1</v>
      </c>
      <c r="O47" s="815">
        <v>377380</v>
      </c>
      <c r="P47" s="813">
        <v>352695</v>
      </c>
      <c r="Q47" s="813">
        <f>SUM(Q48:Q50)</f>
        <v>352695</v>
      </c>
      <c r="R47" s="814">
        <f t="shared" ref="R47:R90" si="13">Q47/P47</f>
        <v>1</v>
      </c>
      <c r="S47" s="790">
        <v>5766183</v>
      </c>
      <c r="T47" s="789">
        <v>5884612</v>
      </c>
      <c r="U47" s="813">
        <f t="shared" ref="U47:U83" si="14">Q47+M47</f>
        <v>5884612</v>
      </c>
      <c r="V47" s="812">
        <f t="shared" si="8"/>
        <v>1</v>
      </c>
    </row>
    <row r="48" spans="1:22" ht="35.25" hidden="1" customHeight="1" x14ac:dyDescent="0.2">
      <c r="A48" s="611"/>
      <c r="B48" s="810" t="s">
        <v>769</v>
      </c>
      <c r="C48" s="809"/>
      <c r="D48" s="808"/>
      <c r="E48" s="808"/>
      <c r="F48" s="817" t="e">
        <f t="shared" si="9"/>
        <v>#DIV/0!</v>
      </c>
      <c r="G48" s="806">
        <v>0</v>
      </c>
      <c r="H48" s="805">
        <v>0</v>
      </c>
      <c r="I48" s="805">
        <f>SUM('[2]Segédtábla 2.sz.melléklethez'!BE44)</f>
        <v>0</v>
      </c>
      <c r="J48" s="804" t="e">
        <f t="shared" si="10"/>
        <v>#DIV/0!</v>
      </c>
      <c r="K48" s="801">
        <v>0</v>
      </c>
      <c r="L48" s="800">
        <v>0</v>
      </c>
      <c r="M48" s="800">
        <f t="shared" si="11"/>
        <v>0</v>
      </c>
      <c r="N48" s="802" t="e">
        <f t="shared" si="12"/>
        <v>#DIV/0!</v>
      </c>
      <c r="O48" s="803">
        <v>0</v>
      </c>
      <c r="P48" s="799">
        <v>2700</v>
      </c>
      <c r="Q48" s="799">
        <f>SUM('[2]Segédtábla 2.sz.melléklethez'!AD44)</f>
        <v>2700</v>
      </c>
      <c r="R48" s="802">
        <f t="shared" si="13"/>
        <v>1</v>
      </c>
      <c r="S48" s="801">
        <v>0</v>
      </c>
      <c r="T48" s="800">
        <v>2700</v>
      </c>
      <c r="U48" s="799">
        <f t="shared" si="14"/>
        <v>2700</v>
      </c>
      <c r="V48" s="798">
        <f t="shared" si="8"/>
        <v>1</v>
      </c>
    </row>
    <row r="49" spans="1:23" ht="35.25" hidden="1" customHeight="1" x14ac:dyDescent="0.2">
      <c r="A49" s="611"/>
      <c r="B49" s="810" t="s">
        <v>768</v>
      </c>
      <c r="C49" s="809">
        <v>3947547</v>
      </c>
      <c r="D49" s="808">
        <v>4078653</v>
      </c>
      <c r="E49" s="808">
        <f>+[2]ÖK.ÖSSZESÍTŐ!C65</f>
        <v>4078653</v>
      </c>
      <c r="F49" s="817">
        <f t="shared" si="9"/>
        <v>1</v>
      </c>
      <c r="G49" s="806">
        <v>1295574</v>
      </c>
      <c r="H49" s="805">
        <v>1263061</v>
      </c>
      <c r="I49" s="805">
        <f>SUM('[2]Segédtábla 2.sz.melléklethez'!BE45)</f>
        <v>1263061</v>
      </c>
      <c r="J49" s="804">
        <f t="shared" si="10"/>
        <v>1</v>
      </c>
      <c r="K49" s="801">
        <v>5243121</v>
      </c>
      <c r="L49" s="800">
        <v>5341714</v>
      </c>
      <c r="M49" s="800">
        <f t="shared" si="11"/>
        <v>5341714</v>
      </c>
      <c r="N49" s="802">
        <f t="shared" si="12"/>
        <v>1</v>
      </c>
      <c r="O49" s="803">
        <v>365975</v>
      </c>
      <c r="P49" s="799">
        <v>346162</v>
      </c>
      <c r="Q49" s="799">
        <f>SUM('[2]Segédtábla 2.sz.melléklethez'!AD45)</f>
        <v>346162</v>
      </c>
      <c r="R49" s="802">
        <f t="shared" si="13"/>
        <v>1</v>
      </c>
      <c r="S49" s="801">
        <v>5609096</v>
      </c>
      <c r="T49" s="800">
        <v>5687876</v>
      </c>
      <c r="U49" s="799">
        <f t="shared" si="14"/>
        <v>5687876</v>
      </c>
      <c r="V49" s="798">
        <f t="shared" si="8"/>
        <v>1</v>
      </c>
      <c r="W49" s="3"/>
    </row>
    <row r="50" spans="1:23" ht="35.25" hidden="1" customHeight="1" x14ac:dyDescent="0.2">
      <c r="A50" s="611"/>
      <c r="B50" s="810" t="s">
        <v>767</v>
      </c>
      <c r="C50" s="809"/>
      <c r="D50" s="808"/>
      <c r="E50" s="808"/>
      <c r="F50" s="817" t="e">
        <f t="shared" si="9"/>
        <v>#DIV/0!</v>
      </c>
      <c r="G50" s="806">
        <v>145682</v>
      </c>
      <c r="H50" s="805">
        <v>190203</v>
      </c>
      <c r="I50" s="805">
        <f>SUM('[2]Segédtábla 2.sz.melléklethez'!BE46)</f>
        <v>190203</v>
      </c>
      <c r="J50" s="804">
        <f t="shared" si="10"/>
        <v>1</v>
      </c>
      <c r="K50" s="801">
        <v>145682</v>
      </c>
      <c r="L50" s="800">
        <v>190203</v>
      </c>
      <c r="M50" s="800">
        <f t="shared" si="11"/>
        <v>190203</v>
      </c>
      <c r="N50" s="802">
        <f t="shared" si="12"/>
        <v>1</v>
      </c>
      <c r="O50" s="803">
        <v>11405</v>
      </c>
      <c r="P50" s="799">
        <v>3833</v>
      </c>
      <c r="Q50" s="799">
        <f>SUM('[2]Segédtábla 2.sz.melléklethez'!AD46)</f>
        <v>3833</v>
      </c>
      <c r="R50" s="802">
        <f t="shared" si="13"/>
        <v>1</v>
      </c>
      <c r="S50" s="801">
        <v>157087</v>
      </c>
      <c r="T50" s="800">
        <v>194036</v>
      </c>
      <c r="U50" s="799">
        <f t="shared" si="14"/>
        <v>194036</v>
      </c>
      <c r="V50" s="798">
        <f t="shared" si="8"/>
        <v>1</v>
      </c>
    </row>
    <row r="51" spans="1:23" s="159" customFormat="1" ht="35.25" customHeight="1" x14ac:dyDescent="0.25">
      <c r="A51" s="66"/>
      <c r="B51" s="816" t="s">
        <v>56</v>
      </c>
      <c r="C51" s="822">
        <v>688951</v>
      </c>
      <c r="D51" s="821">
        <v>613912</v>
      </c>
      <c r="E51" s="821">
        <f>SUM(E52:E54)</f>
        <v>613912</v>
      </c>
      <c r="F51" s="817">
        <f t="shared" si="9"/>
        <v>1</v>
      </c>
      <c r="G51" s="820">
        <v>283284.995</v>
      </c>
      <c r="H51" s="819">
        <v>236715</v>
      </c>
      <c r="I51" s="819">
        <f>SUM(I52:I54)</f>
        <v>236715</v>
      </c>
      <c r="J51" s="818">
        <f t="shared" si="10"/>
        <v>1</v>
      </c>
      <c r="K51" s="790">
        <v>972235.995</v>
      </c>
      <c r="L51" s="789">
        <v>850627</v>
      </c>
      <c r="M51" s="789">
        <f t="shared" si="11"/>
        <v>850627</v>
      </c>
      <c r="N51" s="814">
        <f t="shared" si="12"/>
        <v>1</v>
      </c>
      <c r="O51" s="815">
        <v>58468</v>
      </c>
      <c r="P51" s="813">
        <v>47105</v>
      </c>
      <c r="Q51" s="813">
        <f>SUM(Q52:Q54)</f>
        <v>47105</v>
      </c>
      <c r="R51" s="814">
        <f t="shared" si="13"/>
        <v>1</v>
      </c>
      <c r="S51" s="790">
        <v>1030703.995</v>
      </c>
      <c r="T51" s="789">
        <v>897732</v>
      </c>
      <c r="U51" s="813">
        <f t="shared" si="14"/>
        <v>897732</v>
      </c>
      <c r="V51" s="812">
        <f t="shared" si="8"/>
        <v>1</v>
      </c>
    </row>
    <row r="52" spans="1:23" ht="35.25" hidden="1" customHeight="1" x14ac:dyDescent="0.2">
      <c r="A52" s="611"/>
      <c r="B52" s="810" t="s">
        <v>769</v>
      </c>
      <c r="C52" s="809"/>
      <c r="D52" s="808"/>
      <c r="E52" s="808"/>
      <c r="F52" s="817" t="e">
        <f t="shared" si="9"/>
        <v>#DIV/0!</v>
      </c>
      <c r="G52" s="806">
        <v>0</v>
      </c>
      <c r="H52" s="805">
        <v>0</v>
      </c>
      <c r="I52" s="805">
        <f>SUM('[2]Segédtábla 2.sz.melléklethez'!BE48)</f>
        <v>0</v>
      </c>
      <c r="J52" s="804" t="e">
        <f t="shared" si="10"/>
        <v>#DIV/0!</v>
      </c>
      <c r="K52" s="801">
        <v>0</v>
      </c>
      <c r="L52" s="800">
        <v>0</v>
      </c>
      <c r="M52" s="800">
        <f t="shared" si="11"/>
        <v>0</v>
      </c>
      <c r="N52" s="802" t="e">
        <f t="shared" si="12"/>
        <v>#DIV/0!</v>
      </c>
      <c r="O52" s="803">
        <v>0</v>
      </c>
      <c r="P52" s="799">
        <v>0</v>
      </c>
      <c r="Q52" s="799">
        <f>SUM('[2]Segédtábla 2.sz.melléklethez'!AD48)</f>
        <v>0</v>
      </c>
      <c r="R52" s="802" t="e">
        <f t="shared" si="13"/>
        <v>#DIV/0!</v>
      </c>
      <c r="S52" s="801">
        <v>0</v>
      </c>
      <c r="T52" s="800">
        <v>0</v>
      </c>
      <c r="U52" s="799">
        <f t="shared" si="14"/>
        <v>0</v>
      </c>
      <c r="V52" s="798" t="e">
        <f t="shared" si="8"/>
        <v>#DIV/0!</v>
      </c>
    </row>
    <row r="53" spans="1:23" ht="35.25" hidden="1" customHeight="1" x14ac:dyDescent="0.2">
      <c r="A53" s="611"/>
      <c r="B53" s="810" t="s">
        <v>768</v>
      </c>
      <c r="C53" s="809">
        <v>688951</v>
      </c>
      <c r="D53" s="808">
        <v>613912</v>
      </c>
      <c r="E53" s="808">
        <f>+[2]ÖK.ÖSSZESÍTŐ!D65</f>
        <v>613912</v>
      </c>
      <c r="F53" s="817">
        <f t="shared" si="9"/>
        <v>1</v>
      </c>
      <c r="G53" s="806">
        <v>283284.995</v>
      </c>
      <c r="H53" s="805">
        <v>236715</v>
      </c>
      <c r="I53" s="805">
        <f>SUM('[2]Segédtábla 2.sz.melléklethez'!BE49)</f>
        <v>236715</v>
      </c>
      <c r="J53" s="804">
        <f t="shared" si="10"/>
        <v>1</v>
      </c>
      <c r="K53" s="801">
        <v>972235.995</v>
      </c>
      <c r="L53" s="800">
        <v>850627</v>
      </c>
      <c r="M53" s="800">
        <f t="shared" si="11"/>
        <v>850627</v>
      </c>
      <c r="N53" s="802">
        <f t="shared" si="12"/>
        <v>1</v>
      </c>
      <c r="O53" s="803">
        <v>56468</v>
      </c>
      <c r="P53" s="799">
        <v>47105</v>
      </c>
      <c r="Q53" s="799">
        <f>SUM('[2]Segédtábla 2.sz.melléklethez'!AD49)</f>
        <v>47105</v>
      </c>
      <c r="R53" s="802">
        <f t="shared" si="13"/>
        <v>1</v>
      </c>
      <c r="S53" s="801">
        <v>1028703.995</v>
      </c>
      <c r="T53" s="800">
        <v>897732</v>
      </c>
      <c r="U53" s="799">
        <f t="shared" si="14"/>
        <v>897732</v>
      </c>
      <c r="V53" s="798">
        <f t="shared" si="8"/>
        <v>1</v>
      </c>
    </row>
    <row r="54" spans="1:23" ht="35.25" hidden="1" customHeight="1" x14ac:dyDescent="0.2">
      <c r="A54" s="611"/>
      <c r="B54" s="810" t="s">
        <v>767</v>
      </c>
      <c r="C54" s="809"/>
      <c r="D54" s="808"/>
      <c r="E54" s="808"/>
      <c r="F54" s="817" t="e">
        <f t="shared" si="9"/>
        <v>#DIV/0!</v>
      </c>
      <c r="G54" s="806">
        <v>0</v>
      </c>
      <c r="H54" s="805">
        <v>0</v>
      </c>
      <c r="I54" s="805">
        <f>SUM('[2]Segédtábla 2.sz.melléklethez'!BE50)</f>
        <v>0</v>
      </c>
      <c r="J54" s="804" t="e">
        <f t="shared" si="10"/>
        <v>#DIV/0!</v>
      </c>
      <c r="K54" s="801">
        <v>0</v>
      </c>
      <c r="L54" s="800">
        <v>0</v>
      </c>
      <c r="M54" s="800">
        <f t="shared" si="11"/>
        <v>0</v>
      </c>
      <c r="N54" s="802" t="e">
        <f t="shared" si="12"/>
        <v>#DIV/0!</v>
      </c>
      <c r="O54" s="803">
        <v>2000</v>
      </c>
      <c r="P54" s="799">
        <v>0</v>
      </c>
      <c r="Q54" s="799">
        <f>SUM('[2]Segédtábla 2.sz.melléklethez'!AD50)</f>
        <v>0</v>
      </c>
      <c r="R54" s="802" t="e">
        <f t="shared" si="13"/>
        <v>#DIV/0!</v>
      </c>
      <c r="S54" s="801">
        <v>2000</v>
      </c>
      <c r="T54" s="800">
        <v>0</v>
      </c>
      <c r="U54" s="799">
        <f t="shared" si="14"/>
        <v>0</v>
      </c>
      <c r="V54" s="798" t="e">
        <f t="shared" si="8"/>
        <v>#DIV/0!</v>
      </c>
    </row>
    <row r="55" spans="1:23" s="159" customFormat="1" ht="35.25" customHeight="1" x14ac:dyDescent="0.25">
      <c r="A55" s="66" t="s">
        <v>91</v>
      </c>
      <c r="B55" s="816" t="s">
        <v>53</v>
      </c>
      <c r="C55" s="822">
        <v>3103226</v>
      </c>
      <c r="D55" s="821">
        <v>3707013</v>
      </c>
      <c r="E55" s="821">
        <f>SUM(E56:E58)</f>
        <v>3707013</v>
      </c>
      <c r="F55" s="817">
        <f t="shared" si="9"/>
        <v>1</v>
      </c>
      <c r="G55" s="820">
        <v>358689</v>
      </c>
      <c r="H55" s="819">
        <v>323842.10236220469</v>
      </c>
      <c r="I55" s="819">
        <f>SUM(I56:I58)</f>
        <v>323842.10236220469</v>
      </c>
      <c r="J55" s="818">
        <f t="shared" si="10"/>
        <v>1</v>
      </c>
      <c r="K55" s="790">
        <v>3461915</v>
      </c>
      <c r="L55" s="789">
        <v>4030855.1023622048</v>
      </c>
      <c r="M55" s="789">
        <f t="shared" si="11"/>
        <v>4030855.1023622048</v>
      </c>
      <c r="N55" s="814">
        <f t="shared" si="12"/>
        <v>1</v>
      </c>
      <c r="O55" s="815">
        <v>2178640.4900000002</v>
      </c>
      <c r="P55" s="813">
        <v>1882567</v>
      </c>
      <c r="Q55" s="813">
        <f>SUM(Q56:Q58)</f>
        <v>1882567</v>
      </c>
      <c r="R55" s="814">
        <f t="shared" si="13"/>
        <v>1</v>
      </c>
      <c r="S55" s="790">
        <v>5640555.4900000002</v>
      </c>
      <c r="T55" s="789">
        <v>5913422.1023622043</v>
      </c>
      <c r="U55" s="813">
        <f t="shared" si="14"/>
        <v>5913422.1023622043</v>
      </c>
      <c r="V55" s="812">
        <f t="shared" si="8"/>
        <v>1</v>
      </c>
      <c r="W55" s="160"/>
    </row>
    <row r="56" spans="1:23" ht="35.25" hidden="1" customHeight="1" x14ac:dyDescent="0.2">
      <c r="A56" s="611"/>
      <c r="B56" s="810" t="s">
        <v>769</v>
      </c>
      <c r="C56" s="809"/>
      <c r="D56" s="808"/>
      <c r="E56" s="808"/>
      <c r="F56" s="817" t="e">
        <f t="shared" si="9"/>
        <v>#DIV/0!</v>
      </c>
      <c r="G56" s="806">
        <v>0</v>
      </c>
      <c r="H56" s="805">
        <v>0</v>
      </c>
      <c r="I56" s="805">
        <f>SUM('[2]Segédtábla 2.sz.melléklethez'!BE52)</f>
        <v>0</v>
      </c>
      <c r="J56" s="804" t="e">
        <f t="shared" si="10"/>
        <v>#DIV/0!</v>
      </c>
      <c r="K56" s="801">
        <v>0</v>
      </c>
      <c r="L56" s="800">
        <v>0</v>
      </c>
      <c r="M56" s="800">
        <f t="shared" si="11"/>
        <v>0</v>
      </c>
      <c r="N56" s="802" t="e">
        <f t="shared" si="12"/>
        <v>#DIV/0!</v>
      </c>
      <c r="O56" s="803">
        <v>0</v>
      </c>
      <c r="P56" s="799">
        <v>0</v>
      </c>
      <c r="Q56" s="799">
        <f>SUM('[2]Segédtábla 2.sz.melléklethez'!AD52)</f>
        <v>0</v>
      </c>
      <c r="R56" s="802" t="e">
        <f t="shared" si="13"/>
        <v>#DIV/0!</v>
      </c>
      <c r="S56" s="801">
        <v>0</v>
      </c>
      <c r="T56" s="800">
        <v>0</v>
      </c>
      <c r="U56" s="799">
        <f t="shared" si="14"/>
        <v>0</v>
      </c>
      <c r="V56" s="798" t="e">
        <f t="shared" si="8"/>
        <v>#DIV/0!</v>
      </c>
      <c r="W56" s="3"/>
    </row>
    <row r="57" spans="1:23" ht="35.25" hidden="1" customHeight="1" x14ac:dyDescent="0.2">
      <c r="A57" s="611"/>
      <c r="B57" s="810" t="s">
        <v>768</v>
      </c>
      <c r="C57" s="809">
        <v>3103226</v>
      </c>
      <c r="D57" s="808">
        <v>3707013</v>
      </c>
      <c r="E57" s="808">
        <f>SUM([2]ÖK.ÖSSZESÍTŐ!E65)</f>
        <v>3707013</v>
      </c>
      <c r="F57" s="817">
        <f t="shared" si="9"/>
        <v>1</v>
      </c>
      <c r="G57" s="806">
        <v>350421</v>
      </c>
      <c r="H57" s="805">
        <v>323542.10236220469</v>
      </c>
      <c r="I57" s="805">
        <f>SUM('[2]Segédtábla 2.sz.melléklethez'!BE53)</f>
        <v>323542.10236220469</v>
      </c>
      <c r="J57" s="804">
        <f t="shared" si="10"/>
        <v>1</v>
      </c>
      <c r="K57" s="801">
        <v>3453647</v>
      </c>
      <c r="L57" s="800">
        <v>4030555.1023622048</v>
      </c>
      <c r="M57" s="800">
        <f t="shared" si="11"/>
        <v>4030555.1023622048</v>
      </c>
      <c r="N57" s="802">
        <f t="shared" si="12"/>
        <v>1</v>
      </c>
      <c r="O57" s="803">
        <v>1935424.49</v>
      </c>
      <c r="P57" s="799">
        <v>1786551</v>
      </c>
      <c r="Q57" s="799">
        <f>SUM('[2]Segédtábla 2.sz.melléklethez'!AD53)</f>
        <v>1786551</v>
      </c>
      <c r="R57" s="802">
        <f t="shared" si="13"/>
        <v>1</v>
      </c>
      <c r="S57" s="801">
        <v>5389071.4900000002</v>
      </c>
      <c r="T57" s="800">
        <v>5817106.1023622043</v>
      </c>
      <c r="U57" s="799">
        <f t="shared" si="14"/>
        <v>5817106.1023622043</v>
      </c>
      <c r="V57" s="798">
        <f t="shared" si="8"/>
        <v>1</v>
      </c>
      <c r="W57" s="3"/>
    </row>
    <row r="58" spans="1:23" ht="35.25" hidden="1" customHeight="1" x14ac:dyDescent="0.2">
      <c r="A58" s="611"/>
      <c r="B58" s="810" t="s">
        <v>767</v>
      </c>
      <c r="C58" s="809"/>
      <c r="D58" s="808"/>
      <c r="E58" s="808"/>
      <c r="F58" s="817" t="e">
        <f t="shared" si="9"/>
        <v>#DIV/0!</v>
      </c>
      <c r="G58" s="806">
        <v>8268</v>
      </c>
      <c r="H58" s="805">
        <v>300</v>
      </c>
      <c r="I58" s="805">
        <f>SUM('[2]Segédtábla 2.sz.melléklethez'!BE54)</f>
        <v>300</v>
      </c>
      <c r="J58" s="804">
        <f t="shared" si="10"/>
        <v>1</v>
      </c>
      <c r="K58" s="801">
        <v>8268</v>
      </c>
      <c r="L58" s="800">
        <v>300</v>
      </c>
      <c r="M58" s="800">
        <f t="shared" si="11"/>
        <v>300</v>
      </c>
      <c r="N58" s="802">
        <f t="shared" si="12"/>
        <v>1</v>
      </c>
      <c r="O58" s="803">
        <v>243216</v>
      </c>
      <c r="P58" s="799">
        <v>96016</v>
      </c>
      <c r="Q58" s="799">
        <f>SUM('[2]Segédtábla 2.sz.melléklethez'!AD54)</f>
        <v>96016</v>
      </c>
      <c r="R58" s="802">
        <f t="shared" si="13"/>
        <v>1</v>
      </c>
      <c r="S58" s="801">
        <v>251484</v>
      </c>
      <c r="T58" s="800">
        <v>96316</v>
      </c>
      <c r="U58" s="799">
        <f t="shared" si="14"/>
        <v>96316</v>
      </c>
      <c r="V58" s="798">
        <f t="shared" si="8"/>
        <v>1</v>
      </c>
      <c r="W58" s="3"/>
    </row>
    <row r="59" spans="1:23" s="159" customFormat="1" ht="35.25" customHeight="1" x14ac:dyDescent="0.25">
      <c r="A59" s="66" t="s">
        <v>66</v>
      </c>
      <c r="B59" s="816" t="s">
        <v>50</v>
      </c>
      <c r="C59" s="822">
        <v>900</v>
      </c>
      <c r="D59" s="821">
        <v>900</v>
      </c>
      <c r="E59" s="821">
        <f>SUM(E60:E62)</f>
        <v>900</v>
      </c>
      <c r="F59" s="817">
        <f t="shared" si="9"/>
        <v>1</v>
      </c>
      <c r="G59" s="820">
        <v>0</v>
      </c>
      <c r="H59" s="819">
        <v>0</v>
      </c>
      <c r="I59" s="819">
        <f>SUM(I60:I62)</f>
        <v>0</v>
      </c>
      <c r="J59" s="818"/>
      <c r="K59" s="790">
        <v>900</v>
      </c>
      <c r="L59" s="789">
        <v>900</v>
      </c>
      <c r="M59" s="789">
        <f t="shared" si="11"/>
        <v>900</v>
      </c>
      <c r="N59" s="814">
        <f t="shared" si="12"/>
        <v>1</v>
      </c>
      <c r="O59" s="815">
        <v>307709</v>
      </c>
      <c r="P59" s="813">
        <v>332312</v>
      </c>
      <c r="Q59" s="813">
        <f>SUM(Q60:Q62)</f>
        <v>332312</v>
      </c>
      <c r="R59" s="814">
        <f t="shared" si="13"/>
        <v>1</v>
      </c>
      <c r="S59" s="790">
        <v>308609</v>
      </c>
      <c r="T59" s="789">
        <v>333212</v>
      </c>
      <c r="U59" s="813">
        <f t="shared" si="14"/>
        <v>333212</v>
      </c>
      <c r="V59" s="812">
        <f t="shared" si="8"/>
        <v>1</v>
      </c>
    </row>
    <row r="60" spans="1:23" ht="35.25" hidden="1" customHeight="1" x14ac:dyDescent="0.2">
      <c r="A60" s="611"/>
      <c r="B60" s="810" t="s">
        <v>769</v>
      </c>
      <c r="C60" s="809"/>
      <c r="D60" s="808"/>
      <c r="E60" s="808"/>
      <c r="F60" s="807"/>
      <c r="G60" s="806">
        <v>0</v>
      </c>
      <c r="H60" s="805">
        <v>0</v>
      </c>
      <c r="I60" s="805">
        <f>SUM('[2]Segédtábla 2.sz.melléklethez'!BE56)</f>
        <v>0</v>
      </c>
      <c r="J60" s="804" t="e">
        <f>I60/H60</f>
        <v>#DIV/0!</v>
      </c>
      <c r="K60" s="801">
        <v>0</v>
      </c>
      <c r="L60" s="800">
        <v>0</v>
      </c>
      <c r="M60" s="800">
        <f t="shared" si="11"/>
        <v>0</v>
      </c>
      <c r="N60" s="802" t="e">
        <f t="shared" si="12"/>
        <v>#DIV/0!</v>
      </c>
      <c r="O60" s="803">
        <v>0</v>
      </c>
      <c r="P60" s="799">
        <v>0</v>
      </c>
      <c r="Q60" s="799">
        <f>SUM('[2]Segédtábla 2.sz.melléklethez'!AD56)</f>
        <v>0</v>
      </c>
      <c r="R60" s="802" t="e">
        <f t="shared" si="13"/>
        <v>#DIV/0!</v>
      </c>
      <c r="S60" s="801">
        <v>0</v>
      </c>
      <c r="T60" s="800">
        <v>0</v>
      </c>
      <c r="U60" s="799">
        <f t="shared" si="14"/>
        <v>0</v>
      </c>
      <c r="V60" s="798" t="e">
        <f t="shared" si="8"/>
        <v>#DIV/0!</v>
      </c>
    </row>
    <row r="61" spans="1:23" ht="35.25" hidden="1" customHeight="1" x14ac:dyDescent="0.2">
      <c r="A61" s="611"/>
      <c r="B61" s="810" t="s">
        <v>768</v>
      </c>
      <c r="C61" s="809">
        <v>900</v>
      </c>
      <c r="D61" s="808">
        <v>900</v>
      </c>
      <c r="E61" s="808">
        <f>SUM([2]ÖK.ÖSSZESÍTŐ!F65)</f>
        <v>900</v>
      </c>
      <c r="F61" s="807">
        <f>E61/C61</f>
        <v>1</v>
      </c>
      <c r="G61" s="806">
        <v>0</v>
      </c>
      <c r="H61" s="805">
        <v>0</v>
      </c>
      <c r="I61" s="805">
        <f>SUM('[2]Segédtábla 2.sz.melléklethez'!BE57)</f>
        <v>0</v>
      </c>
      <c r="J61" s="804" t="e">
        <f>I61/H61</f>
        <v>#DIV/0!</v>
      </c>
      <c r="K61" s="801">
        <v>900</v>
      </c>
      <c r="L61" s="800">
        <v>900</v>
      </c>
      <c r="M61" s="800">
        <f t="shared" si="11"/>
        <v>900</v>
      </c>
      <c r="N61" s="802">
        <f t="shared" si="12"/>
        <v>1</v>
      </c>
      <c r="O61" s="803">
        <v>0</v>
      </c>
      <c r="P61" s="799">
        <v>0</v>
      </c>
      <c r="Q61" s="799">
        <f>SUM('[2]Segédtábla 2.sz.melléklethez'!AD57)</f>
        <v>0</v>
      </c>
      <c r="R61" s="802" t="e">
        <f t="shared" si="13"/>
        <v>#DIV/0!</v>
      </c>
      <c r="S61" s="801">
        <v>900</v>
      </c>
      <c r="T61" s="800">
        <v>900</v>
      </c>
      <c r="U61" s="799">
        <f t="shared" si="14"/>
        <v>900</v>
      </c>
      <c r="V61" s="798">
        <f t="shared" si="8"/>
        <v>1</v>
      </c>
    </row>
    <row r="62" spans="1:23" ht="35.25" hidden="1" customHeight="1" x14ac:dyDescent="0.2">
      <c r="A62" s="611"/>
      <c r="B62" s="810" t="s">
        <v>767</v>
      </c>
      <c r="C62" s="809"/>
      <c r="D62" s="808"/>
      <c r="E62" s="808"/>
      <c r="F62" s="807"/>
      <c r="G62" s="806">
        <v>0</v>
      </c>
      <c r="H62" s="805">
        <v>0</v>
      </c>
      <c r="I62" s="805">
        <f>SUM('[2]Segédtábla 2.sz.melléklethez'!BE58)</f>
        <v>0</v>
      </c>
      <c r="J62" s="804" t="e">
        <f>I62/H62</f>
        <v>#DIV/0!</v>
      </c>
      <c r="K62" s="801">
        <v>0</v>
      </c>
      <c r="L62" s="800">
        <v>0</v>
      </c>
      <c r="M62" s="800">
        <f t="shared" si="11"/>
        <v>0</v>
      </c>
      <c r="N62" s="802" t="e">
        <f t="shared" si="12"/>
        <v>#DIV/0!</v>
      </c>
      <c r="O62" s="803">
        <v>307709</v>
      </c>
      <c r="P62" s="799">
        <v>332312</v>
      </c>
      <c r="Q62" s="799">
        <f>SUM('[2]Segédtábla 2.sz.melléklethez'!AD58)</f>
        <v>332312</v>
      </c>
      <c r="R62" s="802">
        <f t="shared" si="13"/>
        <v>1</v>
      </c>
      <c r="S62" s="801">
        <v>307709</v>
      </c>
      <c r="T62" s="800">
        <v>332312</v>
      </c>
      <c r="U62" s="799">
        <f t="shared" si="14"/>
        <v>332312</v>
      </c>
      <c r="V62" s="798">
        <f t="shared" si="8"/>
        <v>1</v>
      </c>
    </row>
    <row r="63" spans="1:23" s="159" customFormat="1" ht="35.25" customHeight="1" x14ac:dyDescent="0.25">
      <c r="A63" s="66" t="s">
        <v>200</v>
      </c>
      <c r="B63" s="816" t="s">
        <v>47</v>
      </c>
      <c r="C63" s="822">
        <v>0</v>
      </c>
      <c r="D63" s="821">
        <v>0</v>
      </c>
      <c r="E63" s="821">
        <f>SUM(E64:E66)</f>
        <v>0</v>
      </c>
      <c r="F63" s="817"/>
      <c r="G63" s="820">
        <v>0</v>
      </c>
      <c r="H63" s="819">
        <v>0</v>
      </c>
      <c r="I63" s="819">
        <f>SUM(I64:I66)</f>
        <v>0</v>
      </c>
      <c r="J63" s="818"/>
      <c r="K63" s="790">
        <v>0</v>
      </c>
      <c r="L63" s="789">
        <v>0</v>
      </c>
      <c r="M63" s="789">
        <f t="shared" si="11"/>
        <v>0</v>
      </c>
      <c r="N63" s="814"/>
      <c r="O63" s="815">
        <v>3458281</v>
      </c>
      <c r="P63" s="813">
        <v>3946960</v>
      </c>
      <c r="Q63" s="813">
        <f>SUM(Q65:Q66)</f>
        <v>3946960</v>
      </c>
      <c r="R63" s="814">
        <f t="shared" si="13"/>
        <v>1</v>
      </c>
      <c r="S63" s="790">
        <v>3458281</v>
      </c>
      <c r="T63" s="789">
        <v>3946960</v>
      </c>
      <c r="U63" s="813">
        <f t="shared" si="14"/>
        <v>3946960</v>
      </c>
      <c r="V63" s="812">
        <f t="shared" si="8"/>
        <v>1</v>
      </c>
    </row>
    <row r="64" spans="1:23" ht="35.25" hidden="1" customHeight="1" x14ac:dyDescent="0.2">
      <c r="A64" s="611"/>
      <c r="B64" s="810" t="s">
        <v>769</v>
      </c>
      <c r="C64" s="809"/>
      <c r="D64" s="808"/>
      <c r="E64" s="808"/>
      <c r="F64" s="807"/>
      <c r="G64" s="806">
        <v>0</v>
      </c>
      <c r="H64" s="805">
        <v>0</v>
      </c>
      <c r="I64" s="805">
        <f>SUM('[2]Segédtábla 2.sz.melléklethez'!BE60)</f>
        <v>0</v>
      </c>
      <c r="J64" s="804" t="e">
        <f>I64/H64</f>
        <v>#DIV/0!</v>
      </c>
      <c r="K64" s="801">
        <v>0</v>
      </c>
      <c r="L64" s="800">
        <v>0</v>
      </c>
      <c r="M64" s="800">
        <f t="shared" si="11"/>
        <v>0</v>
      </c>
      <c r="N64" s="802" t="e">
        <f>M64/L64</f>
        <v>#DIV/0!</v>
      </c>
      <c r="O64" s="803">
        <v>0</v>
      </c>
      <c r="P64" s="799">
        <v>0</v>
      </c>
      <c r="Q64" s="799">
        <f>SUM('[2]Segédtábla 2.sz.melléklethez'!AD60)</f>
        <v>0</v>
      </c>
      <c r="R64" s="802" t="e">
        <f t="shared" si="13"/>
        <v>#DIV/0!</v>
      </c>
      <c r="S64" s="801">
        <v>0</v>
      </c>
      <c r="T64" s="800">
        <v>0</v>
      </c>
      <c r="U64" s="799">
        <f t="shared" si="14"/>
        <v>0</v>
      </c>
      <c r="V64" s="798" t="e">
        <f t="shared" si="8"/>
        <v>#DIV/0!</v>
      </c>
    </row>
    <row r="65" spans="1:22" ht="35.25" hidden="1" customHeight="1" x14ac:dyDescent="0.2">
      <c r="A65" s="611"/>
      <c r="B65" s="810" t="s">
        <v>768</v>
      </c>
      <c r="C65" s="809">
        <v>0</v>
      </c>
      <c r="D65" s="808">
        <v>0</v>
      </c>
      <c r="E65" s="808">
        <f>SUM([2]ÖK.ÖSSZESÍTŐ!G65)</f>
        <v>0</v>
      </c>
      <c r="F65" s="807"/>
      <c r="G65" s="806">
        <v>0</v>
      </c>
      <c r="H65" s="805">
        <v>0</v>
      </c>
      <c r="I65" s="805">
        <f>SUM('[2]Segédtábla 2.sz.melléklethez'!BE61)</f>
        <v>0</v>
      </c>
      <c r="J65" s="804" t="e">
        <f>I65/H65</f>
        <v>#DIV/0!</v>
      </c>
      <c r="K65" s="801">
        <v>0</v>
      </c>
      <c r="L65" s="800">
        <v>0</v>
      </c>
      <c r="M65" s="800">
        <f t="shared" si="11"/>
        <v>0</v>
      </c>
      <c r="N65" s="802" t="e">
        <f>M65/L65</f>
        <v>#DIV/0!</v>
      </c>
      <c r="O65" s="803">
        <v>2461749</v>
      </c>
      <c r="P65" s="799">
        <v>3435402</v>
      </c>
      <c r="Q65" s="799">
        <f>SUM('[2]Segédtábla 2.sz.melléklethez'!AD61)</f>
        <v>3435402</v>
      </c>
      <c r="R65" s="802">
        <f t="shared" si="13"/>
        <v>1</v>
      </c>
      <c r="S65" s="801">
        <v>2461749</v>
      </c>
      <c r="T65" s="800">
        <v>3434402</v>
      </c>
      <c r="U65" s="799">
        <f t="shared" si="14"/>
        <v>3435402</v>
      </c>
      <c r="V65" s="798">
        <f t="shared" si="8"/>
        <v>1.0002911715052576</v>
      </c>
    </row>
    <row r="66" spans="1:22" ht="35.25" hidden="1" customHeight="1" x14ac:dyDescent="0.2">
      <c r="A66" s="611"/>
      <c r="B66" s="810" t="s">
        <v>767</v>
      </c>
      <c r="C66" s="809"/>
      <c r="D66" s="808"/>
      <c r="E66" s="808"/>
      <c r="F66" s="807"/>
      <c r="G66" s="806">
        <v>0</v>
      </c>
      <c r="H66" s="805">
        <v>0</v>
      </c>
      <c r="I66" s="805">
        <f>SUM('[2]Segédtábla 2.sz.melléklethez'!BE62)</f>
        <v>0</v>
      </c>
      <c r="J66" s="804" t="e">
        <f>I66/H66</f>
        <v>#DIV/0!</v>
      </c>
      <c r="K66" s="801">
        <v>0</v>
      </c>
      <c r="L66" s="800">
        <v>0</v>
      </c>
      <c r="M66" s="800">
        <f t="shared" si="11"/>
        <v>0</v>
      </c>
      <c r="N66" s="802" t="e">
        <f>M66/L66</f>
        <v>#DIV/0!</v>
      </c>
      <c r="O66" s="803">
        <v>996532</v>
      </c>
      <c r="P66" s="799">
        <v>511558</v>
      </c>
      <c r="Q66" s="799">
        <f>SUM('[2]Segédtábla 2.sz.melléklethez'!AD62)</f>
        <v>511558</v>
      </c>
      <c r="R66" s="802">
        <f t="shared" si="13"/>
        <v>1</v>
      </c>
      <c r="S66" s="801">
        <v>996532</v>
      </c>
      <c r="T66" s="800">
        <v>511558</v>
      </c>
      <c r="U66" s="799">
        <f t="shared" si="14"/>
        <v>511558</v>
      </c>
      <c r="V66" s="798">
        <f t="shared" si="8"/>
        <v>1</v>
      </c>
    </row>
    <row r="67" spans="1:22" s="159" customFormat="1" ht="35.25" customHeight="1" x14ac:dyDescent="0.25">
      <c r="A67" s="66">
        <v>513</v>
      </c>
      <c r="B67" s="816" t="s">
        <v>35</v>
      </c>
      <c r="C67" s="822">
        <v>0</v>
      </c>
      <c r="D67" s="821">
        <v>0</v>
      </c>
      <c r="E67" s="821">
        <f>SUM(E68:E70)</f>
        <v>0</v>
      </c>
      <c r="F67" s="817"/>
      <c r="G67" s="820">
        <v>0</v>
      </c>
      <c r="H67" s="819">
        <v>0</v>
      </c>
      <c r="I67" s="819">
        <f>SUM(I68:I70)</f>
        <v>0</v>
      </c>
      <c r="J67" s="818"/>
      <c r="K67" s="790">
        <v>0</v>
      </c>
      <c r="L67" s="789">
        <v>0</v>
      </c>
      <c r="M67" s="789">
        <f t="shared" si="11"/>
        <v>0</v>
      </c>
      <c r="N67" s="814"/>
      <c r="O67" s="815">
        <v>3779361</v>
      </c>
      <c r="P67" s="813">
        <v>1085005</v>
      </c>
      <c r="Q67" s="813">
        <f>SUM(Q68:Q70)</f>
        <v>720201</v>
      </c>
      <c r="R67" s="814">
        <f t="shared" si="13"/>
        <v>0.66377666462366536</v>
      </c>
      <c r="S67" s="790">
        <v>3779361</v>
      </c>
      <c r="T67" s="789">
        <v>1085005</v>
      </c>
      <c r="U67" s="813">
        <f t="shared" si="14"/>
        <v>720201</v>
      </c>
      <c r="V67" s="812">
        <f t="shared" si="8"/>
        <v>0.66377666462366536</v>
      </c>
    </row>
    <row r="68" spans="1:22" ht="35.25" hidden="1" customHeight="1" x14ac:dyDescent="0.2">
      <c r="A68" s="611"/>
      <c r="B68" s="810" t="s">
        <v>769</v>
      </c>
      <c r="C68" s="809"/>
      <c r="D68" s="808"/>
      <c r="E68" s="808"/>
      <c r="F68" s="807"/>
      <c r="G68" s="806">
        <v>0</v>
      </c>
      <c r="H68" s="805">
        <v>0</v>
      </c>
      <c r="I68" s="805">
        <f>SUM('[2]Segédtábla 2.sz.melléklethez'!BE64)</f>
        <v>0</v>
      </c>
      <c r="J68" s="804" t="e">
        <f t="shared" ref="J68:J78" si="15">I68/H68</f>
        <v>#DIV/0!</v>
      </c>
      <c r="K68" s="801">
        <v>0</v>
      </c>
      <c r="L68" s="800">
        <v>0</v>
      </c>
      <c r="M68" s="800">
        <f t="shared" si="11"/>
        <v>0</v>
      </c>
      <c r="N68" s="802" t="e">
        <f t="shared" ref="N68:N78" si="16">M68/L68</f>
        <v>#DIV/0!</v>
      </c>
      <c r="O68" s="803">
        <v>0</v>
      </c>
      <c r="P68" s="799">
        <v>0</v>
      </c>
      <c r="Q68" s="799">
        <f>SUM('[2]Segédtábla 2.sz.melléklethez'!AD64)</f>
        <v>0</v>
      </c>
      <c r="R68" s="802" t="e">
        <f t="shared" si="13"/>
        <v>#DIV/0!</v>
      </c>
      <c r="S68" s="801">
        <v>0</v>
      </c>
      <c r="T68" s="800">
        <v>0</v>
      </c>
      <c r="U68" s="799">
        <f t="shared" si="14"/>
        <v>0</v>
      </c>
      <c r="V68" s="798" t="e">
        <f t="shared" si="8"/>
        <v>#DIV/0!</v>
      </c>
    </row>
    <row r="69" spans="1:22" ht="35.25" hidden="1" customHeight="1" x14ac:dyDescent="0.2">
      <c r="A69" s="611"/>
      <c r="B69" s="810" t="s">
        <v>768</v>
      </c>
      <c r="C69" s="809">
        <v>0</v>
      </c>
      <c r="D69" s="808">
        <v>0</v>
      </c>
      <c r="E69" s="808">
        <f>SUM([2]ÖK.ÖSSZESÍTŐ!H65)</f>
        <v>0</v>
      </c>
      <c r="F69" s="807"/>
      <c r="G69" s="806">
        <v>0</v>
      </c>
      <c r="H69" s="805">
        <v>0</v>
      </c>
      <c r="I69" s="805">
        <f>SUM('[2]Segédtábla 2.sz.melléklethez'!BE65)</f>
        <v>0</v>
      </c>
      <c r="J69" s="804" t="e">
        <f t="shared" si="15"/>
        <v>#DIV/0!</v>
      </c>
      <c r="K69" s="801">
        <v>0</v>
      </c>
      <c r="L69" s="800">
        <v>0</v>
      </c>
      <c r="M69" s="800">
        <f t="shared" si="11"/>
        <v>0</v>
      </c>
      <c r="N69" s="802" t="e">
        <f t="shared" si="16"/>
        <v>#DIV/0!</v>
      </c>
      <c r="O69" s="803">
        <v>233000</v>
      </c>
      <c r="P69" s="799">
        <v>565005</v>
      </c>
      <c r="Q69" s="799">
        <f>SUM('[2]Segédtábla 2.sz.melléklethez'!AD65)</f>
        <v>200201</v>
      </c>
      <c r="R69" s="802">
        <f t="shared" si="13"/>
        <v>0.35433491739011158</v>
      </c>
      <c r="S69" s="801">
        <v>233000</v>
      </c>
      <c r="T69" s="800">
        <v>565005</v>
      </c>
      <c r="U69" s="799">
        <f t="shared" si="14"/>
        <v>200201</v>
      </c>
      <c r="V69" s="798">
        <f t="shared" si="8"/>
        <v>0.35433491739011158</v>
      </c>
    </row>
    <row r="70" spans="1:22" ht="35.25" hidden="1" customHeight="1" x14ac:dyDescent="0.2">
      <c r="A70" s="611"/>
      <c r="B70" s="810" t="s">
        <v>767</v>
      </c>
      <c r="C70" s="809"/>
      <c r="D70" s="808"/>
      <c r="E70" s="808"/>
      <c r="F70" s="807"/>
      <c r="G70" s="806">
        <v>0</v>
      </c>
      <c r="H70" s="805">
        <v>0</v>
      </c>
      <c r="I70" s="805">
        <f>SUM('[2]Segédtábla 2.sz.melléklethez'!BE66)</f>
        <v>0</v>
      </c>
      <c r="J70" s="804" t="e">
        <f t="shared" si="15"/>
        <v>#DIV/0!</v>
      </c>
      <c r="K70" s="801">
        <v>0</v>
      </c>
      <c r="L70" s="800">
        <v>0</v>
      </c>
      <c r="M70" s="800">
        <f t="shared" si="11"/>
        <v>0</v>
      </c>
      <c r="N70" s="802" t="e">
        <f t="shared" si="16"/>
        <v>#DIV/0!</v>
      </c>
      <c r="O70" s="803">
        <v>3546361</v>
      </c>
      <c r="P70" s="799">
        <v>520000</v>
      </c>
      <c r="Q70" s="799">
        <f>SUM('[2]Segédtábla 2.sz.melléklethez'!AD66)</f>
        <v>520000</v>
      </c>
      <c r="R70" s="802">
        <f t="shared" si="13"/>
        <v>1</v>
      </c>
      <c r="S70" s="801">
        <v>3546361</v>
      </c>
      <c r="T70" s="800">
        <v>520000</v>
      </c>
      <c r="U70" s="799">
        <f t="shared" si="14"/>
        <v>520000</v>
      </c>
      <c r="V70" s="798">
        <f t="shared" si="8"/>
        <v>1</v>
      </c>
    </row>
    <row r="71" spans="1:22" s="159" customFormat="1" ht="35.25" customHeight="1" x14ac:dyDescent="0.25">
      <c r="A71" s="66" t="s">
        <v>420</v>
      </c>
      <c r="B71" s="816" t="s">
        <v>32</v>
      </c>
      <c r="C71" s="822">
        <v>235459</v>
      </c>
      <c r="D71" s="821">
        <v>127098</v>
      </c>
      <c r="E71" s="821">
        <f>SUM(E73:E74)</f>
        <v>127098</v>
      </c>
      <c r="F71" s="817">
        <f t="shared" ref="F71:F78" si="17">E71/D71</f>
        <v>1</v>
      </c>
      <c r="G71" s="820">
        <v>120069</v>
      </c>
      <c r="H71" s="819">
        <v>49335</v>
      </c>
      <c r="I71" s="819">
        <f>SUM(I72:I74)</f>
        <v>49335</v>
      </c>
      <c r="J71" s="818">
        <f t="shared" si="15"/>
        <v>1</v>
      </c>
      <c r="K71" s="790">
        <v>355528</v>
      </c>
      <c r="L71" s="789">
        <v>176433</v>
      </c>
      <c r="M71" s="789">
        <f t="shared" si="11"/>
        <v>176433</v>
      </c>
      <c r="N71" s="814">
        <f t="shared" si="16"/>
        <v>1</v>
      </c>
      <c r="O71" s="815">
        <v>6903398</v>
      </c>
      <c r="P71" s="813">
        <v>5476539</v>
      </c>
      <c r="Q71" s="813">
        <f>SUM(Q72:Q74)</f>
        <v>5476539</v>
      </c>
      <c r="R71" s="814">
        <f t="shared" si="13"/>
        <v>1</v>
      </c>
      <c r="S71" s="790">
        <v>7258926</v>
      </c>
      <c r="T71" s="789">
        <v>5652972</v>
      </c>
      <c r="U71" s="813">
        <f t="shared" si="14"/>
        <v>5652972</v>
      </c>
      <c r="V71" s="812">
        <f t="shared" si="8"/>
        <v>1</v>
      </c>
    </row>
    <row r="72" spans="1:22" ht="35.25" hidden="1" customHeight="1" x14ac:dyDescent="0.2">
      <c r="A72" s="611"/>
      <c r="B72" s="810" t="s">
        <v>769</v>
      </c>
      <c r="C72" s="809"/>
      <c r="D72" s="808"/>
      <c r="E72" s="808"/>
      <c r="F72" s="817" t="e">
        <f t="shared" si="17"/>
        <v>#DIV/0!</v>
      </c>
      <c r="G72" s="806">
        <v>0</v>
      </c>
      <c r="H72" s="805">
        <v>0</v>
      </c>
      <c r="I72" s="805">
        <f>SUM('[2]Segédtábla 2.sz.melléklethez'!BE68)</f>
        <v>0</v>
      </c>
      <c r="J72" s="804" t="e">
        <f t="shared" si="15"/>
        <v>#DIV/0!</v>
      </c>
      <c r="K72" s="801">
        <v>0</v>
      </c>
      <c r="L72" s="800">
        <v>0</v>
      </c>
      <c r="M72" s="800">
        <f t="shared" si="11"/>
        <v>0</v>
      </c>
      <c r="N72" s="802" t="e">
        <f t="shared" si="16"/>
        <v>#DIV/0!</v>
      </c>
      <c r="O72" s="803">
        <v>0</v>
      </c>
      <c r="P72" s="799">
        <v>0</v>
      </c>
      <c r="Q72" s="799">
        <f>SUM('[2]Segédtábla 2.sz.melléklethez'!AD68)</f>
        <v>0</v>
      </c>
      <c r="R72" s="802" t="e">
        <f t="shared" si="13"/>
        <v>#DIV/0!</v>
      </c>
      <c r="S72" s="801">
        <v>0</v>
      </c>
      <c r="T72" s="800">
        <v>0</v>
      </c>
      <c r="U72" s="799">
        <f t="shared" si="14"/>
        <v>0</v>
      </c>
      <c r="V72" s="798" t="e">
        <f t="shared" si="8"/>
        <v>#DIV/0!</v>
      </c>
    </row>
    <row r="73" spans="1:22" ht="35.25" hidden="1" customHeight="1" x14ac:dyDescent="0.2">
      <c r="A73" s="611"/>
      <c r="B73" s="810" t="s">
        <v>768</v>
      </c>
      <c r="C73" s="809">
        <v>235459</v>
      </c>
      <c r="D73" s="808">
        <v>127098</v>
      </c>
      <c r="E73" s="808">
        <f>SUM([2]ÖK.ÖSSZESÍTŐ!J65)</f>
        <v>127098</v>
      </c>
      <c r="F73" s="817">
        <f t="shared" si="17"/>
        <v>1</v>
      </c>
      <c r="G73" s="806">
        <v>120069</v>
      </c>
      <c r="H73" s="805">
        <v>49335</v>
      </c>
      <c r="I73" s="805">
        <f>SUM('[2]Segédtábla 2.sz.melléklethez'!BE69)</f>
        <v>49335</v>
      </c>
      <c r="J73" s="804">
        <f t="shared" si="15"/>
        <v>1</v>
      </c>
      <c r="K73" s="801">
        <v>355528</v>
      </c>
      <c r="L73" s="800">
        <v>176433</v>
      </c>
      <c r="M73" s="800">
        <f t="shared" si="11"/>
        <v>176433</v>
      </c>
      <c r="N73" s="802">
        <f t="shared" si="16"/>
        <v>1</v>
      </c>
      <c r="O73" s="803">
        <v>5521872</v>
      </c>
      <c r="P73" s="799">
        <v>4925539</v>
      </c>
      <c r="Q73" s="799">
        <f>SUM('[2]Segédtábla 2.sz.melléklethez'!AD69)</f>
        <v>4925539</v>
      </c>
      <c r="R73" s="802">
        <f t="shared" si="13"/>
        <v>1</v>
      </c>
      <c r="S73" s="801">
        <v>5877400</v>
      </c>
      <c r="T73" s="800">
        <v>5101972</v>
      </c>
      <c r="U73" s="799">
        <f t="shared" si="14"/>
        <v>5101972</v>
      </c>
      <c r="V73" s="798">
        <f t="shared" si="8"/>
        <v>1</v>
      </c>
    </row>
    <row r="74" spans="1:22" ht="35.25" hidden="1" customHeight="1" x14ac:dyDescent="0.2">
      <c r="A74" s="611"/>
      <c r="B74" s="810" t="s">
        <v>767</v>
      </c>
      <c r="C74" s="809"/>
      <c r="D74" s="808"/>
      <c r="E74" s="808"/>
      <c r="F74" s="817" t="e">
        <f t="shared" si="17"/>
        <v>#DIV/0!</v>
      </c>
      <c r="G74" s="806">
        <v>0</v>
      </c>
      <c r="H74" s="805">
        <v>0</v>
      </c>
      <c r="I74" s="805">
        <f>SUM('[2]Segédtábla 2.sz.melléklethez'!BE70)</f>
        <v>0</v>
      </c>
      <c r="J74" s="804" t="e">
        <f t="shared" si="15"/>
        <v>#DIV/0!</v>
      </c>
      <c r="K74" s="801">
        <v>0</v>
      </c>
      <c r="L74" s="800">
        <v>0</v>
      </c>
      <c r="M74" s="800">
        <f t="shared" si="11"/>
        <v>0</v>
      </c>
      <c r="N74" s="802" t="e">
        <f t="shared" si="16"/>
        <v>#DIV/0!</v>
      </c>
      <c r="O74" s="803">
        <v>1381526</v>
      </c>
      <c r="P74" s="799">
        <v>551000</v>
      </c>
      <c r="Q74" s="799">
        <f>SUM('[2]Segédtábla 2.sz.melléklethez'!AD70)</f>
        <v>551000</v>
      </c>
      <c r="R74" s="802">
        <f t="shared" si="13"/>
        <v>1</v>
      </c>
      <c r="S74" s="801">
        <v>1381526</v>
      </c>
      <c r="T74" s="800">
        <v>551000</v>
      </c>
      <c r="U74" s="799">
        <f t="shared" si="14"/>
        <v>551000</v>
      </c>
      <c r="V74" s="798">
        <f t="shared" si="8"/>
        <v>1</v>
      </c>
    </row>
    <row r="75" spans="1:22" s="159" customFormat="1" ht="35.25" customHeight="1" x14ac:dyDescent="0.25">
      <c r="A75" s="66" t="s">
        <v>419</v>
      </c>
      <c r="B75" s="816" t="s">
        <v>29</v>
      </c>
      <c r="C75" s="822">
        <v>34859</v>
      </c>
      <c r="D75" s="821">
        <v>88415</v>
      </c>
      <c r="E75" s="821">
        <f>SUM(E77:E78)</f>
        <v>88415</v>
      </c>
      <c r="F75" s="817">
        <f t="shared" si="17"/>
        <v>1</v>
      </c>
      <c r="G75" s="820">
        <v>0</v>
      </c>
      <c r="H75" s="819">
        <v>1500</v>
      </c>
      <c r="I75" s="819">
        <f>SUM(I76:I78)</f>
        <v>1500</v>
      </c>
      <c r="J75" s="818">
        <f t="shared" si="15"/>
        <v>1</v>
      </c>
      <c r="K75" s="790">
        <v>34859</v>
      </c>
      <c r="L75" s="789">
        <v>89915</v>
      </c>
      <c r="M75" s="789">
        <f t="shared" si="11"/>
        <v>89915</v>
      </c>
      <c r="N75" s="814">
        <f t="shared" si="16"/>
        <v>1</v>
      </c>
      <c r="O75" s="815">
        <v>1052124</v>
      </c>
      <c r="P75" s="813">
        <v>566775</v>
      </c>
      <c r="Q75" s="813">
        <f>SUM(Q76:Q78)</f>
        <v>566775</v>
      </c>
      <c r="R75" s="814">
        <f t="shared" si="13"/>
        <v>1</v>
      </c>
      <c r="S75" s="790">
        <v>1086983</v>
      </c>
      <c r="T75" s="789">
        <v>656690</v>
      </c>
      <c r="U75" s="813">
        <f t="shared" si="14"/>
        <v>656690</v>
      </c>
      <c r="V75" s="812">
        <f t="shared" ref="V75:V90" si="18">U75/T75</f>
        <v>1</v>
      </c>
    </row>
    <row r="76" spans="1:22" s="797" customFormat="1" ht="35.25" hidden="1" customHeight="1" x14ac:dyDescent="0.2">
      <c r="A76" s="611"/>
      <c r="B76" s="810" t="s">
        <v>769</v>
      </c>
      <c r="C76" s="809"/>
      <c r="D76" s="808"/>
      <c r="E76" s="808"/>
      <c r="F76" s="817" t="e">
        <f t="shared" si="17"/>
        <v>#DIV/0!</v>
      </c>
      <c r="G76" s="806">
        <v>0</v>
      </c>
      <c r="H76" s="805">
        <v>0</v>
      </c>
      <c r="I76" s="805">
        <f>SUM('[2]Segédtábla 2.sz.melléklethez'!BE72)</f>
        <v>0</v>
      </c>
      <c r="J76" s="804" t="e">
        <f t="shared" si="15"/>
        <v>#DIV/0!</v>
      </c>
      <c r="K76" s="801">
        <v>0</v>
      </c>
      <c r="L76" s="800">
        <v>0</v>
      </c>
      <c r="M76" s="800">
        <f t="shared" si="11"/>
        <v>0</v>
      </c>
      <c r="N76" s="802" t="e">
        <f t="shared" si="16"/>
        <v>#DIV/0!</v>
      </c>
      <c r="O76" s="803">
        <v>0</v>
      </c>
      <c r="P76" s="799">
        <v>0</v>
      </c>
      <c r="Q76" s="799">
        <f>SUM('[2]Segédtábla 2.sz.melléklethez'!AD72)</f>
        <v>0</v>
      </c>
      <c r="R76" s="802" t="e">
        <f t="shared" si="13"/>
        <v>#DIV/0!</v>
      </c>
      <c r="S76" s="801">
        <v>0</v>
      </c>
      <c r="T76" s="800">
        <v>0</v>
      </c>
      <c r="U76" s="799">
        <f t="shared" si="14"/>
        <v>0</v>
      </c>
      <c r="V76" s="798" t="e">
        <f t="shared" si="18"/>
        <v>#DIV/0!</v>
      </c>
    </row>
    <row r="77" spans="1:22" s="797" customFormat="1" ht="35.25" hidden="1" customHeight="1" x14ac:dyDescent="0.2">
      <c r="A77" s="611"/>
      <c r="B77" s="810" t="s">
        <v>768</v>
      </c>
      <c r="C77" s="809">
        <v>34859</v>
      </c>
      <c r="D77" s="808">
        <v>88415</v>
      </c>
      <c r="E77" s="808">
        <f>SUM([2]ÖK.ÖSSZESÍTŐ!K65)</f>
        <v>88415</v>
      </c>
      <c r="F77" s="817">
        <f t="shared" si="17"/>
        <v>1</v>
      </c>
      <c r="G77" s="806">
        <v>0</v>
      </c>
      <c r="H77" s="805">
        <v>1500</v>
      </c>
      <c r="I77" s="805">
        <f>SUM('[2]Segédtábla 2.sz.melléklethez'!BE73)</f>
        <v>1500</v>
      </c>
      <c r="J77" s="804">
        <f t="shared" si="15"/>
        <v>1</v>
      </c>
      <c r="K77" s="801">
        <v>34859</v>
      </c>
      <c r="L77" s="800">
        <v>89915</v>
      </c>
      <c r="M77" s="800">
        <f t="shared" si="11"/>
        <v>89915</v>
      </c>
      <c r="N77" s="802">
        <f t="shared" si="16"/>
        <v>1</v>
      </c>
      <c r="O77" s="803">
        <v>1052124</v>
      </c>
      <c r="P77" s="799">
        <v>554430</v>
      </c>
      <c r="Q77" s="799">
        <f>SUM('[2]Segédtábla 2.sz.melléklethez'!AD73)</f>
        <v>554430</v>
      </c>
      <c r="R77" s="802">
        <f t="shared" si="13"/>
        <v>1</v>
      </c>
      <c r="S77" s="801">
        <v>1086983</v>
      </c>
      <c r="T77" s="800">
        <v>644345</v>
      </c>
      <c r="U77" s="799">
        <f t="shared" si="14"/>
        <v>644345</v>
      </c>
      <c r="V77" s="798">
        <f t="shared" si="18"/>
        <v>1</v>
      </c>
    </row>
    <row r="78" spans="1:22" s="797" customFormat="1" ht="35.25" hidden="1" customHeight="1" x14ac:dyDescent="0.2">
      <c r="A78" s="611"/>
      <c r="B78" s="810" t="s">
        <v>767</v>
      </c>
      <c r="C78" s="809"/>
      <c r="D78" s="808"/>
      <c r="E78" s="808"/>
      <c r="F78" s="817" t="e">
        <f t="shared" si="17"/>
        <v>#DIV/0!</v>
      </c>
      <c r="G78" s="806">
        <v>0</v>
      </c>
      <c r="H78" s="805">
        <v>0</v>
      </c>
      <c r="I78" s="805">
        <f>SUM('[2]Segédtábla 2.sz.melléklethez'!BE74)</f>
        <v>0</v>
      </c>
      <c r="J78" s="804" t="e">
        <f t="shared" si="15"/>
        <v>#DIV/0!</v>
      </c>
      <c r="K78" s="801">
        <v>0</v>
      </c>
      <c r="L78" s="800">
        <v>0</v>
      </c>
      <c r="M78" s="800">
        <f t="shared" si="11"/>
        <v>0</v>
      </c>
      <c r="N78" s="802" t="e">
        <f t="shared" si="16"/>
        <v>#DIV/0!</v>
      </c>
      <c r="O78" s="803">
        <v>0</v>
      </c>
      <c r="P78" s="799">
        <v>12345</v>
      </c>
      <c r="Q78" s="799">
        <f>SUM('[2]Segédtábla 2.sz.melléklethez'!AD74)</f>
        <v>12345</v>
      </c>
      <c r="R78" s="802">
        <f t="shared" si="13"/>
        <v>1</v>
      </c>
      <c r="S78" s="801">
        <v>0</v>
      </c>
      <c r="T78" s="800">
        <v>12345</v>
      </c>
      <c r="U78" s="799">
        <f t="shared" si="14"/>
        <v>12345</v>
      </c>
      <c r="V78" s="798">
        <f t="shared" si="18"/>
        <v>1</v>
      </c>
    </row>
    <row r="79" spans="1:22" s="811" customFormat="1" ht="35.25" customHeight="1" x14ac:dyDescent="0.25">
      <c r="A79" s="66" t="s">
        <v>418</v>
      </c>
      <c r="B79" s="816" t="s">
        <v>26</v>
      </c>
      <c r="C79" s="822">
        <v>0</v>
      </c>
      <c r="D79" s="821">
        <v>0</v>
      </c>
      <c r="E79" s="821">
        <f>SUM(E80:E82)</f>
        <v>0</v>
      </c>
      <c r="F79" s="817"/>
      <c r="G79" s="820">
        <v>0</v>
      </c>
      <c r="H79" s="819">
        <v>0</v>
      </c>
      <c r="I79" s="819">
        <f>SUM(I80:I82)</f>
        <v>0</v>
      </c>
      <c r="J79" s="818"/>
      <c r="K79" s="790">
        <v>0</v>
      </c>
      <c r="L79" s="789">
        <v>0</v>
      </c>
      <c r="M79" s="789">
        <f t="shared" si="11"/>
        <v>0</v>
      </c>
      <c r="N79" s="814"/>
      <c r="O79" s="815">
        <v>1145803</v>
      </c>
      <c r="P79" s="813">
        <v>536733</v>
      </c>
      <c r="Q79" s="813">
        <f>SUM(Q80:Q82)</f>
        <v>536733</v>
      </c>
      <c r="R79" s="814">
        <f t="shared" si="13"/>
        <v>1</v>
      </c>
      <c r="S79" s="790">
        <v>1145803</v>
      </c>
      <c r="T79" s="789">
        <v>536733</v>
      </c>
      <c r="U79" s="813">
        <f t="shared" si="14"/>
        <v>536733</v>
      </c>
      <c r="V79" s="812">
        <f t="shared" si="18"/>
        <v>1</v>
      </c>
    </row>
    <row r="80" spans="1:22" s="797" customFormat="1" ht="35.25" hidden="1" customHeight="1" x14ac:dyDescent="0.2">
      <c r="A80" s="611"/>
      <c r="B80" s="810" t="s">
        <v>769</v>
      </c>
      <c r="C80" s="809"/>
      <c r="D80" s="808"/>
      <c r="E80" s="808"/>
      <c r="F80" s="817" t="e">
        <f>E80/D80</f>
        <v>#DIV/0!</v>
      </c>
      <c r="G80" s="806">
        <v>0</v>
      </c>
      <c r="H80" s="805">
        <v>0</v>
      </c>
      <c r="I80" s="805">
        <f>SUM('[2]Segédtábla 2.sz.melléklethez'!BE76)</f>
        <v>0</v>
      </c>
      <c r="J80" s="804" t="e">
        <f>I80/H80</f>
        <v>#DIV/0!</v>
      </c>
      <c r="K80" s="801">
        <v>0</v>
      </c>
      <c r="L80" s="800">
        <v>0</v>
      </c>
      <c r="M80" s="800">
        <f t="shared" si="11"/>
        <v>0</v>
      </c>
      <c r="N80" s="802" t="e">
        <f>M80/L80</f>
        <v>#DIV/0!</v>
      </c>
      <c r="O80" s="803">
        <v>0</v>
      </c>
      <c r="P80" s="799">
        <v>0</v>
      </c>
      <c r="Q80" s="799">
        <f>SUM('[2]Segédtábla 2.sz.melléklethez'!AD76)</f>
        <v>0</v>
      </c>
      <c r="R80" s="802" t="e">
        <f t="shared" si="13"/>
        <v>#DIV/0!</v>
      </c>
      <c r="S80" s="801">
        <v>0</v>
      </c>
      <c r="T80" s="800">
        <v>0</v>
      </c>
      <c r="U80" s="799">
        <f t="shared" si="14"/>
        <v>0</v>
      </c>
      <c r="V80" s="798" t="e">
        <f t="shared" si="18"/>
        <v>#DIV/0!</v>
      </c>
    </row>
    <row r="81" spans="1:22" s="797" customFormat="1" ht="35.25" hidden="1" customHeight="1" x14ac:dyDescent="0.2">
      <c r="A81" s="611"/>
      <c r="B81" s="810" t="s">
        <v>768</v>
      </c>
      <c r="C81" s="809">
        <v>0</v>
      </c>
      <c r="D81" s="808">
        <v>0</v>
      </c>
      <c r="E81" s="808">
        <f>SUM([2]ÖK.ÖSSZESÍTŐ!L65)</f>
        <v>0</v>
      </c>
      <c r="F81" s="817" t="e">
        <f>E81/D81</f>
        <v>#DIV/0!</v>
      </c>
      <c r="G81" s="806">
        <v>0</v>
      </c>
      <c r="H81" s="805">
        <v>0</v>
      </c>
      <c r="I81" s="805">
        <f>SUM('[2]Segédtábla 2.sz.melléklethez'!BE77)</f>
        <v>0</v>
      </c>
      <c r="J81" s="804" t="e">
        <f>I81/H81</f>
        <v>#DIV/0!</v>
      </c>
      <c r="K81" s="801">
        <v>0</v>
      </c>
      <c r="L81" s="800">
        <v>0</v>
      </c>
      <c r="M81" s="800">
        <f t="shared" si="11"/>
        <v>0</v>
      </c>
      <c r="N81" s="802" t="e">
        <f>M81/L81</f>
        <v>#DIV/0!</v>
      </c>
      <c r="O81" s="803">
        <v>609100</v>
      </c>
      <c r="P81" s="799">
        <v>405033</v>
      </c>
      <c r="Q81" s="799">
        <f>SUM('[2]Segédtábla 2.sz.melléklethez'!AD77)</f>
        <v>405033</v>
      </c>
      <c r="R81" s="802">
        <f t="shared" si="13"/>
        <v>1</v>
      </c>
      <c r="S81" s="801">
        <v>609100</v>
      </c>
      <c r="T81" s="800">
        <v>403033</v>
      </c>
      <c r="U81" s="799">
        <f t="shared" si="14"/>
        <v>405033</v>
      </c>
      <c r="V81" s="798">
        <f t="shared" si="18"/>
        <v>1.004962372808182</v>
      </c>
    </row>
    <row r="82" spans="1:22" s="797" customFormat="1" ht="35.25" hidden="1" customHeight="1" thickBot="1" x14ac:dyDescent="0.25">
      <c r="A82" s="611"/>
      <c r="B82" s="810" t="s">
        <v>767</v>
      </c>
      <c r="C82" s="809"/>
      <c r="D82" s="808"/>
      <c r="E82" s="808"/>
      <c r="F82" s="817" t="e">
        <f>E82/D82</f>
        <v>#DIV/0!</v>
      </c>
      <c r="G82" s="806">
        <v>0</v>
      </c>
      <c r="H82" s="805">
        <v>0</v>
      </c>
      <c r="I82" s="805">
        <f>SUM('[2]Segédtábla 2.sz.melléklethez'!BE78)</f>
        <v>0</v>
      </c>
      <c r="J82" s="804" t="e">
        <f>I82/H82</f>
        <v>#DIV/0!</v>
      </c>
      <c r="K82" s="801">
        <v>0</v>
      </c>
      <c r="L82" s="800">
        <v>0</v>
      </c>
      <c r="M82" s="800">
        <f t="shared" si="11"/>
        <v>0</v>
      </c>
      <c r="N82" s="802" t="e">
        <f>M82/L82</f>
        <v>#DIV/0!</v>
      </c>
      <c r="O82" s="803">
        <v>536703</v>
      </c>
      <c r="P82" s="799">
        <v>131700</v>
      </c>
      <c r="Q82" s="799">
        <f>SUM('[2]Segédtábla 2.sz.melléklethez'!AD78)</f>
        <v>131700</v>
      </c>
      <c r="R82" s="802">
        <f t="shared" si="13"/>
        <v>1</v>
      </c>
      <c r="S82" s="801">
        <v>536703</v>
      </c>
      <c r="T82" s="800">
        <v>131700</v>
      </c>
      <c r="U82" s="799">
        <f t="shared" si="14"/>
        <v>131700</v>
      </c>
      <c r="V82" s="798">
        <f t="shared" si="18"/>
        <v>1</v>
      </c>
    </row>
    <row r="83" spans="1:22" s="159" customFormat="1" ht="35.25" customHeight="1" x14ac:dyDescent="0.25">
      <c r="A83" s="796" t="s">
        <v>771</v>
      </c>
      <c r="B83" s="795" t="s">
        <v>770</v>
      </c>
      <c r="C83" s="794">
        <v>8010942</v>
      </c>
      <c r="D83" s="789">
        <v>8615991</v>
      </c>
      <c r="E83" s="789">
        <f>E47+E51+E55+E59+E63+E67+E71+E75+E79</f>
        <v>8615991</v>
      </c>
      <c r="F83" s="817">
        <f>E83/D83</f>
        <v>1</v>
      </c>
      <c r="G83" s="790">
        <v>2203298.9950000001</v>
      </c>
      <c r="H83" s="789">
        <v>2064656.1023622048</v>
      </c>
      <c r="I83" s="789">
        <f>I79+I75+I71+I67+I63+I59+I55+I51+I47</f>
        <v>2064656.1023622048</v>
      </c>
      <c r="J83" s="792">
        <f>I83/H83</f>
        <v>1</v>
      </c>
      <c r="K83" s="790">
        <v>10214240.995000001</v>
      </c>
      <c r="L83" s="789">
        <v>10680647.102362204</v>
      </c>
      <c r="M83" s="789">
        <f t="shared" si="11"/>
        <v>10680647.102362204</v>
      </c>
      <c r="N83" s="791">
        <f>M83/L83</f>
        <v>1</v>
      </c>
      <c r="O83" s="790">
        <v>19261164.490000002</v>
      </c>
      <c r="P83" s="789">
        <v>14226691</v>
      </c>
      <c r="Q83" s="789">
        <f>Q47+Q51+Q55+Q59+Q63+Q67+Q71+Q75+Q79</f>
        <v>13861887</v>
      </c>
      <c r="R83" s="791">
        <f t="shared" si="13"/>
        <v>0.97435777581729999</v>
      </c>
      <c r="S83" s="790">
        <v>29475405.485000003</v>
      </c>
      <c r="T83" s="789">
        <v>24907338</v>
      </c>
      <c r="U83" s="789">
        <f t="shared" si="14"/>
        <v>24542534.102362204</v>
      </c>
      <c r="V83" s="788">
        <f t="shared" si="18"/>
        <v>0.98535355734772634</v>
      </c>
    </row>
    <row r="84" spans="1:22" s="811" customFormat="1" ht="35.25" customHeight="1" x14ac:dyDescent="0.25">
      <c r="A84" s="66" t="s">
        <v>417</v>
      </c>
      <c r="B84" s="816" t="s">
        <v>415</v>
      </c>
      <c r="C84" s="809">
        <v>0</v>
      </c>
      <c r="D84" s="808">
        <v>0</v>
      </c>
      <c r="E84" s="808">
        <f>SUM(E85:E87)</f>
        <v>0</v>
      </c>
      <c r="F84" s="807"/>
      <c r="G84" s="790">
        <v>0</v>
      </c>
      <c r="H84" s="789">
        <v>0</v>
      </c>
      <c r="I84" s="789">
        <f>SUM(I85:I87)</f>
        <v>0</v>
      </c>
      <c r="J84" s="792"/>
      <c r="K84" s="790">
        <v>0</v>
      </c>
      <c r="L84" s="789">
        <v>0</v>
      </c>
      <c r="M84" s="789">
        <f t="shared" si="11"/>
        <v>0</v>
      </c>
      <c r="N84" s="814"/>
      <c r="O84" s="815">
        <v>8982631.995000001</v>
      </c>
      <c r="P84" s="813">
        <v>9721635.1023622043</v>
      </c>
      <c r="Q84" s="813">
        <f>SUM(Q85:Q87)</f>
        <v>9721635.1023622043</v>
      </c>
      <c r="R84" s="814">
        <f t="shared" si="13"/>
        <v>1</v>
      </c>
      <c r="S84" s="790"/>
      <c r="T84" s="789">
        <v>189546</v>
      </c>
      <c r="U84" s="813">
        <f>SUM(U85:U87)</f>
        <v>189546</v>
      </c>
      <c r="V84" s="812">
        <f t="shared" si="18"/>
        <v>1</v>
      </c>
    </row>
    <row r="85" spans="1:22" s="797" customFormat="1" ht="35.25" hidden="1" customHeight="1" x14ac:dyDescent="0.2">
      <c r="A85" s="611"/>
      <c r="B85" s="810" t="s">
        <v>769</v>
      </c>
      <c r="C85" s="809"/>
      <c r="D85" s="808"/>
      <c r="E85" s="808"/>
      <c r="F85" s="807"/>
      <c r="G85" s="806"/>
      <c r="H85" s="805"/>
      <c r="I85" s="805"/>
      <c r="J85" s="804" t="e">
        <f>I85/H85</f>
        <v>#DIV/0!</v>
      </c>
      <c r="K85" s="801">
        <v>0</v>
      </c>
      <c r="L85" s="800">
        <v>0</v>
      </c>
      <c r="M85" s="800">
        <f t="shared" si="11"/>
        <v>0</v>
      </c>
      <c r="N85" s="802" t="e">
        <f>M85/L85</f>
        <v>#DIV/0!</v>
      </c>
      <c r="O85" s="803"/>
      <c r="P85" s="799"/>
      <c r="Q85" s="799"/>
      <c r="R85" s="802" t="e">
        <f t="shared" si="13"/>
        <v>#DIV/0!</v>
      </c>
      <c r="S85" s="801"/>
      <c r="T85" s="800"/>
      <c r="U85" s="799"/>
      <c r="V85" s="798" t="e">
        <f t="shared" si="18"/>
        <v>#DIV/0!</v>
      </c>
    </row>
    <row r="86" spans="1:22" s="797" customFormat="1" ht="35.25" hidden="1" customHeight="1" x14ac:dyDescent="0.2">
      <c r="A86" s="611"/>
      <c r="B86" s="810" t="s">
        <v>768</v>
      </c>
      <c r="C86" s="809">
        <v>0</v>
      </c>
      <c r="D86" s="808">
        <v>0</v>
      </c>
      <c r="E86" s="808">
        <f>SUM([2]ÖK.ÖSSZESÍTŐ!M65)</f>
        <v>0</v>
      </c>
      <c r="F86" s="807"/>
      <c r="G86" s="806"/>
      <c r="H86" s="805"/>
      <c r="I86" s="805"/>
      <c r="J86" s="804" t="e">
        <f>I86/H86</f>
        <v>#DIV/0!</v>
      </c>
      <c r="K86" s="801">
        <v>0</v>
      </c>
      <c r="L86" s="800">
        <v>0</v>
      </c>
      <c r="M86" s="800">
        <f t="shared" si="11"/>
        <v>0</v>
      </c>
      <c r="N86" s="802" t="e">
        <f>M86/L86</f>
        <v>#DIV/0!</v>
      </c>
      <c r="O86" s="803">
        <v>8982631.995000001</v>
      </c>
      <c r="P86" s="799">
        <v>9721635.1023622043</v>
      </c>
      <c r="Q86" s="799">
        <f>-[2]ÖK.ÖSSZESÍTŐ!AI70+'[2]1022.Költségv.O.'!O14</f>
        <v>9721635.1023622043</v>
      </c>
      <c r="R86" s="802">
        <f t="shared" si="13"/>
        <v>1</v>
      </c>
      <c r="S86" s="801"/>
      <c r="T86" s="800">
        <v>189546</v>
      </c>
      <c r="U86" s="799">
        <f>SUM(Q86)-M42</f>
        <v>189546</v>
      </c>
      <c r="V86" s="798">
        <f t="shared" si="18"/>
        <v>1</v>
      </c>
    </row>
    <row r="87" spans="1:22" s="797" customFormat="1" ht="35.25" hidden="1" customHeight="1" thickBot="1" x14ac:dyDescent="0.25">
      <c r="A87" s="611"/>
      <c r="B87" s="810" t="s">
        <v>767</v>
      </c>
      <c r="C87" s="809"/>
      <c r="D87" s="808"/>
      <c r="E87" s="808"/>
      <c r="F87" s="807"/>
      <c r="G87" s="806"/>
      <c r="H87" s="805"/>
      <c r="I87" s="805"/>
      <c r="J87" s="804" t="e">
        <f>I87/H87</f>
        <v>#DIV/0!</v>
      </c>
      <c r="K87" s="801">
        <v>0</v>
      </c>
      <c r="L87" s="800">
        <v>0</v>
      </c>
      <c r="M87" s="800">
        <f t="shared" si="11"/>
        <v>0</v>
      </c>
      <c r="N87" s="802" t="e">
        <f>M87/L87</f>
        <v>#DIV/0!</v>
      </c>
      <c r="O87" s="803"/>
      <c r="P87" s="799"/>
      <c r="Q87" s="799"/>
      <c r="R87" s="802" t="e">
        <f t="shared" si="13"/>
        <v>#DIV/0!</v>
      </c>
      <c r="S87" s="801"/>
      <c r="T87" s="800"/>
      <c r="U87" s="799"/>
      <c r="V87" s="798" t="e">
        <f t="shared" si="18"/>
        <v>#DIV/0!</v>
      </c>
    </row>
    <row r="88" spans="1:22" s="159" customFormat="1" ht="35.25" customHeight="1" x14ac:dyDescent="0.25">
      <c r="A88" s="796" t="s">
        <v>766</v>
      </c>
      <c r="B88" s="795" t="s">
        <v>14</v>
      </c>
      <c r="C88" s="794">
        <v>0</v>
      </c>
      <c r="D88" s="789">
        <v>0</v>
      </c>
      <c r="E88" s="789">
        <f>SUM(E84)</f>
        <v>0</v>
      </c>
      <c r="F88" s="793"/>
      <c r="G88" s="790">
        <v>0</v>
      </c>
      <c r="H88" s="789">
        <v>0</v>
      </c>
      <c r="I88" s="789">
        <f>SUM(I84)</f>
        <v>0</v>
      </c>
      <c r="J88" s="792"/>
      <c r="K88" s="790">
        <v>0</v>
      </c>
      <c r="L88" s="789">
        <v>0</v>
      </c>
      <c r="M88" s="789">
        <f t="shared" si="11"/>
        <v>0</v>
      </c>
      <c r="N88" s="791"/>
      <c r="O88" s="790">
        <v>8982631.995000001</v>
      </c>
      <c r="P88" s="789">
        <v>9721635.1023622043</v>
      </c>
      <c r="Q88" s="789">
        <f>Q84</f>
        <v>9721635.1023622043</v>
      </c>
      <c r="R88" s="791">
        <f t="shared" si="13"/>
        <v>1</v>
      </c>
      <c r="S88" s="790"/>
      <c r="T88" s="789">
        <v>189546</v>
      </c>
      <c r="U88" s="789">
        <f>SUM(U84)</f>
        <v>189546</v>
      </c>
      <c r="V88" s="788">
        <f t="shared" si="18"/>
        <v>1</v>
      </c>
    </row>
    <row r="89" spans="1:22" s="778" customFormat="1" ht="35.25" customHeight="1" x14ac:dyDescent="0.25">
      <c r="A89" s="787"/>
      <c r="B89" s="786" t="s">
        <v>765</v>
      </c>
      <c r="C89" s="785">
        <v>8010942</v>
      </c>
      <c r="D89" s="780">
        <v>8615991</v>
      </c>
      <c r="E89" s="780">
        <f>SUM(E83+E88)</f>
        <v>8615991</v>
      </c>
      <c r="F89" s="784">
        <f>E89/D89</f>
        <v>1</v>
      </c>
      <c r="G89" s="781">
        <v>2203298.9950000001</v>
      </c>
      <c r="H89" s="780">
        <v>2064656.1023622048</v>
      </c>
      <c r="I89" s="780">
        <f>+I83+I88</f>
        <v>2064656.1023622048</v>
      </c>
      <c r="J89" s="783">
        <f>I89/H89</f>
        <v>1</v>
      </c>
      <c r="K89" s="781">
        <v>10214240.995000001</v>
      </c>
      <c r="L89" s="780">
        <v>10680647.102362204</v>
      </c>
      <c r="M89" s="780">
        <f t="shared" si="11"/>
        <v>10680647.102362204</v>
      </c>
      <c r="N89" s="782">
        <f>M89/L89</f>
        <v>1</v>
      </c>
      <c r="O89" s="781">
        <v>28243796.485000003</v>
      </c>
      <c r="P89" s="780">
        <v>23948326.102362204</v>
      </c>
      <c r="Q89" s="780">
        <f>Q83+Q88</f>
        <v>23583522.102362204</v>
      </c>
      <c r="R89" s="782">
        <f t="shared" si="13"/>
        <v>0.98476703555644263</v>
      </c>
      <c r="S89" s="781">
        <v>29475405.485000003</v>
      </c>
      <c r="T89" s="780">
        <v>25096884</v>
      </c>
      <c r="U89" s="780">
        <f>+U83+U88</f>
        <v>24732080.102362204</v>
      </c>
      <c r="V89" s="779">
        <f t="shared" si="18"/>
        <v>0.98546417564675381</v>
      </c>
    </row>
    <row r="90" spans="1:22" ht="35.25" customHeight="1" thickBot="1" x14ac:dyDescent="0.3">
      <c r="A90" s="777"/>
      <c r="B90" s="776" t="s">
        <v>764</v>
      </c>
      <c r="C90" s="775">
        <v>1124</v>
      </c>
      <c r="D90" s="769">
        <v>1118</v>
      </c>
      <c r="E90" s="774">
        <v>1118</v>
      </c>
      <c r="F90" s="773">
        <f>E90/D90</f>
        <v>1</v>
      </c>
      <c r="G90" s="770">
        <v>214</v>
      </c>
      <c r="H90" s="769">
        <v>232</v>
      </c>
      <c r="I90" s="769">
        <v>232</v>
      </c>
      <c r="J90" s="772">
        <f>I90/H90</f>
        <v>1</v>
      </c>
      <c r="K90" s="770">
        <v>1338</v>
      </c>
      <c r="L90" s="769">
        <v>1350</v>
      </c>
      <c r="M90" s="769">
        <f t="shared" si="11"/>
        <v>1350</v>
      </c>
      <c r="N90" s="771">
        <f>M90/L90</f>
        <v>1</v>
      </c>
      <c r="O90" s="770">
        <v>250</v>
      </c>
      <c r="P90" s="769">
        <v>105</v>
      </c>
      <c r="Q90" s="769">
        <v>105</v>
      </c>
      <c r="R90" s="771">
        <f t="shared" si="13"/>
        <v>1</v>
      </c>
      <c r="S90" s="770">
        <v>1588</v>
      </c>
      <c r="T90" s="769">
        <v>1455</v>
      </c>
      <c r="U90" s="769">
        <f>Q90+M90</f>
        <v>1455</v>
      </c>
      <c r="V90" s="768">
        <f t="shared" si="18"/>
        <v>1</v>
      </c>
    </row>
    <row r="91" spans="1:22" ht="15" x14ac:dyDescent="0.25">
      <c r="N91" s="765"/>
      <c r="O91"/>
      <c r="P91"/>
      <c r="Q91" s="766"/>
      <c r="R91" s="765"/>
      <c r="S91" s="408"/>
      <c r="T91" s="408"/>
      <c r="U91" s="3">
        <f>SUM(U45-U89)</f>
        <v>-0.10236220434308052</v>
      </c>
    </row>
    <row r="92" spans="1:22" ht="15" x14ac:dyDescent="0.25">
      <c r="N92" s="765"/>
      <c r="O92"/>
      <c r="P92"/>
      <c r="Q92" s="408"/>
      <c r="R92" s="765"/>
      <c r="S92" s="408"/>
      <c r="T92" s="408"/>
    </row>
    <row r="93" spans="1:22" ht="15" x14ac:dyDescent="0.25">
      <c r="N93" s="765"/>
      <c r="O93"/>
      <c r="P93"/>
      <c r="Q93" s="408"/>
      <c r="R93" s="765"/>
      <c r="S93" s="408"/>
      <c r="T93" s="408"/>
    </row>
    <row r="94" spans="1:22" ht="15" x14ac:dyDescent="0.25">
      <c r="N94" s="765"/>
      <c r="O94"/>
      <c r="P94"/>
      <c r="Q94" s="408"/>
      <c r="R94" s="765"/>
      <c r="S94" s="408"/>
      <c r="T94" s="408"/>
    </row>
    <row r="95" spans="1:22" ht="15" x14ac:dyDescent="0.25">
      <c r="N95" s="765"/>
      <c r="O95"/>
      <c r="P95"/>
      <c r="Q95" s="408"/>
      <c r="R95" s="765"/>
      <c r="S95" s="408"/>
      <c r="T95" s="408"/>
    </row>
    <row r="96" spans="1:22" ht="15" x14ac:dyDescent="0.25">
      <c r="N96" s="765"/>
      <c r="O96"/>
      <c r="P96"/>
      <c r="Q96" s="408"/>
      <c r="R96" s="765"/>
      <c r="S96" s="408"/>
      <c r="T96" s="408"/>
    </row>
    <row r="97" spans="14:20" ht="15" x14ac:dyDescent="0.25">
      <c r="N97" s="765"/>
      <c r="O97"/>
      <c r="P97"/>
      <c r="Q97" s="408"/>
      <c r="R97" s="765"/>
      <c r="S97" s="408"/>
      <c r="T97" s="408"/>
    </row>
    <row r="98" spans="14:20" ht="15" x14ac:dyDescent="0.25">
      <c r="N98" s="765"/>
      <c r="O98"/>
      <c r="P98"/>
      <c r="Q98" s="408"/>
      <c r="R98" s="765"/>
      <c r="S98" s="408"/>
      <c r="T98" s="408"/>
    </row>
    <row r="99" spans="14:20" ht="15" x14ac:dyDescent="0.25">
      <c r="N99" s="765"/>
      <c r="O99"/>
      <c r="P99"/>
      <c r="Q99" s="408"/>
      <c r="R99" s="765"/>
      <c r="S99" s="408"/>
      <c r="T99" s="408"/>
    </row>
    <row r="100" spans="14:20" ht="15" x14ac:dyDescent="0.25">
      <c r="N100" s="765"/>
      <c r="O100"/>
      <c r="P100"/>
      <c r="Q100" s="408"/>
      <c r="R100" s="765"/>
      <c r="S100" s="408"/>
      <c r="T100" s="408"/>
    </row>
    <row r="101" spans="14:20" ht="15" x14ac:dyDescent="0.25">
      <c r="N101" s="765"/>
      <c r="O101"/>
      <c r="P101"/>
      <c r="Q101" s="408"/>
      <c r="R101" s="765"/>
      <c r="S101" s="408"/>
      <c r="T101" s="408"/>
    </row>
    <row r="102" spans="14:20" ht="15" x14ac:dyDescent="0.25">
      <c r="N102" s="765"/>
      <c r="O102"/>
      <c r="P102"/>
      <c r="Q102" s="408"/>
      <c r="R102" s="765"/>
      <c r="S102" s="408"/>
      <c r="T102" s="408"/>
    </row>
    <row r="103" spans="14:20" ht="15" x14ac:dyDescent="0.25">
      <c r="N103" s="765"/>
      <c r="O103"/>
      <c r="P103"/>
      <c r="Q103" s="408"/>
      <c r="R103" s="765"/>
      <c r="S103" s="408"/>
      <c r="T103" s="408"/>
    </row>
    <row r="104" spans="14:20" ht="15" x14ac:dyDescent="0.25">
      <c r="N104" s="765"/>
      <c r="O104"/>
      <c r="P104"/>
      <c r="Q104" s="408"/>
      <c r="R104" s="765"/>
      <c r="S104" s="408"/>
      <c r="T104" s="408"/>
    </row>
    <row r="105" spans="14:20" ht="15" x14ac:dyDescent="0.25">
      <c r="N105" s="765"/>
      <c r="O105"/>
      <c r="P105"/>
      <c r="Q105" s="408"/>
      <c r="R105" s="765"/>
      <c r="S105" s="408"/>
      <c r="T105" s="408"/>
    </row>
    <row r="106" spans="14:20" ht="15" x14ac:dyDescent="0.25">
      <c r="N106" s="765"/>
      <c r="O106"/>
      <c r="P106"/>
      <c r="Q106" s="408"/>
      <c r="R106" s="765"/>
      <c r="S106" s="408"/>
      <c r="T106" s="408"/>
    </row>
    <row r="107" spans="14:20" ht="15" x14ac:dyDescent="0.25">
      <c r="N107" s="765"/>
      <c r="O107"/>
      <c r="P107"/>
      <c r="Q107" s="408"/>
      <c r="R107" s="765"/>
      <c r="S107" s="408"/>
      <c r="T107" s="408"/>
    </row>
    <row r="108" spans="14:20" ht="15" x14ac:dyDescent="0.25">
      <c r="N108" s="765"/>
      <c r="O108"/>
      <c r="P108"/>
      <c r="Q108" s="408"/>
      <c r="R108" s="765"/>
      <c r="S108" s="408"/>
      <c r="T108" s="408"/>
    </row>
    <row r="109" spans="14:20" ht="15" x14ac:dyDescent="0.25">
      <c r="N109" s="765"/>
      <c r="O109"/>
      <c r="P109"/>
      <c r="Q109" s="408"/>
      <c r="R109" s="765"/>
      <c r="S109" s="408"/>
      <c r="T109" s="408"/>
    </row>
    <row r="110" spans="14:20" ht="15" x14ac:dyDescent="0.25">
      <c r="N110" s="765"/>
      <c r="O110"/>
      <c r="P110"/>
      <c r="Q110" s="408"/>
      <c r="R110" s="765"/>
      <c r="S110" s="408"/>
      <c r="T110" s="408"/>
    </row>
    <row r="111" spans="14:20" ht="15" x14ac:dyDescent="0.25">
      <c r="N111" s="765"/>
      <c r="O111"/>
      <c r="P111"/>
      <c r="Q111" s="408"/>
      <c r="R111" s="765"/>
      <c r="S111" s="408"/>
      <c r="T111" s="408"/>
    </row>
    <row r="112" spans="14:20" ht="15" x14ac:dyDescent="0.25">
      <c r="N112" s="765"/>
      <c r="O112"/>
      <c r="P112"/>
      <c r="Q112" s="408"/>
      <c r="R112" s="765"/>
      <c r="S112" s="408"/>
      <c r="T112" s="408"/>
    </row>
    <row r="113" spans="14:20" ht="15" x14ac:dyDescent="0.25">
      <c r="N113" s="765"/>
      <c r="O113"/>
      <c r="P113"/>
      <c r="Q113" s="408"/>
      <c r="R113" s="765"/>
      <c r="S113" s="408"/>
      <c r="T113" s="408"/>
    </row>
    <row r="114" spans="14:20" ht="15" x14ac:dyDescent="0.25">
      <c r="N114" s="765"/>
      <c r="O114"/>
      <c r="P114"/>
      <c r="Q114" s="408"/>
      <c r="R114" s="765"/>
      <c r="S114" s="408"/>
      <c r="T114" s="408"/>
    </row>
    <row r="115" spans="14:20" ht="15" x14ac:dyDescent="0.25">
      <c r="N115" s="765"/>
      <c r="O115"/>
      <c r="P115"/>
      <c r="Q115" s="408"/>
      <c r="R115" s="765"/>
      <c r="S115" s="408"/>
      <c r="T115" s="408"/>
    </row>
    <row r="116" spans="14:20" ht="15" x14ac:dyDescent="0.25">
      <c r="N116" s="765"/>
      <c r="O116"/>
      <c r="P116"/>
      <c r="Q116" s="408"/>
      <c r="R116" s="765"/>
      <c r="S116" s="408"/>
      <c r="T116" s="408"/>
    </row>
    <row r="117" spans="14:20" ht="15" x14ac:dyDescent="0.25">
      <c r="N117" s="765"/>
      <c r="O117"/>
      <c r="P117"/>
      <c r="Q117" s="408"/>
      <c r="R117" s="765"/>
      <c r="S117" s="408"/>
      <c r="T117" s="408"/>
    </row>
    <row r="118" spans="14:20" ht="15" x14ac:dyDescent="0.25">
      <c r="N118" s="765"/>
      <c r="O118"/>
      <c r="P118"/>
      <c r="Q118" s="408"/>
      <c r="R118" s="765"/>
      <c r="S118" s="408"/>
      <c r="T118" s="408"/>
    </row>
    <row r="119" spans="14:20" ht="15" x14ac:dyDescent="0.25">
      <c r="N119" s="765"/>
      <c r="O119"/>
      <c r="P119"/>
      <c r="Q119" s="408"/>
      <c r="R119" s="765"/>
      <c r="S119" s="408"/>
      <c r="T119" s="408"/>
    </row>
    <row r="120" spans="14:20" ht="15" x14ac:dyDescent="0.25">
      <c r="N120" s="765"/>
      <c r="O120"/>
      <c r="P120"/>
      <c r="Q120" s="408"/>
      <c r="R120" s="765"/>
      <c r="S120" s="408"/>
      <c r="T120" s="408"/>
    </row>
    <row r="121" spans="14:20" ht="15" x14ac:dyDescent="0.25">
      <c r="N121" s="765"/>
      <c r="O121"/>
      <c r="P121"/>
      <c r="Q121" s="408"/>
      <c r="R121" s="765"/>
      <c r="S121" s="408"/>
      <c r="T121" s="408"/>
    </row>
    <row r="122" spans="14:20" ht="15" x14ac:dyDescent="0.25">
      <c r="N122" s="765"/>
      <c r="O122"/>
      <c r="P122"/>
      <c r="Q122" s="408"/>
      <c r="R122" s="765"/>
      <c r="S122" s="408"/>
      <c r="T122" s="408"/>
    </row>
    <row r="123" spans="14:20" ht="15" x14ac:dyDescent="0.25">
      <c r="N123" s="765"/>
      <c r="O123"/>
      <c r="P123"/>
      <c r="Q123" s="408"/>
      <c r="R123" s="765"/>
      <c r="S123" s="408"/>
      <c r="T123" s="408"/>
    </row>
    <row r="124" spans="14:20" ht="15" x14ac:dyDescent="0.25">
      <c r="N124" s="765"/>
      <c r="O124"/>
      <c r="P124"/>
      <c r="Q124" s="408"/>
      <c r="R124" s="765"/>
      <c r="S124" s="408"/>
      <c r="T124" s="408"/>
    </row>
    <row r="125" spans="14:20" ht="15" x14ac:dyDescent="0.25">
      <c r="N125" s="765"/>
      <c r="O125"/>
      <c r="P125"/>
      <c r="Q125" s="408"/>
      <c r="R125" s="765"/>
      <c r="S125" s="408"/>
      <c r="T125" s="408"/>
    </row>
    <row r="126" spans="14:20" ht="15" x14ac:dyDescent="0.25">
      <c r="N126" s="765"/>
      <c r="O126"/>
      <c r="P126"/>
      <c r="Q126" s="408"/>
      <c r="R126" s="765"/>
      <c r="S126" s="408"/>
      <c r="T126" s="408"/>
    </row>
    <row r="127" spans="14:20" ht="15" x14ac:dyDescent="0.25">
      <c r="N127" s="765"/>
      <c r="O127"/>
      <c r="P127"/>
      <c r="Q127" s="408"/>
      <c r="R127" s="765"/>
      <c r="S127" s="408"/>
      <c r="T127" s="408"/>
    </row>
    <row r="128" spans="14:20" ht="15" x14ac:dyDescent="0.25">
      <c r="N128" s="765"/>
      <c r="O128"/>
      <c r="P128"/>
      <c r="Q128" s="408"/>
      <c r="R128" s="765"/>
      <c r="S128" s="408"/>
      <c r="T128" s="408"/>
    </row>
    <row r="129" spans="14:20" ht="15" x14ac:dyDescent="0.25">
      <c r="N129" s="765"/>
      <c r="O129"/>
      <c r="P129"/>
      <c r="Q129" s="408"/>
      <c r="R129" s="765"/>
      <c r="S129" s="408"/>
      <c r="T129" s="408"/>
    </row>
    <row r="130" spans="14:20" ht="15" x14ac:dyDescent="0.25">
      <c r="N130" s="765"/>
      <c r="O130"/>
      <c r="P130"/>
      <c r="Q130" s="408"/>
      <c r="R130" s="765"/>
      <c r="S130" s="408"/>
      <c r="T130" s="408"/>
    </row>
    <row r="131" spans="14:20" ht="15" x14ac:dyDescent="0.25">
      <c r="N131" s="765"/>
      <c r="O131"/>
      <c r="P131"/>
      <c r="Q131" s="408"/>
      <c r="R131" s="765"/>
      <c r="S131" s="408"/>
      <c r="T131" s="408"/>
    </row>
    <row r="132" spans="14:20" ht="15" x14ac:dyDescent="0.25">
      <c r="N132" s="765"/>
      <c r="O132"/>
      <c r="P132"/>
      <c r="Q132" s="408"/>
      <c r="R132" s="765"/>
      <c r="S132" s="408"/>
      <c r="T132" s="408"/>
    </row>
    <row r="133" spans="14:20" ht="15" x14ac:dyDescent="0.25">
      <c r="N133" s="765"/>
      <c r="O133"/>
      <c r="P133"/>
      <c r="Q133" s="408"/>
      <c r="R133" s="765"/>
      <c r="S133" s="408"/>
      <c r="T133" s="408"/>
    </row>
    <row r="134" spans="14:20" ht="15" x14ac:dyDescent="0.25">
      <c r="N134" s="765"/>
      <c r="O134"/>
      <c r="P134"/>
      <c r="Q134" s="408"/>
      <c r="R134" s="765"/>
      <c r="S134" s="408"/>
      <c r="T134" s="408"/>
    </row>
    <row r="135" spans="14:20" ht="15" x14ac:dyDescent="0.25">
      <c r="N135" s="765"/>
      <c r="O135"/>
      <c r="P135"/>
      <c r="Q135" s="408"/>
      <c r="R135" s="765"/>
      <c r="S135" s="408"/>
      <c r="T135" s="408"/>
    </row>
    <row r="136" spans="14:20" ht="15" x14ac:dyDescent="0.25">
      <c r="N136" s="765"/>
      <c r="O136"/>
      <c r="P136"/>
      <c r="Q136" s="408"/>
      <c r="R136" s="765"/>
      <c r="S136" s="408"/>
      <c r="T136" s="408"/>
    </row>
    <row r="137" spans="14:20" ht="15" x14ac:dyDescent="0.25">
      <c r="N137" s="765"/>
      <c r="O137"/>
      <c r="P137"/>
      <c r="Q137" s="408"/>
      <c r="R137" s="765"/>
      <c r="S137" s="408"/>
      <c r="T137" s="408"/>
    </row>
    <row r="138" spans="14:20" ht="15" x14ac:dyDescent="0.25">
      <c r="N138" s="765"/>
      <c r="O138"/>
      <c r="P138"/>
      <c r="Q138" s="408"/>
      <c r="R138" s="765"/>
      <c r="S138" s="408"/>
      <c r="T138" s="408"/>
    </row>
    <row r="139" spans="14:20" ht="15" x14ac:dyDescent="0.25">
      <c r="N139" s="765"/>
      <c r="O139"/>
      <c r="P139"/>
      <c r="Q139" s="408"/>
      <c r="R139" s="765"/>
      <c r="S139" s="408"/>
      <c r="T139" s="408"/>
    </row>
    <row r="140" spans="14:20" ht="15" x14ac:dyDescent="0.25">
      <c r="N140" s="765"/>
      <c r="O140"/>
      <c r="P140"/>
      <c r="Q140" s="408"/>
      <c r="R140" s="765"/>
      <c r="S140" s="408"/>
      <c r="T140" s="408"/>
    </row>
    <row r="141" spans="14:20" ht="15" x14ac:dyDescent="0.25">
      <c r="N141" s="765"/>
      <c r="O141"/>
      <c r="P141"/>
      <c r="Q141" s="408"/>
      <c r="R141" s="765"/>
      <c r="S141" s="408"/>
      <c r="T141" s="408"/>
    </row>
    <row r="142" spans="14:20" ht="15" x14ac:dyDescent="0.25">
      <c r="N142" s="765"/>
      <c r="O142"/>
      <c r="P142"/>
      <c r="Q142" s="408"/>
      <c r="R142" s="765"/>
      <c r="S142" s="408"/>
      <c r="T142" s="408"/>
    </row>
    <row r="143" spans="14:20" ht="15" x14ac:dyDescent="0.25">
      <c r="N143" s="765"/>
      <c r="O143"/>
      <c r="P143"/>
      <c r="Q143" s="408"/>
      <c r="R143" s="765"/>
      <c r="S143" s="408"/>
      <c r="T143" s="408"/>
    </row>
    <row r="144" spans="14:20" ht="15" x14ac:dyDescent="0.25">
      <c r="N144" s="765"/>
      <c r="O144"/>
      <c r="P144"/>
      <c r="Q144" s="408"/>
      <c r="R144" s="765"/>
      <c r="S144" s="408"/>
      <c r="T144" s="408"/>
    </row>
    <row r="145" spans="14:20" ht="15" x14ac:dyDescent="0.25">
      <c r="N145" s="765"/>
      <c r="O145"/>
      <c r="P145"/>
      <c r="Q145" s="408"/>
      <c r="R145" s="765"/>
      <c r="S145" s="408"/>
      <c r="T145" s="408"/>
    </row>
    <row r="146" spans="14:20" ht="15" x14ac:dyDescent="0.25">
      <c r="N146" s="765"/>
      <c r="O146"/>
      <c r="P146"/>
      <c r="Q146" s="408"/>
      <c r="R146" s="765"/>
      <c r="S146" s="408"/>
      <c r="T146" s="408"/>
    </row>
    <row r="147" spans="14:20" ht="15" x14ac:dyDescent="0.25">
      <c r="N147" s="765"/>
      <c r="O147"/>
      <c r="P147"/>
      <c r="Q147" s="408"/>
      <c r="R147" s="765"/>
      <c r="S147" s="408"/>
      <c r="T147" s="408"/>
    </row>
    <row r="148" spans="14:20" ht="15" x14ac:dyDescent="0.25">
      <c r="N148" s="765"/>
      <c r="O148"/>
      <c r="P148"/>
      <c r="Q148" s="408"/>
      <c r="R148" s="765"/>
      <c r="S148" s="408"/>
      <c r="T148" s="408"/>
    </row>
    <row r="149" spans="14:20" ht="15" x14ac:dyDescent="0.25">
      <c r="N149" s="765"/>
      <c r="O149"/>
      <c r="P149"/>
      <c r="Q149" s="408"/>
      <c r="R149" s="765"/>
      <c r="S149" s="408"/>
      <c r="T149" s="408"/>
    </row>
    <row r="150" spans="14:20" ht="15" x14ac:dyDescent="0.25">
      <c r="N150" s="765"/>
      <c r="O150"/>
      <c r="P150"/>
      <c r="Q150" s="408"/>
      <c r="R150" s="765"/>
      <c r="S150" s="408"/>
      <c r="T150" s="408"/>
    </row>
    <row r="151" spans="14:20" ht="15" x14ac:dyDescent="0.25">
      <c r="N151" s="765"/>
      <c r="O151"/>
      <c r="P151"/>
      <c r="Q151" s="408"/>
      <c r="R151" s="765"/>
      <c r="S151" s="408"/>
      <c r="T151" s="408"/>
    </row>
    <row r="152" spans="14:20" ht="15" x14ac:dyDescent="0.25">
      <c r="N152" s="765"/>
      <c r="O152"/>
      <c r="P152"/>
      <c r="Q152" s="408"/>
      <c r="R152" s="765"/>
      <c r="S152" s="408"/>
      <c r="T152" s="408"/>
    </row>
    <row r="153" spans="14:20" ht="15" x14ac:dyDescent="0.25">
      <c r="N153" s="765"/>
      <c r="O153"/>
      <c r="P153"/>
      <c r="Q153" s="408"/>
      <c r="R153" s="765"/>
      <c r="S153" s="408"/>
      <c r="T153" s="408"/>
    </row>
    <row r="154" spans="14:20" ht="15" x14ac:dyDescent="0.25">
      <c r="N154" s="765"/>
      <c r="O154"/>
      <c r="P154"/>
      <c r="Q154" s="408"/>
      <c r="R154" s="765"/>
      <c r="S154" s="408"/>
      <c r="T154" s="408"/>
    </row>
    <row r="155" spans="14:20" ht="15" x14ac:dyDescent="0.25">
      <c r="N155" s="765"/>
      <c r="O155"/>
      <c r="P155"/>
      <c r="Q155" s="408"/>
      <c r="R155" s="765"/>
      <c r="S155" s="408"/>
      <c r="T155" s="408"/>
    </row>
    <row r="156" spans="14:20" ht="15" x14ac:dyDescent="0.25">
      <c r="N156" s="765"/>
      <c r="O156"/>
      <c r="P156"/>
      <c r="Q156" s="408"/>
      <c r="R156" s="765"/>
      <c r="S156" s="408"/>
      <c r="T156" s="408"/>
    </row>
    <row r="157" spans="14:20" ht="15" x14ac:dyDescent="0.25">
      <c r="N157" s="765"/>
      <c r="O157"/>
      <c r="P157"/>
      <c r="Q157" s="408"/>
      <c r="R157" s="765"/>
      <c r="S157" s="408"/>
      <c r="T157" s="408"/>
    </row>
    <row r="158" spans="14:20" ht="15" x14ac:dyDescent="0.25">
      <c r="N158" s="765"/>
      <c r="O158"/>
      <c r="P158"/>
      <c r="Q158" s="408"/>
      <c r="R158" s="765"/>
      <c r="S158" s="408"/>
      <c r="T158" s="408"/>
    </row>
    <row r="159" spans="14:20" ht="15" x14ac:dyDescent="0.25">
      <c r="N159" s="765"/>
      <c r="O159"/>
      <c r="P159"/>
      <c r="Q159" s="408"/>
      <c r="R159" s="765"/>
      <c r="S159" s="408"/>
      <c r="T159" s="408"/>
    </row>
    <row r="160" spans="14:20" ht="15" x14ac:dyDescent="0.25">
      <c r="N160" s="765"/>
      <c r="O160"/>
      <c r="P160"/>
      <c r="Q160" s="408"/>
      <c r="R160" s="765"/>
      <c r="S160" s="408"/>
      <c r="T160" s="408"/>
    </row>
    <row r="161" spans="14:20" ht="15" x14ac:dyDescent="0.25">
      <c r="N161" s="765"/>
      <c r="O161"/>
      <c r="P161"/>
      <c r="Q161" s="408"/>
      <c r="R161" s="765"/>
      <c r="S161" s="408"/>
      <c r="T161" s="408"/>
    </row>
    <row r="162" spans="14:20" ht="15" x14ac:dyDescent="0.25">
      <c r="N162" s="765"/>
      <c r="O162"/>
      <c r="P162"/>
      <c r="Q162" s="408"/>
      <c r="R162" s="765"/>
      <c r="S162" s="408"/>
      <c r="T162" s="408"/>
    </row>
    <row r="163" spans="14:20" ht="15" x14ac:dyDescent="0.25">
      <c r="N163" s="765"/>
      <c r="O163"/>
      <c r="P163"/>
      <c r="Q163" s="408"/>
      <c r="R163" s="765"/>
      <c r="S163" s="408"/>
      <c r="T163" s="408"/>
    </row>
    <row r="164" spans="14:20" ht="15" x14ac:dyDescent="0.25">
      <c r="N164" s="765"/>
      <c r="O164"/>
      <c r="P164"/>
      <c r="Q164" s="408"/>
      <c r="R164" s="765"/>
      <c r="S164" s="408"/>
      <c r="T164" s="408"/>
    </row>
    <row r="165" spans="14:20" ht="15" x14ac:dyDescent="0.25">
      <c r="N165" s="765"/>
      <c r="O165"/>
      <c r="P165"/>
      <c r="Q165" s="408"/>
      <c r="R165" s="765"/>
      <c r="S165" s="408"/>
      <c r="T165" s="408"/>
    </row>
    <row r="166" spans="14:20" ht="15" x14ac:dyDescent="0.25">
      <c r="N166" s="765"/>
      <c r="O166"/>
      <c r="P166"/>
      <c r="Q166" s="408"/>
      <c r="R166" s="765"/>
      <c r="S166" s="408"/>
      <c r="T166" s="408"/>
    </row>
    <row r="167" spans="14:20" ht="15" x14ac:dyDescent="0.25">
      <c r="N167" s="765"/>
      <c r="O167"/>
      <c r="P167"/>
      <c r="Q167" s="408"/>
      <c r="R167" s="765"/>
      <c r="S167" s="408"/>
      <c r="T167" s="408"/>
    </row>
    <row r="168" spans="14:20" ht="15" x14ac:dyDescent="0.25">
      <c r="N168" s="765"/>
      <c r="O168"/>
      <c r="P168"/>
      <c r="Q168" s="408"/>
      <c r="R168" s="765"/>
      <c r="S168" s="408"/>
      <c r="T168" s="408"/>
    </row>
    <row r="169" spans="14:20" ht="15" x14ac:dyDescent="0.25">
      <c r="N169" s="765"/>
      <c r="O169"/>
      <c r="P169"/>
      <c r="Q169" s="408"/>
      <c r="R169" s="765"/>
      <c r="S169" s="408"/>
      <c r="T169" s="408"/>
    </row>
    <row r="170" spans="14:20" ht="15" x14ac:dyDescent="0.25">
      <c r="N170" s="765"/>
      <c r="O170"/>
      <c r="P170"/>
      <c r="Q170" s="408"/>
      <c r="R170" s="765"/>
      <c r="S170" s="408"/>
      <c r="T170" s="408"/>
    </row>
    <row r="171" spans="14:20" ht="15" x14ac:dyDescent="0.25">
      <c r="N171" s="765"/>
      <c r="O171"/>
      <c r="P171"/>
      <c r="Q171" s="408"/>
      <c r="R171" s="765"/>
      <c r="S171" s="408"/>
      <c r="T171" s="408"/>
    </row>
    <row r="172" spans="14:20" ht="15" x14ac:dyDescent="0.25">
      <c r="N172" s="765"/>
      <c r="O172"/>
      <c r="P172"/>
      <c r="Q172" s="408"/>
      <c r="R172" s="765"/>
      <c r="S172" s="408"/>
      <c r="T172" s="408"/>
    </row>
    <row r="173" spans="14:20" ht="15" x14ac:dyDescent="0.25">
      <c r="N173" s="765"/>
      <c r="O173"/>
      <c r="P173"/>
      <c r="Q173" s="408"/>
      <c r="R173" s="765"/>
      <c r="S173" s="408"/>
      <c r="T173" s="408"/>
    </row>
    <row r="174" spans="14:20" ht="15" x14ac:dyDescent="0.25">
      <c r="N174" s="765"/>
      <c r="O174"/>
      <c r="P174"/>
      <c r="Q174" s="408"/>
      <c r="R174" s="765"/>
      <c r="S174" s="408"/>
      <c r="T174" s="408"/>
    </row>
    <row r="175" spans="14:20" ht="15" x14ac:dyDescent="0.25">
      <c r="N175" s="765"/>
      <c r="O175"/>
      <c r="P175"/>
      <c r="Q175" s="408"/>
      <c r="R175" s="765"/>
      <c r="S175" s="408"/>
      <c r="T175" s="408"/>
    </row>
    <row r="176" spans="14:20" ht="15" x14ac:dyDescent="0.25">
      <c r="N176" s="765"/>
      <c r="O176"/>
      <c r="P176"/>
      <c r="Q176" s="408"/>
      <c r="R176" s="765"/>
      <c r="S176" s="408"/>
      <c r="T176" s="408"/>
    </row>
    <row r="177" spans="14:20" ht="15" x14ac:dyDescent="0.25">
      <c r="N177" s="765"/>
      <c r="O177"/>
      <c r="P177"/>
      <c r="Q177" s="408"/>
      <c r="R177" s="765"/>
      <c r="S177" s="408"/>
      <c r="T177" s="408"/>
    </row>
    <row r="178" spans="14:20" ht="15" x14ac:dyDescent="0.25">
      <c r="N178" s="765"/>
      <c r="O178"/>
      <c r="P178"/>
      <c r="Q178" s="408"/>
      <c r="R178" s="765"/>
      <c r="S178" s="408"/>
      <c r="T178" s="408"/>
    </row>
    <row r="179" spans="14:20" ht="15" x14ac:dyDescent="0.25">
      <c r="N179" s="765"/>
      <c r="O179"/>
      <c r="P179"/>
      <c r="Q179" s="408"/>
      <c r="R179" s="765"/>
      <c r="S179" s="408"/>
      <c r="T179" s="408"/>
    </row>
    <row r="180" spans="14:20" ht="15" x14ac:dyDescent="0.25">
      <c r="N180" s="765"/>
      <c r="O180"/>
      <c r="P180"/>
      <c r="Q180" s="408"/>
      <c r="R180" s="765"/>
      <c r="S180" s="408"/>
      <c r="T180" s="408"/>
    </row>
    <row r="181" spans="14:20" ht="15" x14ac:dyDescent="0.25">
      <c r="N181" s="765"/>
      <c r="O181"/>
      <c r="P181"/>
      <c r="Q181" s="408"/>
      <c r="R181" s="765"/>
      <c r="S181" s="408"/>
      <c r="T181" s="408"/>
    </row>
    <row r="182" spans="14:20" ht="15" x14ac:dyDescent="0.25">
      <c r="N182" s="765"/>
      <c r="O182"/>
      <c r="P182"/>
      <c r="Q182" s="408"/>
      <c r="R182" s="765"/>
      <c r="S182" s="408"/>
      <c r="T182" s="408"/>
    </row>
    <row r="183" spans="14:20" ht="15" x14ac:dyDescent="0.25">
      <c r="N183" s="765"/>
      <c r="O183"/>
      <c r="P183"/>
      <c r="Q183" s="408"/>
      <c r="R183" s="765"/>
      <c r="S183" s="408"/>
      <c r="T183" s="408"/>
    </row>
    <row r="184" spans="14:20" ht="15" x14ac:dyDescent="0.25">
      <c r="N184" s="765"/>
      <c r="O184"/>
      <c r="P184"/>
      <c r="Q184" s="408"/>
      <c r="R184" s="765"/>
      <c r="S184" s="408"/>
      <c r="T184" s="408"/>
    </row>
    <row r="185" spans="14:20" ht="15" x14ac:dyDescent="0.25">
      <c r="N185" s="765"/>
      <c r="O185"/>
      <c r="P185"/>
      <c r="Q185" s="408"/>
      <c r="R185" s="765"/>
      <c r="S185" s="408"/>
      <c r="T185" s="408"/>
    </row>
    <row r="186" spans="14:20" ht="15" x14ac:dyDescent="0.25">
      <c r="N186" s="765"/>
      <c r="O186"/>
      <c r="P186"/>
      <c r="Q186" s="408"/>
      <c r="R186" s="765"/>
      <c r="S186" s="408"/>
      <c r="T186" s="408"/>
    </row>
    <row r="187" spans="14:20" ht="15" x14ac:dyDescent="0.25">
      <c r="N187" s="765"/>
      <c r="O187"/>
      <c r="P187"/>
      <c r="Q187" s="408"/>
      <c r="R187" s="765"/>
      <c r="S187" s="408"/>
      <c r="T187" s="408"/>
    </row>
    <row r="188" spans="14:20" ht="15" x14ac:dyDescent="0.25">
      <c r="N188" s="765"/>
      <c r="O188"/>
      <c r="P188"/>
      <c r="Q188" s="408"/>
      <c r="R188" s="765"/>
      <c r="S188" s="408"/>
      <c r="T188" s="408"/>
    </row>
    <row r="189" spans="14:20" ht="15" x14ac:dyDescent="0.25">
      <c r="N189" s="765"/>
      <c r="O189"/>
      <c r="P189"/>
      <c r="Q189" s="408"/>
      <c r="R189" s="765"/>
      <c r="S189" s="408"/>
      <c r="T189" s="408"/>
    </row>
    <row r="190" spans="14:20" ht="15" x14ac:dyDescent="0.25">
      <c r="N190" s="765"/>
      <c r="O190"/>
      <c r="P190"/>
      <c r="Q190" s="408"/>
      <c r="R190" s="765"/>
      <c r="S190" s="408"/>
      <c r="T190" s="408"/>
    </row>
    <row r="191" spans="14:20" ht="15" x14ac:dyDescent="0.25">
      <c r="N191" s="765"/>
      <c r="O191"/>
      <c r="P191"/>
      <c r="Q191" s="408"/>
      <c r="R191" s="765"/>
      <c r="S191" s="408"/>
      <c r="T191" s="408"/>
    </row>
    <row r="192" spans="14:20" ht="15" x14ac:dyDescent="0.25">
      <c r="N192" s="765"/>
      <c r="O192"/>
      <c r="P192"/>
      <c r="Q192" s="408"/>
      <c r="R192" s="765"/>
      <c r="S192" s="408"/>
      <c r="T192" s="408"/>
    </row>
    <row r="193" spans="14:20" ht="15" x14ac:dyDescent="0.25">
      <c r="N193" s="765"/>
      <c r="O193"/>
      <c r="P193"/>
      <c r="Q193" s="408"/>
      <c r="R193" s="765"/>
      <c r="S193" s="408"/>
      <c r="T193" s="408"/>
    </row>
    <row r="194" spans="14:20" ht="15" x14ac:dyDescent="0.25">
      <c r="N194" s="765"/>
      <c r="O194"/>
      <c r="P194"/>
      <c r="Q194" s="408"/>
      <c r="R194" s="765"/>
      <c r="S194" s="408"/>
      <c r="T194" s="408"/>
    </row>
    <row r="195" spans="14:20" ht="15" x14ac:dyDescent="0.25">
      <c r="N195" s="765"/>
      <c r="O195"/>
      <c r="P195"/>
      <c r="Q195" s="408"/>
      <c r="R195" s="765"/>
      <c r="S195" s="408"/>
      <c r="T195" s="408"/>
    </row>
    <row r="196" spans="14:20" ht="15" x14ac:dyDescent="0.25">
      <c r="N196" s="765"/>
      <c r="O196"/>
      <c r="P196"/>
      <c r="Q196" s="408"/>
      <c r="R196" s="765"/>
      <c r="S196" s="408"/>
      <c r="T196" s="408"/>
    </row>
    <row r="197" spans="14:20" ht="15" x14ac:dyDescent="0.25">
      <c r="N197" s="765"/>
      <c r="O197"/>
      <c r="P197"/>
      <c r="Q197" s="408"/>
      <c r="R197" s="765"/>
      <c r="S197" s="408"/>
      <c r="T197" s="408"/>
    </row>
    <row r="198" spans="14:20" ht="15" x14ac:dyDescent="0.25">
      <c r="N198" s="765"/>
      <c r="O198"/>
      <c r="P198"/>
      <c r="Q198" s="408"/>
      <c r="R198" s="765"/>
      <c r="S198" s="408"/>
      <c r="T198" s="408"/>
    </row>
    <row r="199" spans="14:20" ht="15" x14ac:dyDescent="0.25">
      <c r="N199" s="765"/>
      <c r="O199"/>
      <c r="P199"/>
      <c r="Q199" s="408"/>
      <c r="R199" s="765"/>
      <c r="S199" s="408"/>
      <c r="T199" s="408"/>
    </row>
    <row r="200" spans="14:20" ht="15" x14ac:dyDescent="0.25">
      <c r="N200" s="765"/>
      <c r="O200"/>
      <c r="P200"/>
      <c r="Q200" s="408"/>
      <c r="R200" s="765"/>
      <c r="S200" s="408"/>
      <c r="T200" s="408"/>
    </row>
    <row r="201" spans="14:20" ht="15" x14ac:dyDescent="0.25">
      <c r="N201" s="765"/>
      <c r="O201"/>
      <c r="P201"/>
      <c r="Q201" s="408"/>
      <c r="R201" s="765"/>
      <c r="S201" s="408"/>
      <c r="T201" s="408"/>
    </row>
    <row r="202" spans="14:20" ht="15" x14ac:dyDescent="0.25">
      <c r="N202" s="765"/>
      <c r="O202"/>
      <c r="P202"/>
      <c r="Q202" s="408"/>
      <c r="R202" s="765"/>
      <c r="S202" s="408"/>
      <c r="T202" s="408"/>
    </row>
    <row r="203" spans="14:20" ht="15" x14ac:dyDescent="0.25">
      <c r="N203" s="765"/>
      <c r="O203"/>
      <c r="P203"/>
      <c r="Q203" s="408"/>
      <c r="R203" s="765"/>
      <c r="S203" s="408"/>
      <c r="T203" s="408"/>
    </row>
    <row r="204" spans="14:20" ht="15" x14ac:dyDescent="0.25">
      <c r="N204" s="765"/>
      <c r="O204"/>
      <c r="P204"/>
      <c r="Q204" s="408"/>
      <c r="R204" s="765"/>
      <c r="S204" s="408"/>
      <c r="T204" s="408"/>
    </row>
    <row r="205" spans="14:20" ht="15" x14ac:dyDescent="0.25">
      <c r="N205" s="765"/>
      <c r="O205"/>
      <c r="P205"/>
      <c r="Q205" s="408"/>
      <c r="R205" s="765"/>
      <c r="S205" s="408"/>
      <c r="T205" s="408"/>
    </row>
    <row r="206" spans="14:20" ht="15" x14ac:dyDescent="0.25">
      <c r="N206" s="765"/>
      <c r="O206"/>
      <c r="P206"/>
      <c r="Q206" s="408"/>
      <c r="R206" s="765"/>
      <c r="S206" s="408"/>
      <c r="T206" s="408"/>
    </row>
    <row r="207" spans="14:20" ht="15" x14ac:dyDescent="0.25">
      <c r="N207" s="765"/>
      <c r="O207"/>
      <c r="P207"/>
      <c r="Q207" s="408"/>
      <c r="R207" s="765"/>
      <c r="S207" s="408"/>
      <c r="T207" s="408"/>
    </row>
    <row r="208" spans="14:20" ht="15" x14ac:dyDescent="0.25">
      <c r="N208" s="765"/>
      <c r="O208"/>
      <c r="P208"/>
      <c r="Q208" s="408"/>
      <c r="R208" s="765"/>
      <c r="S208" s="408"/>
      <c r="T208" s="408"/>
    </row>
    <row r="209" spans="14:20" ht="15" x14ac:dyDescent="0.25">
      <c r="N209" s="765"/>
      <c r="O209"/>
      <c r="P209"/>
      <c r="Q209" s="408"/>
      <c r="R209" s="765"/>
      <c r="S209" s="408"/>
      <c r="T209" s="408"/>
    </row>
    <row r="210" spans="14:20" ht="15" x14ac:dyDescent="0.25">
      <c r="N210" s="765"/>
      <c r="O210"/>
      <c r="P210"/>
      <c r="Q210" s="408"/>
      <c r="R210" s="765"/>
      <c r="S210" s="408"/>
      <c r="T210" s="408"/>
    </row>
    <row r="211" spans="14:20" ht="15" x14ac:dyDescent="0.25">
      <c r="N211" s="765"/>
      <c r="O211"/>
      <c r="P211"/>
      <c r="Q211" s="408"/>
      <c r="R211" s="765"/>
      <c r="S211" s="408"/>
      <c r="T211" s="408"/>
    </row>
    <row r="212" spans="14:20" ht="15" x14ac:dyDescent="0.25">
      <c r="N212" s="765"/>
      <c r="O212"/>
      <c r="P212"/>
      <c r="Q212" s="408"/>
      <c r="R212" s="765"/>
      <c r="S212" s="408"/>
      <c r="T212" s="408"/>
    </row>
    <row r="213" spans="14:20" ht="15" x14ac:dyDescent="0.25">
      <c r="N213" s="765"/>
      <c r="O213"/>
      <c r="P213"/>
      <c r="Q213" s="408"/>
      <c r="R213" s="765"/>
      <c r="S213" s="408"/>
      <c r="T213" s="408"/>
    </row>
    <row r="214" spans="14:20" ht="15" x14ac:dyDescent="0.25">
      <c r="N214" s="765"/>
      <c r="O214"/>
      <c r="P214"/>
      <c r="Q214" s="408"/>
      <c r="R214" s="765"/>
      <c r="S214" s="408"/>
      <c r="T214" s="408"/>
    </row>
    <row r="215" spans="14:20" ht="15" x14ac:dyDescent="0.25">
      <c r="N215" s="765"/>
      <c r="O215"/>
      <c r="P215"/>
      <c r="Q215" s="408"/>
      <c r="R215" s="765"/>
      <c r="S215" s="408"/>
      <c r="T215" s="408"/>
    </row>
    <row r="216" spans="14:20" ht="15" x14ac:dyDescent="0.25">
      <c r="N216" s="765"/>
      <c r="O216"/>
      <c r="P216"/>
      <c r="Q216" s="408"/>
      <c r="R216" s="765"/>
      <c r="S216" s="408"/>
      <c r="T216" s="408"/>
    </row>
    <row r="217" spans="14:20" ht="15" x14ac:dyDescent="0.25">
      <c r="N217" s="765"/>
      <c r="O217"/>
      <c r="P217"/>
      <c r="Q217" s="408"/>
      <c r="R217" s="765"/>
      <c r="S217" s="408"/>
      <c r="T217" s="408"/>
    </row>
    <row r="218" spans="14:20" ht="15" x14ac:dyDescent="0.25">
      <c r="N218" s="765"/>
      <c r="O218"/>
      <c r="P218"/>
      <c r="Q218" s="408"/>
      <c r="R218" s="765"/>
      <c r="S218" s="408"/>
      <c r="T218" s="408"/>
    </row>
    <row r="219" spans="14:20" ht="15" x14ac:dyDescent="0.25">
      <c r="N219" s="765"/>
      <c r="O219"/>
      <c r="P219"/>
      <c r="Q219" s="408"/>
      <c r="R219" s="765"/>
      <c r="S219" s="408"/>
      <c r="T219" s="408"/>
    </row>
    <row r="220" spans="14:20" ht="15" x14ac:dyDescent="0.25">
      <c r="N220" s="765"/>
      <c r="O220"/>
      <c r="P220"/>
      <c r="Q220" s="408"/>
      <c r="R220" s="765"/>
      <c r="S220" s="408"/>
      <c r="T220" s="408"/>
    </row>
    <row r="221" spans="14:20" ht="15" x14ac:dyDescent="0.25">
      <c r="N221" s="765"/>
      <c r="O221"/>
      <c r="P221"/>
      <c r="Q221" s="408"/>
      <c r="R221" s="765"/>
      <c r="S221" s="408"/>
      <c r="T221" s="408"/>
    </row>
    <row r="222" spans="14:20" ht="15" x14ac:dyDescent="0.25">
      <c r="N222" s="765"/>
      <c r="O222"/>
      <c r="P222"/>
      <c r="Q222" s="408"/>
      <c r="R222" s="765"/>
      <c r="S222" s="408"/>
      <c r="T222" s="408"/>
    </row>
    <row r="223" spans="14:20" ht="15" x14ac:dyDescent="0.25">
      <c r="N223" s="765"/>
      <c r="O223"/>
      <c r="P223"/>
      <c r="Q223" s="408"/>
      <c r="R223" s="765"/>
      <c r="S223" s="408"/>
      <c r="T223" s="408"/>
    </row>
    <row r="224" spans="14:20" ht="15" x14ac:dyDescent="0.25">
      <c r="N224" s="765"/>
      <c r="O224"/>
      <c r="P224"/>
      <c r="Q224" s="408"/>
      <c r="R224" s="765"/>
      <c r="S224" s="408"/>
      <c r="T224" s="408"/>
    </row>
    <row r="225" spans="14:20" ht="15" x14ac:dyDescent="0.25">
      <c r="N225" s="765"/>
      <c r="O225"/>
      <c r="P225"/>
      <c r="Q225" s="408"/>
      <c r="R225" s="765"/>
      <c r="S225" s="408"/>
      <c r="T225" s="408"/>
    </row>
    <row r="226" spans="14:20" ht="15" x14ac:dyDescent="0.25">
      <c r="N226" s="765"/>
      <c r="O226"/>
      <c r="P226"/>
      <c r="Q226" s="408"/>
      <c r="R226" s="765"/>
      <c r="S226" s="408"/>
      <c r="T226" s="408"/>
    </row>
    <row r="227" spans="14:20" ht="15" x14ac:dyDescent="0.25">
      <c r="N227" s="765"/>
      <c r="O227"/>
      <c r="P227"/>
      <c r="Q227" s="408"/>
      <c r="R227" s="765"/>
      <c r="S227" s="408"/>
      <c r="T227" s="408"/>
    </row>
    <row r="228" spans="14:20" ht="15" x14ac:dyDescent="0.25">
      <c r="N228" s="765"/>
      <c r="O228"/>
      <c r="P228"/>
      <c r="Q228" s="408"/>
      <c r="R228" s="765"/>
      <c r="S228" s="408"/>
      <c r="T228" s="408"/>
    </row>
    <row r="229" spans="14:20" ht="15" x14ac:dyDescent="0.25">
      <c r="N229" s="765"/>
      <c r="O229"/>
      <c r="P229"/>
      <c r="Q229" s="408"/>
      <c r="R229" s="765"/>
      <c r="S229" s="408"/>
      <c r="T229" s="408"/>
    </row>
    <row r="230" spans="14:20" ht="15" x14ac:dyDescent="0.25">
      <c r="N230" s="765"/>
      <c r="O230"/>
      <c r="P230"/>
      <c r="Q230" s="408"/>
      <c r="R230" s="765"/>
      <c r="S230" s="408"/>
      <c r="T230" s="408"/>
    </row>
    <row r="231" spans="14:20" ht="15" x14ac:dyDescent="0.25">
      <c r="N231" s="765"/>
      <c r="O231"/>
      <c r="P231"/>
      <c r="Q231" s="408"/>
      <c r="R231" s="765"/>
      <c r="S231" s="408"/>
      <c r="T231" s="408"/>
    </row>
    <row r="232" spans="14:20" ht="15" x14ac:dyDescent="0.25">
      <c r="N232" s="765"/>
      <c r="O232"/>
      <c r="P232"/>
      <c r="Q232" s="408"/>
      <c r="R232" s="765"/>
      <c r="S232" s="408"/>
      <c r="T232" s="408"/>
    </row>
    <row r="233" spans="14:20" ht="15" x14ac:dyDescent="0.25">
      <c r="N233" s="765"/>
      <c r="O233"/>
      <c r="P233"/>
      <c r="Q233" s="408"/>
      <c r="R233" s="765"/>
      <c r="S233" s="408"/>
      <c r="T233" s="408"/>
    </row>
    <row r="234" spans="14:20" ht="15" x14ac:dyDescent="0.25">
      <c r="N234" s="765"/>
      <c r="O234"/>
      <c r="P234"/>
      <c r="Q234" s="408"/>
      <c r="R234" s="765"/>
      <c r="S234" s="408"/>
      <c r="T234" s="408"/>
    </row>
    <row r="235" spans="14:20" ht="15" x14ac:dyDescent="0.25">
      <c r="N235" s="765"/>
      <c r="O235"/>
      <c r="P235"/>
      <c r="Q235" s="408"/>
      <c r="R235" s="765"/>
      <c r="S235" s="408"/>
      <c r="T235" s="408"/>
    </row>
    <row r="236" spans="14:20" ht="15" x14ac:dyDescent="0.25">
      <c r="N236" s="765"/>
      <c r="O236"/>
      <c r="P236"/>
      <c r="Q236" s="408"/>
      <c r="R236" s="765"/>
      <c r="S236" s="408"/>
      <c r="T236" s="408"/>
    </row>
    <row r="237" spans="14:20" ht="15" x14ac:dyDescent="0.25">
      <c r="N237" s="765"/>
      <c r="O237"/>
      <c r="P237"/>
      <c r="Q237" s="408"/>
      <c r="R237" s="765"/>
      <c r="S237" s="408"/>
      <c r="T237" s="408"/>
    </row>
    <row r="238" spans="14:20" ht="15" x14ac:dyDescent="0.25">
      <c r="N238" s="765"/>
      <c r="O238"/>
      <c r="P238"/>
      <c r="Q238" s="408"/>
      <c r="R238" s="765"/>
      <c r="S238" s="408"/>
      <c r="T238" s="408"/>
    </row>
    <row r="239" spans="14:20" ht="15" x14ac:dyDescent="0.25">
      <c r="N239" s="765"/>
      <c r="O239"/>
      <c r="P239"/>
      <c r="Q239" s="408"/>
      <c r="R239" s="765"/>
      <c r="S239" s="408"/>
      <c r="T239" s="408"/>
    </row>
    <row r="240" spans="14:20" ht="15" x14ac:dyDescent="0.25">
      <c r="N240" s="765"/>
      <c r="O240"/>
      <c r="P240"/>
      <c r="Q240" s="408"/>
      <c r="R240" s="765"/>
      <c r="S240" s="408"/>
      <c r="T240" s="408"/>
    </row>
    <row r="241" spans="14:20" ht="15" x14ac:dyDescent="0.25">
      <c r="N241" s="765"/>
      <c r="O241"/>
      <c r="P241"/>
      <c r="Q241" s="408"/>
      <c r="R241" s="765"/>
      <c r="S241" s="408"/>
      <c r="T241" s="408"/>
    </row>
    <row r="242" spans="14:20" ht="15" x14ac:dyDescent="0.25">
      <c r="N242" s="765"/>
      <c r="O242"/>
      <c r="P242"/>
      <c r="Q242" s="408"/>
      <c r="R242" s="765"/>
      <c r="S242" s="408"/>
      <c r="T242" s="408"/>
    </row>
    <row r="243" spans="14:20" ht="15" x14ac:dyDescent="0.25">
      <c r="N243" s="765"/>
      <c r="O243"/>
      <c r="P243"/>
      <c r="Q243" s="408"/>
      <c r="R243" s="765"/>
      <c r="S243" s="408"/>
      <c r="T243" s="408"/>
    </row>
    <row r="244" spans="14:20" ht="15" x14ac:dyDescent="0.25">
      <c r="N244" s="765"/>
      <c r="O244"/>
      <c r="P244"/>
      <c r="Q244" s="408"/>
      <c r="R244" s="765"/>
      <c r="S244" s="408"/>
      <c r="T244" s="408"/>
    </row>
    <row r="245" spans="14:20" ht="15" x14ac:dyDescent="0.25">
      <c r="N245" s="765"/>
      <c r="O245"/>
      <c r="P245"/>
      <c r="Q245" s="408"/>
      <c r="R245" s="765"/>
      <c r="S245" s="408"/>
      <c r="T245" s="408"/>
    </row>
    <row r="246" spans="14:20" ht="15" x14ac:dyDescent="0.25">
      <c r="N246" s="765"/>
      <c r="O246"/>
      <c r="P246"/>
      <c r="Q246" s="408"/>
      <c r="R246" s="765"/>
      <c r="S246" s="408"/>
      <c r="T246" s="408"/>
    </row>
    <row r="247" spans="14:20" ht="15" x14ac:dyDescent="0.25">
      <c r="N247" s="765"/>
      <c r="O247"/>
      <c r="P247"/>
      <c r="Q247" s="408"/>
      <c r="R247" s="765"/>
      <c r="S247" s="408"/>
      <c r="T247" s="408"/>
    </row>
    <row r="248" spans="14:20" ht="15" x14ac:dyDescent="0.25">
      <c r="N248" s="765"/>
      <c r="O248"/>
      <c r="P248"/>
      <c r="Q248" s="408"/>
      <c r="R248" s="765"/>
      <c r="S248" s="408"/>
      <c r="T248" s="408"/>
    </row>
    <row r="249" spans="14:20" ht="15" x14ac:dyDescent="0.25">
      <c r="N249" s="765"/>
      <c r="O249"/>
      <c r="P249"/>
      <c r="Q249" s="408"/>
      <c r="R249" s="765"/>
      <c r="S249" s="408"/>
      <c r="T249" s="408"/>
    </row>
    <row r="250" spans="14:20" ht="15" x14ac:dyDescent="0.25">
      <c r="N250" s="765"/>
      <c r="O250"/>
      <c r="P250"/>
      <c r="Q250" s="408"/>
      <c r="R250" s="765"/>
      <c r="S250" s="408"/>
      <c r="T250" s="408"/>
    </row>
    <row r="251" spans="14:20" ht="15" x14ac:dyDescent="0.25">
      <c r="N251" s="765"/>
      <c r="O251"/>
      <c r="P251"/>
      <c r="Q251" s="408"/>
      <c r="R251" s="765"/>
      <c r="S251" s="408"/>
      <c r="T251" s="408"/>
    </row>
    <row r="252" spans="14:20" ht="15" x14ac:dyDescent="0.25">
      <c r="N252" s="765"/>
      <c r="O252"/>
      <c r="P252"/>
      <c r="Q252" s="408"/>
      <c r="R252" s="765"/>
      <c r="S252" s="408"/>
      <c r="T252" s="408"/>
    </row>
    <row r="253" spans="14:20" ht="15" x14ac:dyDescent="0.25">
      <c r="N253" s="765"/>
      <c r="O253"/>
      <c r="P253"/>
      <c r="Q253" s="408"/>
      <c r="R253" s="765"/>
      <c r="S253" s="408"/>
      <c r="T253" s="408"/>
    </row>
    <row r="254" spans="14:20" ht="15" x14ac:dyDescent="0.25">
      <c r="N254" s="765"/>
      <c r="O254"/>
      <c r="P254"/>
      <c r="Q254" s="408"/>
      <c r="R254" s="765"/>
      <c r="S254" s="408"/>
      <c r="T254" s="408"/>
    </row>
    <row r="255" spans="14:20" ht="15" x14ac:dyDescent="0.25">
      <c r="N255" s="765"/>
      <c r="O255"/>
      <c r="P255"/>
      <c r="Q255" s="408"/>
      <c r="R255" s="765"/>
      <c r="S255" s="408"/>
      <c r="T255" s="408"/>
    </row>
    <row r="256" spans="14:20" ht="15" x14ac:dyDescent="0.25">
      <c r="N256" s="765"/>
      <c r="O256"/>
      <c r="P256"/>
      <c r="Q256" s="408"/>
      <c r="R256" s="765"/>
      <c r="S256" s="408"/>
      <c r="T256" s="408"/>
    </row>
    <row r="257" spans="14:20" ht="15" x14ac:dyDescent="0.25">
      <c r="N257" s="765"/>
      <c r="O257"/>
      <c r="P257"/>
      <c r="Q257" s="408"/>
      <c r="R257" s="765"/>
      <c r="S257" s="408"/>
      <c r="T257" s="408"/>
    </row>
    <row r="258" spans="14:20" ht="15" x14ac:dyDescent="0.25">
      <c r="N258" s="765"/>
      <c r="O258"/>
      <c r="P258"/>
      <c r="Q258" s="408"/>
      <c r="R258" s="765"/>
      <c r="S258" s="408"/>
      <c r="T258" s="408"/>
    </row>
    <row r="259" spans="14:20" ht="15" x14ac:dyDescent="0.25">
      <c r="N259" s="765"/>
      <c r="O259"/>
      <c r="P259"/>
      <c r="Q259" s="408"/>
      <c r="R259" s="765"/>
      <c r="S259" s="408"/>
      <c r="T259" s="408"/>
    </row>
    <row r="260" spans="14:20" ht="15" x14ac:dyDescent="0.25">
      <c r="N260" s="765"/>
      <c r="O260"/>
      <c r="P260"/>
      <c r="Q260" s="408"/>
      <c r="R260" s="765"/>
      <c r="S260" s="408"/>
      <c r="T260" s="408"/>
    </row>
    <row r="261" spans="14:20" ht="15" x14ac:dyDescent="0.25">
      <c r="N261" s="765"/>
      <c r="O261"/>
      <c r="P261"/>
      <c r="Q261" s="408"/>
      <c r="R261" s="765"/>
      <c r="S261" s="408"/>
      <c r="T261" s="408"/>
    </row>
    <row r="262" spans="14:20" ht="15" x14ac:dyDescent="0.25">
      <c r="N262" s="765"/>
      <c r="O262"/>
      <c r="P262"/>
      <c r="Q262" s="408"/>
      <c r="R262" s="765"/>
      <c r="S262" s="408"/>
      <c r="T262" s="408"/>
    </row>
    <row r="263" spans="14:20" ht="15" x14ac:dyDescent="0.25">
      <c r="N263" s="765"/>
      <c r="O263"/>
      <c r="P263"/>
      <c r="Q263" s="408"/>
      <c r="R263" s="765"/>
      <c r="S263" s="408"/>
      <c r="T263" s="408"/>
    </row>
    <row r="264" spans="14:20" ht="15" x14ac:dyDescent="0.25">
      <c r="N264" s="765"/>
      <c r="O264"/>
      <c r="P264"/>
      <c r="Q264" s="408"/>
      <c r="R264" s="765"/>
      <c r="S264" s="408"/>
      <c r="T264" s="408"/>
    </row>
    <row r="265" spans="14:20" ht="15" x14ac:dyDescent="0.25">
      <c r="N265" s="765"/>
      <c r="O265"/>
      <c r="P265"/>
      <c r="Q265" s="408"/>
      <c r="R265" s="765"/>
      <c r="S265" s="408"/>
      <c r="T265" s="408"/>
    </row>
    <row r="266" spans="14:20" ht="15" x14ac:dyDescent="0.25">
      <c r="N266" s="765"/>
      <c r="O266"/>
      <c r="P266"/>
      <c r="Q266" s="408"/>
      <c r="R266" s="765"/>
      <c r="S266" s="408"/>
      <c r="T266" s="408"/>
    </row>
    <row r="267" spans="14:20" ht="15" x14ac:dyDescent="0.25">
      <c r="N267" s="765"/>
      <c r="O267"/>
      <c r="P267"/>
      <c r="Q267" s="408"/>
      <c r="R267" s="765"/>
      <c r="S267" s="408"/>
      <c r="T267" s="408"/>
    </row>
    <row r="268" spans="14:20" ht="15" x14ac:dyDescent="0.25">
      <c r="N268" s="765"/>
      <c r="O268"/>
      <c r="P268"/>
      <c r="Q268" s="408"/>
      <c r="R268" s="765"/>
      <c r="S268" s="408"/>
      <c r="T268" s="408"/>
    </row>
    <row r="269" spans="14:20" ht="15" x14ac:dyDescent="0.25">
      <c r="N269" s="765"/>
      <c r="O269"/>
      <c r="P269"/>
      <c r="Q269" s="408"/>
      <c r="R269" s="765"/>
      <c r="S269" s="408"/>
      <c r="T269" s="408"/>
    </row>
    <row r="270" spans="14:20" ht="15" x14ac:dyDescent="0.25">
      <c r="N270" s="765"/>
      <c r="O270"/>
      <c r="P270"/>
      <c r="Q270" s="408"/>
      <c r="R270" s="765"/>
      <c r="S270" s="408"/>
      <c r="T270" s="408"/>
    </row>
    <row r="271" spans="14:20" ht="15" x14ac:dyDescent="0.25">
      <c r="N271" s="765"/>
      <c r="O271"/>
      <c r="P271"/>
      <c r="Q271" s="408"/>
      <c r="R271" s="765"/>
      <c r="S271" s="408"/>
      <c r="T271" s="408"/>
    </row>
    <row r="272" spans="14:20" ht="15" x14ac:dyDescent="0.25">
      <c r="N272" s="765"/>
      <c r="O272"/>
      <c r="P272"/>
      <c r="Q272" s="408"/>
      <c r="R272" s="765"/>
      <c r="S272" s="408"/>
      <c r="T272" s="408"/>
    </row>
    <row r="273" spans="14:20" ht="15" x14ac:dyDescent="0.25">
      <c r="N273" s="765"/>
      <c r="O273"/>
      <c r="P273"/>
      <c r="Q273" s="408"/>
      <c r="R273" s="765"/>
      <c r="S273" s="408"/>
      <c r="T273" s="408"/>
    </row>
    <row r="274" spans="14:20" ht="15" x14ac:dyDescent="0.25">
      <c r="N274" s="765"/>
      <c r="O274"/>
      <c r="P274"/>
      <c r="Q274" s="408"/>
      <c r="R274" s="765"/>
      <c r="S274" s="408"/>
      <c r="T274" s="408"/>
    </row>
    <row r="275" spans="14:20" ht="15" x14ac:dyDescent="0.25">
      <c r="N275" s="765"/>
      <c r="O275"/>
      <c r="P275"/>
      <c r="Q275" s="408"/>
      <c r="R275" s="765"/>
      <c r="S275" s="408"/>
      <c r="T275" s="408"/>
    </row>
    <row r="276" spans="14:20" ht="15" x14ac:dyDescent="0.25">
      <c r="N276" s="765"/>
      <c r="O276"/>
      <c r="P276"/>
      <c r="Q276" s="408"/>
      <c r="R276" s="765"/>
      <c r="S276" s="408"/>
      <c r="T276" s="408"/>
    </row>
    <row r="277" spans="14:20" ht="15" x14ac:dyDescent="0.25">
      <c r="N277" s="765"/>
      <c r="O277"/>
      <c r="P277"/>
      <c r="Q277" s="408"/>
      <c r="R277" s="765"/>
      <c r="S277" s="408"/>
      <c r="T277" s="408"/>
    </row>
    <row r="278" spans="14:20" ht="15" x14ac:dyDescent="0.25">
      <c r="N278" s="765"/>
      <c r="O278"/>
      <c r="P278"/>
      <c r="Q278" s="408"/>
      <c r="R278" s="765"/>
      <c r="S278" s="408"/>
      <c r="T278" s="408"/>
    </row>
    <row r="279" spans="14:20" ht="15" x14ac:dyDescent="0.25">
      <c r="N279" s="765"/>
      <c r="O279"/>
      <c r="P279"/>
      <c r="Q279" s="408"/>
      <c r="R279" s="765"/>
      <c r="S279" s="408"/>
      <c r="T279" s="408"/>
    </row>
    <row r="280" spans="14:20" ht="15" x14ac:dyDescent="0.25">
      <c r="N280" s="765"/>
      <c r="O280"/>
      <c r="P280"/>
      <c r="Q280" s="408"/>
      <c r="R280" s="765"/>
      <c r="S280" s="408"/>
      <c r="T280" s="408"/>
    </row>
    <row r="281" spans="14:20" ht="15" x14ac:dyDescent="0.25">
      <c r="N281" s="765"/>
      <c r="O281"/>
      <c r="P281"/>
      <c r="Q281" s="408"/>
      <c r="R281" s="765"/>
      <c r="S281" s="408"/>
      <c r="T281" s="408"/>
    </row>
    <row r="282" spans="14:20" ht="15" x14ac:dyDescent="0.25">
      <c r="N282" s="765"/>
      <c r="O282"/>
      <c r="P282"/>
      <c r="Q282" s="408"/>
      <c r="R282" s="765"/>
      <c r="S282" s="408"/>
      <c r="T282" s="408"/>
    </row>
    <row r="283" spans="14:20" ht="15" x14ac:dyDescent="0.25">
      <c r="N283" s="765"/>
      <c r="O283"/>
      <c r="P283"/>
      <c r="Q283" s="408"/>
      <c r="R283" s="765"/>
      <c r="S283" s="408"/>
      <c r="T283" s="408"/>
    </row>
    <row r="284" spans="14:20" ht="15" x14ac:dyDescent="0.25">
      <c r="N284" s="765"/>
      <c r="O284"/>
      <c r="P284"/>
      <c r="Q284" s="408"/>
      <c r="R284" s="765"/>
      <c r="S284" s="408"/>
      <c r="T284" s="408"/>
    </row>
    <row r="285" spans="14:20" ht="15" x14ac:dyDescent="0.25">
      <c r="N285" s="765"/>
      <c r="O285"/>
      <c r="P285"/>
      <c r="Q285" s="408"/>
      <c r="R285" s="765"/>
      <c r="S285" s="408"/>
      <c r="T285" s="408"/>
    </row>
    <row r="286" spans="14:20" ht="15" x14ac:dyDescent="0.25">
      <c r="N286" s="765"/>
      <c r="O286"/>
      <c r="P286"/>
      <c r="Q286" s="408"/>
      <c r="R286" s="765"/>
      <c r="S286" s="408"/>
      <c r="T286" s="408"/>
    </row>
    <row r="287" spans="14:20" ht="15" x14ac:dyDescent="0.25">
      <c r="N287" s="765"/>
      <c r="O287"/>
      <c r="P287"/>
      <c r="Q287" s="408"/>
      <c r="R287" s="765"/>
      <c r="S287" s="408"/>
      <c r="T287" s="408"/>
    </row>
    <row r="288" spans="14:20" ht="15" x14ac:dyDescent="0.25">
      <c r="N288" s="765"/>
      <c r="O288"/>
      <c r="P288"/>
      <c r="Q288" s="408"/>
      <c r="R288" s="765"/>
      <c r="S288" s="408"/>
      <c r="T288" s="408"/>
    </row>
    <row r="289" spans="14:20" ht="15" x14ac:dyDescent="0.25">
      <c r="N289" s="765"/>
      <c r="O289"/>
      <c r="P289"/>
      <c r="Q289" s="408"/>
      <c r="R289" s="765"/>
      <c r="S289" s="408"/>
      <c r="T289" s="408"/>
    </row>
    <row r="290" spans="14:20" ht="15" x14ac:dyDescent="0.25">
      <c r="N290" s="765"/>
      <c r="O290"/>
      <c r="P290"/>
      <c r="Q290" s="408"/>
      <c r="R290" s="765"/>
      <c r="S290" s="408"/>
      <c r="T290" s="408"/>
    </row>
    <row r="291" spans="14:20" ht="15" x14ac:dyDescent="0.25">
      <c r="N291" s="765"/>
      <c r="O291"/>
      <c r="P291"/>
      <c r="Q291" s="408"/>
      <c r="R291" s="765"/>
      <c r="S291" s="408"/>
      <c r="T291" s="408"/>
    </row>
    <row r="292" spans="14:20" ht="15" x14ac:dyDescent="0.25">
      <c r="N292" s="765"/>
      <c r="O292"/>
      <c r="P292"/>
      <c r="Q292" s="408"/>
      <c r="R292" s="765"/>
      <c r="S292" s="408"/>
      <c r="T292" s="408"/>
    </row>
    <row r="293" spans="14:20" ht="15" x14ac:dyDescent="0.25">
      <c r="N293" s="765"/>
      <c r="O293"/>
      <c r="P293"/>
      <c r="Q293" s="408"/>
      <c r="R293" s="765"/>
      <c r="S293" s="408"/>
      <c r="T293" s="408"/>
    </row>
    <row r="294" spans="14:20" ht="15" x14ac:dyDescent="0.25">
      <c r="N294" s="765"/>
      <c r="O294"/>
      <c r="P294"/>
      <c r="Q294" s="408"/>
      <c r="R294" s="765"/>
      <c r="S294" s="408"/>
      <c r="T294" s="408"/>
    </row>
    <row r="295" spans="14:20" ht="15" x14ac:dyDescent="0.25">
      <c r="N295" s="765"/>
      <c r="O295"/>
      <c r="P295"/>
      <c r="Q295" s="408"/>
      <c r="R295" s="765"/>
      <c r="S295" s="408"/>
      <c r="T295" s="408"/>
    </row>
    <row r="296" spans="14:20" ht="15" x14ac:dyDescent="0.25">
      <c r="N296" s="765"/>
      <c r="O296"/>
      <c r="P296"/>
      <c r="Q296" s="408"/>
      <c r="R296" s="765"/>
      <c r="S296" s="408"/>
      <c r="T296" s="408"/>
    </row>
    <row r="297" spans="14:20" ht="15" x14ac:dyDescent="0.25">
      <c r="N297" s="765"/>
      <c r="O297"/>
      <c r="P297"/>
      <c r="Q297" s="408"/>
      <c r="R297" s="765"/>
      <c r="S297" s="408"/>
      <c r="T297" s="408"/>
    </row>
    <row r="298" spans="14:20" ht="15" x14ac:dyDescent="0.25">
      <c r="N298" s="765"/>
      <c r="O298"/>
      <c r="P298"/>
      <c r="Q298" s="408"/>
      <c r="R298" s="765"/>
      <c r="S298" s="408"/>
      <c r="T298" s="408"/>
    </row>
    <row r="299" spans="14:20" ht="15" x14ac:dyDescent="0.25">
      <c r="N299" s="765"/>
      <c r="O299"/>
      <c r="P299"/>
      <c r="Q299" s="408"/>
      <c r="R299" s="765"/>
      <c r="S299" s="408"/>
      <c r="T299" s="408"/>
    </row>
    <row r="300" spans="14:20" ht="15" x14ac:dyDescent="0.25">
      <c r="N300" s="765"/>
      <c r="O300"/>
      <c r="P300"/>
      <c r="Q300" s="408"/>
      <c r="R300" s="765"/>
      <c r="S300" s="408"/>
      <c r="T300" s="408"/>
    </row>
    <row r="301" spans="14:20" ht="15" x14ac:dyDescent="0.25">
      <c r="N301" s="765"/>
      <c r="O301"/>
      <c r="P301"/>
      <c r="Q301" s="408"/>
      <c r="R301" s="765"/>
      <c r="S301" s="408"/>
      <c r="T301" s="408"/>
    </row>
    <row r="302" spans="14:20" ht="15" x14ac:dyDescent="0.25">
      <c r="N302" s="765"/>
      <c r="O302"/>
      <c r="P302"/>
      <c r="Q302" s="408"/>
      <c r="R302" s="765"/>
      <c r="S302" s="408"/>
      <c r="T302" s="408"/>
    </row>
    <row r="303" spans="14:20" ht="15" x14ac:dyDescent="0.25">
      <c r="N303" s="765"/>
      <c r="O303"/>
      <c r="P303"/>
      <c r="Q303" s="408"/>
      <c r="R303" s="765"/>
      <c r="S303" s="408"/>
      <c r="T303" s="408"/>
    </row>
    <row r="304" spans="14:20" ht="15" x14ac:dyDescent="0.25">
      <c r="N304" s="765"/>
      <c r="O304"/>
      <c r="P304"/>
      <c r="Q304" s="408"/>
      <c r="R304" s="765"/>
      <c r="S304" s="408"/>
      <c r="T304" s="408"/>
    </row>
    <row r="305" spans="14:20" ht="15" x14ac:dyDescent="0.25">
      <c r="N305" s="765"/>
      <c r="O305"/>
      <c r="P305"/>
      <c r="Q305" s="408"/>
      <c r="R305" s="765"/>
      <c r="S305" s="408"/>
      <c r="T305" s="408"/>
    </row>
    <row r="306" spans="14:20" ht="15" x14ac:dyDescent="0.25">
      <c r="N306" s="765"/>
      <c r="O306"/>
      <c r="P306"/>
      <c r="Q306" s="408"/>
      <c r="R306" s="765"/>
      <c r="S306" s="408"/>
      <c r="T306" s="408"/>
    </row>
    <row r="307" spans="14:20" ht="15" x14ac:dyDescent="0.25">
      <c r="N307" s="765"/>
      <c r="O307"/>
      <c r="P307"/>
      <c r="Q307" s="408"/>
      <c r="R307" s="765"/>
      <c r="S307" s="408"/>
      <c r="T307" s="408"/>
    </row>
    <row r="308" spans="14:20" ht="15" x14ac:dyDescent="0.25">
      <c r="N308" s="765"/>
      <c r="O308"/>
      <c r="P308"/>
      <c r="Q308" s="408"/>
      <c r="R308" s="765"/>
      <c r="S308" s="408"/>
      <c r="T308" s="408"/>
    </row>
    <row r="309" spans="14:20" ht="15" x14ac:dyDescent="0.25">
      <c r="N309" s="765"/>
      <c r="O309"/>
      <c r="P309"/>
      <c r="Q309" s="408"/>
      <c r="R309" s="765"/>
      <c r="S309" s="408"/>
      <c r="T309" s="408"/>
    </row>
    <row r="310" spans="14:20" ht="15" x14ac:dyDescent="0.25">
      <c r="N310" s="765"/>
      <c r="O310"/>
      <c r="P310"/>
      <c r="Q310" s="408"/>
      <c r="R310" s="765"/>
      <c r="S310" s="408"/>
      <c r="T310" s="408"/>
    </row>
    <row r="311" spans="14:20" ht="15" x14ac:dyDescent="0.25">
      <c r="N311" s="765"/>
      <c r="O311"/>
      <c r="P311"/>
      <c r="Q311" s="408"/>
      <c r="R311" s="765"/>
      <c r="S311" s="408"/>
      <c r="T311" s="408"/>
    </row>
    <row r="312" spans="14:20" ht="15" x14ac:dyDescent="0.25">
      <c r="N312" s="765"/>
      <c r="O312"/>
      <c r="P312"/>
      <c r="Q312" s="408"/>
      <c r="R312" s="765"/>
      <c r="S312" s="408"/>
      <c r="T312" s="408"/>
    </row>
    <row r="313" spans="14:20" ht="15" x14ac:dyDescent="0.25">
      <c r="N313" s="765"/>
      <c r="O313"/>
      <c r="P313"/>
      <c r="Q313" s="408"/>
      <c r="R313" s="765"/>
      <c r="S313" s="408"/>
      <c r="T313" s="408"/>
    </row>
    <row r="314" spans="14:20" ht="15" x14ac:dyDescent="0.25">
      <c r="N314" s="765"/>
      <c r="O314"/>
      <c r="P314"/>
      <c r="Q314" s="408"/>
      <c r="R314" s="765"/>
      <c r="S314" s="408"/>
      <c r="T314" s="408"/>
    </row>
    <row r="315" spans="14:20" ht="15" x14ac:dyDescent="0.25">
      <c r="N315" s="765"/>
      <c r="O315"/>
      <c r="P315"/>
      <c r="Q315" s="408"/>
      <c r="R315" s="765"/>
      <c r="S315" s="408"/>
      <c r="T315" s="408"/>
    </row>
    <row r="316" spans="14:20" ht="15" x14ac:dyDescent="0.25">
      <c r="N316" s="765"/>
      <c r="O316"/>
      <c r="P316"/>
      <c r="Q316" s="408"/>
      <c r="R316" s="765"/>
      <c r="S316" s="408"/>
      <c r="T316" s="408"/>
    </row>
    <row r="317" spans="14:20" ht="15" x14ac:dyDescent="0.25">
      <c r="N317" s="765"/>
      <c r="O317"/>
      <c r="P317"/>
      <c r="Q317" s="408"/>
      <c r="R317" s="765"/>
      <c r="S317" s="408"/>
      <c r="T317" s="408"/>
    </row>
    <row r="318" spans="14:20" ht="15" x14ac:dyDescent="0.25">
      <c r="N318" s="765"/>
      <c r="O318"/>
      <c r="P318"/>
      <c r="Q318" s="408"/>
      <c r="R318" s="765"/>
      <c r="S318" s="408"/>
      <c r="T318" s="408"/>
    </row>
    <row r="319" spans="14:20" ht="15" x14ac:dyDescent="0.25">
      <c r="N319" s="765"/>
      <c r="O319"/>
      <c r="P319"/>
      <c r="Q319" s="408"/>
      <c r="R319" s="765"/>
      <c r="S319" s="408"/>
      <c r="T319" s="408"/>
    </row>
    <row r="320" spans="14:20" ht="15" x14ac:dyDescent="0.25">
      <c r="N320" s="765"/>
      <c r="O320"/>
      <c r="P320"/>
      <c r="Q320" s="408"/>
      <c r="R320" s="765"/>
      <c r="S320" s="408"/>
      <c r="T320" s="408"/>
    </row>
    <row r="321" spans="14:20" ht="15" x14ac:dyDescent="0.25">
      <c r="N321" s="765"/>
      <c r="O321"/>
      <c r="P321"/>
      <c r="Q321" s="408"/>
      <c r="R321" s="765"/>
      <c r="S321" s="408"/>
      <c r="T321" s="408"/>
    </row>
    <row r="322" spans="14:20" ht="15" x14ac:dyDescent="0.25">
      <c r="N322" s="765"/>
      <c r="O322"/>
      <c r="P322"/>
      <c r="Q322" s="408"/>
      <c r="R322" s="765"/>
      <c r="S322" s="408"/>
      <c r="T322" s="408"/>
    </row>
    <row r="323" spans="14:20" ht="15" x14ac:dyDescent="0.25">
      <c r="N323" s="765"/>
      <c r="O323"/>
      <c r="P323"/>
      <c r="Q323" s="408"/>
      <c r="R323" s="765"/>
      <c r="S323" s="408"/>
      <c r="T323" s="408"/>
    </row>
    <row r="324" spans="14:20" ht="15" x14ac:dyDescent="0.25">
      <c r="N324" s="765"/>
      <c r="O324"/>
      <c r="P324"/>
      <c r="Q324" s="408"/>
      <c r="R324" s="765"/>
      <c r="S324" s="408"/>
      <c r="T324" s="408"/>
    </row>
    <row r="325" spans="14:20" ht="15" x14ac:dyDescent="0.25">
      <c r="N325" s="765"/>
      <c r="O325"/>
      <c r="P325"/>
      <c r="Q325" s="408"/>
      <c r="R325" s="765"/>
      <c r="S325" s="408"/>
      <c r="T325" s="408"/>
    </row>
    <row r="326" spans="14:20" ht="15" x14ac:dyDescent="0.25">
      <c r="N326" s="765"/>
      <c r="O326"/>
      <c r="P326"/>
      <c r="Q326" s="408"/>
      <c r="R326" s="765"/>
      <c r="S326" s="408"/>
      <c r="T326" s="408"/>
    </row>
    <row r="327" spans="14:20" ht="15" x14ac:dyDescent="0.25">
      <c r="N327" s="765"/>
      <c r="O327"/>
      <c r="P327"/>
      <c r="Q327" s="408"/>
      <c r="R327" s="765"/>
      <c r="S327" s="408"/>
      <c r="T327" s="408"/>
    </row>
    <row r="328" spans="14:20" ht="15" x14ac:dyDescent="0.25">
      <c r="N328" s="765"/>
      <c r="O328"/>
      <c r="P328"/>
      <c r="Q328" s="408"/>
      <c r="R328" s="765"/>
      <c r="S328" s="408"/>
      <c r="T328" s="408"/>
    </row>
    <row r="329" spans="14:20" ht="15" x14ac:dyDescent="0.25">
      <c r="N329" s="765"/>
      <c r="O329"/>
      <c r="P329"/>
      <c r="Q329" s="408"/>
      <c r="R329" s="765"/>
      <c r="S329" s="408"/>
      <c r="T329" s="408"/>
    </row>
    <row r="330" spans="14:20" ht="15" x14ac:dyDescent="0.25">
      <c r="N330" s="765"/>
      <c r="O330"/>
      <c r="P330"/>
      <c r="Q330" s="408"/>
      <c r="R330" s="765"/>
      <c r="S330" s="408"/>
      <c r="T330" s="408"/>
    </row>
    <row r="331" spans="14:20" ht="15" x14ac:dyDescent="0.25">
      <c r="N331" s="765"/>
      <c r="O331"/>
      <c r="P331"/>
      <c r="Q331" s="408"/>
      <c r="R331" s="765"/>
      <c r="S331" s="408"/>
      <c r="T331" s="408"/>
    </row>
    <row r="332" spans="14:20" ht="15" x14ac:dyDescent="0.25">
      <c r="N332" s="765"/>
      <c r="O332"/>
      <c r="P332"/>
      <c r="Q332" s="408"/>
      <c r="R332" s="765"/>
      <c r="S332" s="408"/>
      <c r="T332" s="408"/>
    </row>
    <row r="333" spans="14:20" ht="15" x14ac:dyDescent="0.25">
      <c r="N333" s="765"/>
      <c r="O333"/>
      <c r="P333"/>
      <c r="Q333" s="408"/>
      <c r="R333" s="765"/>
      <c r="S333" s="408"/>
      <c r="T333" s="408"/>
    </row>
    <row r="334" spans="14:20" ht="15" x14ac:dyDescent="0.25">
      <c r="N334" s="765"/>
      <c r="O334"/>
      <c r="P334"/>
      <c r="Q334" s="408"/>
      <c r="R334" s="765"/>
      <c r="S334" s="408"/>
      <c r="T334" s="408"/>
    </row>
    <row r="335" spans="14:20" ht="15" x14ac:dyDescent="0.25">
      <c r="N335" s="765"/>
      <c r="O335"/>
      <c r="P335"/>
      <c r="Q335" s="408"/>
      <c r="R335" s="765"/>
      <c r="S335" s="408"/>
      <c r="T335" s="408"/>
    </row>
    <row r="336" spans="14:20" ht="15" x14ac:dyDescent="0.25">
      <c r="N336" s="765"/>
      <c r="O336"/>
      <c r="P336"/>
      <c r="Q336" s="408"/>
      <c r="R336" s="765"/>
      <c r="S336" s="408"/>
      <c r="T336" s="408"/>
    </row>
    <row r="337" spans="14:20" ht="15" x14ac:dyDescent="0.25">
      <c r="N337" s="765"/>
      <c r="O337"/>
      <c r="P337"/>
      <c r="Q337" s="408"/>
      <c r="R337" s="765"/>
      <c r="S337" s="408"/>
      <c r="T337" s="408"/>
    </row>
    <row r="338" spans="14:20" ht="15" x14ac:dyDescent="0.25">
      <c r="N338" s="765"/>
      <c r="O338"/>
      <c r="P338"/>
      <c r="Q338" s="408"/>
      <c r="R338" s="765"/>
      <c r="S338" s="408"/>
      <c r="T338" s="408"/>
    </row>
    <row r="339" spans="14:20" ht="15" x14ac:dyDescent="0.25">
      <c r="N339" s="765"/>
      <c r="O339"/>
      <c r="P339"/>
      <c r="Q339" s="408"/>
      <c r="R339" s="765"/>
      <c r="S339" s="408"/>
      <c r="T339" s="408"/>
    </row>
    <row r="340" spans="14:20" ht="15" x14ac:dyDescent="0.25">
      <c r="N340" s="765"/>
      <c r="O340"/>
      <c r="P340"/>
      <c r="Q340" s="408"/>
      <c r="R340" s="765"/>
      <c r="S340" s="408"/>
      <c r="T340" s="408"/>
    </row>
    <row r="341" spans="14:20" ht="15" x14ac:dyDescent="0.25">
      <c r="N341" s="765"/>
      <c r="O341"/>
      <c r="P341"/>
      <c r="Q341" s="408"/>
      <c r="R341" s="765"/>
      <c r="S341" s="408"/>
      <c r="T341" s="408"/>
    </row>
    <row r="342" spans="14:20" ht="15" x14ac:dyDescent="0.25">
      <c r="N342" s="765"/>
      <c r="O342"/>
      <c r="P342"/>
      <c r="Q342" s="408"/>
      <c r="R342" s="765"/>
      <c r="S342" s="408"/>
      <c r="T342" s="408"/>
    </row>
    <row r="343" spans="14:20" ht="15" x14ac:dyDescent="0.25">
      <c r="N343" s="765"/>
      <c r="O343"/>
      <c r="P343"/>
      <c r="Q343" s="408"/>
      <c r="R343" s="765"/>
      <c r="S343" s="408"/>
      <c r="T343" s="408"/>
    </row>
    <row r="344" spans="14:20" ht="15" x14ac:dyDescent="0.25">
      <c r="N344" s="765"/>
      <c r="O344"/>
      <c r="P344"/>
      <c r="Q344" s="408"/>
      <c r="R344" s="765"/>
      <c r="S344" s="408"/>
      <c r="T344" s="408"/>
    </row>
    <row r="345" spans="14:20" ht="15" x14ac:dyDescent="0.25">
      <c r="N345" s="765"/>
      <c r="O345"/>
      <c r="P345"/>
      <c r="Q345" s="408"/>
      <c r="R345" s="765"/>
      <c r="S345" s="408"/>
      <c r="T345" s="408"/>
    </row>
    <row r="346" spans="14:20" ht="15" x14ac:dyDescent="0.25">
      <c r="N346" s="765"/>
      <c r="O346"/>
      <c r="P346"/>
      <c r="Q346" s="408"/>
      <c r="R346" s="765"/>
      <c r="S346" s="408"/>
      <c r="T346" s="408"/>
    </row>
    <row r="347" spans="14:20" ht="15" x14ac:dyDescent="0.25">
      <c r="N347" s="765"/>
      <c r="O347"/>
      <c r="P347"/>
      <c r="Q347" s="408"/>
      <c r="R347" s="765"/>
      <c r="S347" s="408"/>
      <c r="T347" s="408"/>
    </row>
    <row r="348" spans="14:20" ht="15" x14ac:dyDescent="0.25">
      <c r="N348" s="765"/>
      <c r="O348"/>
      <c r="P348"/>
      <c r="Q348" s="408"/>
      <c r="R348" s="765"/>
      <c r="S348" s="408"/>
      <c r="T348" s="408"/>
    </row>
    <row r="349" spans="14:20" ht="15" x14ac:dyDescent="0.25">
      <c r="N349" s="765"/>
      <c r="O349"/>
      <c r="P349"/>
      <c r="Q349" s="408"/>
      <c r="R349" s="765"/>
      <c r="S349" s="408"/>
      <c r="T349" s="408"/>
    </row>
    <row r="350" spans="14:20" ht="15" x14ac:dyDescent="0.25">
      <c r="N350" s="765"/>
      <c r="O350"/>
      <c r="P350"/>
      <c r="Q350" s="408"/>
      <c r="R350" s="765"/>
      <c r="S350" s="408"/>
      <c r="T350" s="408"/>
    </row>
    <row r="351" spans="14:20" ht="15" x14ac:dyDescent="0.25">
      <c r="N351" s="765"/>
      <c r="O351"/>
      <c r="P351"/>
      <c r="Q351" s="408"/>
      <c r="R351" s="765"/>
      <c r="S351" s="408"/>
      <c r="T351" s="408"/>
    </row>
    <row r="352" spans="14:20" ht="15" x14ac:dyDescent="0.25">
      <c r="N352" s="765"/>
      <c r="O352"/>
      <c r="P352"/>
      <c r="Q352" s="408"/>
      <c r="R352" s="765"/>
      <c r="S352" s="408"/>
      <c r="T352" s="408"/>
    </row>
    <row r="353" spans="14:20" ht="15" x14ac:dyDescent="0.25">
      <c r="N353" s="765"/>
      <c r="O353"/>
      <c r="P353"/>
      <c r="Q353" s="408"/>
      <c r="R353" s="765"/>
      <c r="S353" s="408"/>
      <c r="T353" s="408"/>
    </row>
    <row r="354" spans="14:20" ht="15" x14ac:dyDescent="0.25">
      <c r="N354" s="765"/>
      <c r="O354"/>
      <c r="P354"/>
      <c r="Q354" s="408"/>
      <c r="R354" s="765"/>
      <c r="S354" s="408"/>
      <c r="T354" s="408"/>
    </row>
    <row r="355" spans="14:20" ht="15" x14ac:dyDescent="0.25">
      <c r="N355" s="765"/>
      <c r="O355"/>
      <c r="P355"/>
      <c r="Q355" s="408"/>
      <c r="R355" s="765"/>
      <c r="S355" s="408"/>
      <c r="T355" s="408"/>
    </row>
    <row r="356" spans="14:20" ht="15" x14ac:dyDescent="0.25">
      <c r="N356" s="765"/>
      <c r="O356"/>
      <c r="P356"/>
      <c r="Q356" s="408"/>
      <c r="R356" s="765"/>
      <c r="S356" s="408"/>
      <c r="T356" s="408"/>
    </row>
    <row r="357" spans="14:20" ht="15" x14ac:dyDescent="0.25">
      <c r="N357" s="765"/>
      <c r="O357"/>
      <c r="P357"/>
      <c r="Q357" s="408"/>
      <c r="R357" s="765"/>
      <c r="S357" s="408"/>
      <c r="T357" s="408"/>
    </row>
    <row r="358" spans="14:20" ht="15" x14ac:dyDescent="0.25">
      <c r="N358" s="765"/>
      <c r="O358"/>
      <c r="P358"/>
      <c r="Q358" s="408"/>
      <c r="R358" s="765"/>
      <c r="S358" s="408"/>
      <c r="T358" s="408"/>
    </row>
    <row r="359" spans="14:20" ht="15" x14ac:dyDescent="0.25">
      <c r="N359" s="765"/>
      <c r="O359"/>
      <c r="P359"/>
      <c r="Q359" s="408"/>
      <c r="R359" s="765"/>
      <c r="S359" s="408"/>
      <c r="T359" s="408"/>
    </row>
    <row r="360" spans="14:20" ht="15" x14ac:dyDescent="0.25">
      <c r="N360" s="765"/>
      <c r="O360"/>
      <c r="P360"/>
      <c r="Q360" s="408"/>
      <c r="R360" s="765"/>
      <c r="S360" s="408"/>
      <c r="T360" s="408"/>
    </row>
    <row r="361" spans="14:20" ht="15" x14ac:dyDescent="0.25">
      <c r="N361" s="765"/>
      <c r="O361"/>
      <c r="P361"/>
      <c r="Q361" s="408"/>
      <c r="R361" s="765"/>
      <c r="S361" s="408"/>
      <c r="T361" s="408"/>
    </row>
    <row r="362" spans="14:20" ht="15" x14ac:dyDescent="0.25">
      <c r="N362" s="765"/>
      <c r="O362"/>
      <c r="P362"/>
      <c r="Q362" s="408"/>
      <c r="R362" s="765"/>
      <c r="S362" s="408"/>
      <c r="T362" s="408"/>
    </row>
    <row r="363" spans="14:20" ht="15" x14ac:dyDescent="0.25">
      <c r="N363" s="765"/>
      <c r="O363"/>
      <c r="P363"/>
      <c r="Q363" s="408"/>
      <c r="R363" s="765"/>
      <c r="S363" s="408"/>
      <c r="T363" s="408"/>
    </row>
    <row r="364" spans="14:20" ht="15" x14ac:dyDescent="0.25">
      <c r="N364" s="765"/>
      <c r="O364"/>
      <c r="P364"/>
      <c r="Q364" s="408"/>
      <c r="R364" s="765"/>
      <c r="S364" s="408"/>
      <c r="T364" s="408"/>
    </row>
    <row r="365" spans="14:20" ht="15" x14ac:dyDescent="0.25">
      <c r="N365" s="765"/>
      <c r="O365"/>
      <c r="P365"/>
      <c r="Q365" s="408"/>
      <c r="R365" s="765"/>
      <c r="S365" s="408"/>
      <c r="T365" s="408"/>
    </row>
    <row r="366" spans="14:20" ht="15" x14ac:dyDescent="0.25">
      <c r="N366" s="765"/>
      <c r="O366"/>
      <c r="P366"/>
      <c r="Q366" s="408"/>
      <c r="R366" s="765"/>
      <c r="S366" s="408"/>
      <c r="T366" s="408"/>
    </row>
    <row r="367" spans="14:20" ht="15" x14ac:dyDescent="0.25">
      <c r="N367" s="765"/>
      <c r="O367"/>
      <c r="P367"/>
      <c r="Q367" s="408"/>
      <c r="R367" s="765"/>
      <c r="S367" s="408"/>
      <c r="T367" s="408"/>
    </row>
    <row r="368" spans="14:20" ht="15" x14ac:dyDescent="0.25">
      <c r="N368" s="765"/>
      <c r="O368"/>
      <c r="P368"/>
      <c r="Q368" s="408"/>
      <c r="R368" s="765"/>
      <c r="S368" s="408"/>
      <c r="T368" s="408"/>
    </row>
    <row r="369" spans="14:20" ht="15" x14ac:dyDescent="0.25">
      <c r="N369" s="765"/>
      <c r="O369"/>
      <c r="P369"/>
      <c r="Q369" s="408"/>
      <c r="R369" s="765"/>
      <c r="S369" s="408"/>
      <c r="T369" s="408"/>
    </row>
    <row r="370" spans="14:20" ht="15" x14ac:dyDescent="0.25">
      <c r="N370" s="765"/>
      <c r="O370"/>
      <c r="P370"/>
      <c r="Q370" s="408"/>
      <c r="R370" s="765"/>
      <c r="S370" s="408"/>
      <c r="T370" s="408"/>
    </row>
    <row r="371" spans="14:20" ht="15" x14ac:dyDescent="0.25">
      <c r="N371" s="765"/>
      <c r="O371"/>
      <c r="P371"/>
      <c r="Q371" s="408"/>
      <c r="R371" s="765"/>
      <c r="S371" s="408"/>
      <c r="T371" s="408"/>
    </row>
    <row r="372" spans="14:20" ht="15" x14ac:dyDescent="0.25">
      <c r="N372" s="765"/>
      <c r="O372"/>
      <c r="P372"/>
      <c r="Q372" s="408"/>
      <c r="R372" s="765"/>
      <c r="S372" s="408"/>
      <c r="T372" s="408"/>
    </row>
    <row r="373" spans="14:20" ht="15" x14ac:dyDescent="0.25">
      <c r="N373" s="765"/>
      <c r="O373"/>
      <c r="P373"/>
      <c r="Q373" s="408"/>
      <c r="R373" s="765"/>
      <c r="S373" s="408"/>
      <c r="T373" s="408"/>
    </row>
    <row r="374" spans="14:20" ht="15" x14ac:dyDescent="0.25">
      <c r="N374" s="765"/>
      <c r="O374"/>
      <c r="P374"/>
      <c r="Q374" s="408"/>
      <c r="R374" s="765"/>
      <c r="S374" s="408"/>
      <c r="T374" s="408"/>
    </row>
    <row r="375" spans="14:20" ht="15" x14ac:dyDescent="0.25">
      <c r="N375" s="765"/>
      <c r="O375"/>
      <c r="P375"/>
      <c r="Q375" s="408"/>
      <c r="R375" s="765"/>
      <c r="S375" s="408"/>
      <c r="T375" s="408"/>
    </row>
    <row r="376" spans="14:20" ht="15" x14ac:dyDescent="0.25">
      <c r="N376" s="765"/>
      <c r="O376"/>
      <c r="P376"/>
      <c r="Q376" s="408"/>
      <c r="R376" s="765"/>
      <c r="S376" s="408"/>
      <c r="T376" s="408"/>
    </row>
    <row r="377" spans="14:20" ht="15" x14ac:dyDescent="0.25">
      <c r="N377" s="765"/>
      <c r="O377"/>
      <c r="P377"/>
      <c r="Q377" s="408"/>
      <c r="R377" s="765"/>
      <c r="S377" s="408"/>
      <c r="T377" s="408"/>
    </row>
    <row r="378" spans="14:20" ht="15" x14ac:dyDescent="0.25">
      <c r="N378" s="765"/>
      <c r="O378"/>
      <c r="P378"/>
      <c r="Q378" s="408"/>
      <c r="R378" s="765"/>
      <c r="S378" s="408"/>
      <c r="T378" s="408"/>
    </row>
    <row r="379" spans="14:20" ht="15" x14ac:dyDescent="0.25">
      <c r="N379" s="765"/>
      <c r="O379"/>
      <c r="P379"/>
      <c r="Q379" s="408"/>
      <c r="R379" s="765"/>
      <c r="S379" s="408"/>
      <c r="T379" s="408"/>
    </row>
    <row r="380" spans="14:20" ht="15" x14ac:dyDescent="0.25">
      <c r="N380" s="765"/>
      <c r="O380"/>
      <c r="P380"/>
      <c r="Q380" s="408"/>
      <c r="R380" s="765"/>
      <c r="S380" s="408"/>
      <c r="T380" s="408"/>
    </row>
    <row r="381" spans="14:20" ht="15" x14ac:dyDescent="0.25">
      <c r="N381" s="765"/>
      <c r="O381"/>
      <c r="P381"/>
      <c r="Q381" s="408"/>
      <c r="R381" s="765"/>
      <c r="S381" s="408"/>
      <c r="T381" s="408"/>
    </row>
    <row r="382" spans="14:20" ht="15" x14ac:dyDescent="0.25">
      <c r="N382" s="765"/>
      <c r="O382"/>
      <c r="P382"/>
      <c r="Q382" s="408"/>
      <c r="R382" s="765"/>
      <c r="S382" s="408"/>
      <c r="T382" s="408"/>
    </row>
    <row r="383" spans="14:20" ht="15" x14ac:dyDescent="0.25">
      <c r="N383" s="765"/>
      <c r="O383"/>
      <c r="P383"/>
      <c r="Q383" s="408"/>
      <c r="R383" s="765"/>
      <c r="S383" s="408"/>
      <c r="T383" s="408"/>
    </row>
    <row r="384" spans="14:20" ht="15" x14ac:dyDescent="0.25">
      <c r="N384" s="765"/>
      <c r="O384"/>
      <c r="P384"/>
      <c r="Q384" s="408"/>
      <c r="R384" s="765"/>
      <c r="S384" s="408"/>
      <c r="T384" s="408"/>
    </row>
    <row r="385" spans="14:20" ht="15" x14ac:dyDescent="0.25">
      <c r="N385" s="765"/>
      <c r="O385"/>
      <c r="P385"/>
      <c r="Q385" s="408"/>
      <c r="R385" s="765"/>
      <c r="S385" s="408"/>
      <c r="T385" s="408"/>
    </row>
    <row r="386" spans="14:20" ht="15" x14ac:dyDescent="0.25">
      <c r="N386" s="765"/>
      <c r="O386"/>
      <c r="P386"/>
      <c r="Q386" s="408"/>
      <c r="R386" s="765"/>
      <c r="S386" s="408"/>
      <c r="T386" s="408"/>
    </row>
    <row r="387" spans="14:20" ht="15" x14ac:dyDescent="0.25">
      <c r="N387" s="765"/>
      <c r="O387"/>
      <c r="P387"/>
      <c r="Q387" s="408"/>
      <c r="R387" s="765"/>
      <c r="S387" s="408"/>
      <c r="T387" s="408"/>
    </row>
    <row r="388" spans="14:20" ht="15" x14ac:dyDescent="0.25">
      <c r="N388" s="765"/>
      <c r="O388"/>
      <c r="P388"/>
      <c r="Q388" s="408"/>
      <c r="R388" s="765"/>
      <c r="S388" s="408"/>
      <c r="T388" s="408"/>
    </row>
    <row r="389" spans="14:20" ht="15" x14ac:dyDescent="0.25">
      <c r="N389" s="765"/>
      <c r="O389"/>
      <c r="P389"/>
      <c r="Q389" s="408"/>
      <c r="R389" s="765"/>
      <c r="S389" s="408"/>
      <c r="T389" s="408"/>
    </row>
    <row r="390" spans="14:20" ht="15" x14ac:dyDescent="0.25">
      <c r="N390" s="765"/>
      <c r="O390"/>
      <c r="P390"/>
      <c r="Q390" s="408"/>
      <c r="R390" s="765"/>
      <c r="S390" s="408"/>
      <c r="T390" s="408"/>
    </row>
    <row r="391" spans="14:20" ht="15" x14ac:dyDescent="0.25">
      <c r="N391" s="765"/>
      <c r="O391"/>
      <c r="P391"/>
      <c r="Q391" s="408"/>
      <c r="R391" s="765"/>
      <c r="S391" s="408"/>
      <c r="T391" s="408"/>
    </row>
    <row r="392" spans="14:20" ht="15" x14ac:dyDescent="0.25">
      <c r="N392" s="765"/>
      <c r="O392"/>
      <c r="P392"/>
      <c r="Q392" s="408"/>
      <c r="R392" s="765"/>
      <c r="S392" s="408"/>
      <c r="T392" s="408"/>
    </row>
    <row r="393" spans="14:20" ht="15" x14ac:dyDescent="0.25">
      <c r="N393" s="765"/>
      <c r="O393"/>
      <c r="P393"/>
      <c r="Q393" s="408"/>
      <c r="R393" s="765"/>
      <c r="S393" s="408"/>
      <c r="T393" s="408"/>
    </row>
    <row r="394" spans="14:20" ht="15" x14ac:dyDescent="0.25">
      <c r="N394" s="765"/>
      <c r="O394"/>
      <c r="P394"/>
      <c r="Q394" s="408"/>
      <c r="R394" s="765"/>
      <c r="S394" s="408"/>
      <c r="T394" s="408"/>
    </row>
    <row r="395" spans="14:20" ht="15" x14ac:dyDescent="0.25">
      <c r="N395" s="765"/>
      <c r="O395"/>
      <c r="P395"/>
      <c r="Q395" s="408"/>
      <c r="R395" s="765"/>
      <c r="S395" s="408"/>
      <c r="T395" s="408"/>
    </row>
    <row r="396" spans="14:20" ht="15" x14ac:dyDescent="0.25">
      <c r="N396" s="765"/>
      <c r="O396"/>
      <c r="P396"/>
      <c r="Q396" s="408"/>
      <c r="R396" s="765"/>
      <c r="S396" s="408"/>
      <c r="T396" s="408"/>
    </row>
    <row r="397" spans="14:20" ht="15" x14ac:dyDescent="0.25">
      <c r="N397" s="765"/>
      <c r="O397"/>
      <c r="P397"/>
      <c r="Q397" s="408"/>
      <c r="R397" s="765"/>
      <c r="S397" s="408"/>
      <c r="T397" s="408"/>
    </row>
    <row r="398" spans="14:20" ht="15" x14ac:dyDescent="0.25">
      <c r="N398" s="765"/>
      <c r="O398"/>
      <c r="P398"/>
      <c r="Q398" s="408"/>
      <c r="R398" s="765"/>
      <c r="S398" s="408"/>
      <c r="T398" s="408"/>
    </row>
    <row r="399" spans="14:20" ht="15" x14ac:dyDescent="0.25">
      <c r="N399" s="765"/>
      <c r="O399"/>
      <c r="P399"/>
      <c r="Q399" s="408"/>
      <c r="R399" s="765"/>
      <c r="S399" s="408"/>
      <c r="T399" s="408"/>
    </row>
    <row r="400" spans="14:20" ht="15" x14ac:dyDescent="0.25">
      <c r="N400" s="765"/>
      <c r="O400"/>
      <c r="P400"/>
      <c r="Q400" s="408"/>
      <c r="R400" s="765"/>
      <c r="S400" s="408"/>
      <c r="T400" s="408"/>
    </row>
    <row r="401" spans="14:20" ht="15" x14ac:dyDescent="0.25">
      <c r="N401" s="765"/>
      <c r="O401"/>
      <c r="P401"/>
      <c r="Q401" s="408"/>
      <c r="R401" s="765"/>
      <c r="S401" s="408"/>
      <c r="T401" s="408"/>
    </row>
    <row r="402" spans="14:20" ht="15" x14ac:dyDescent="0.25">
      <c r="N402" s="765"/>
      <c r="O402"/>
      <c r="P402"/>
      <c r="Q402" s="408"/>
      <c r="R402" s="765"/>
      <c r="S402" s="408"/>
      <c r="T402" s="408"/>
    </row>
    <row r="403" spans="14:20" ht="15" x14ac:dyDescent="0.25">
      <c r="N403" s="765"/>
      <c r="O403"/>
      <c r="P403"/>
      <c r="Q403" s="408"/>
      <c r="R403" s="765"/>
      <c r="S403" s="408"/>
      <c r="T403" s="408"/>
    </row>
    <row r="404" spans="14:20" ht="15" x14ac:dyDescent="0.25">
      <c r="N404" s="765"/>
      <c r="O404"/>
      <c r="P404"/>
      <c r="Q404" s="408"/>
      <c r="R404" s="765"/>
      <c r="S404" s="408"/>
      <c r="T404" s="408"/>
    </row>
    <row r="405" spans="14:20" ht="15" x14ac:dyDescent="0.25">
      <c r="N405" s="765"/>
      <c r="O405"/>
      <c r="P405"/>
      <c r="Q405" s="408"/>
      <c r="R405" s="765"/>
      <c r="S405" s="408"/>
      <c r="T405" s="408"/>
    </row>
    <row r="406" spans="14:20" ht="15" x14ac:dyDescent="0.25">
      <c r="N406" s="765"/>
      <c r="O406"/>
      <c r="P406"/>
      <c r="Q406" s="408"/>
      <c r="R406" s="765"/>
      <c r="S406" s="408"/>
      <c r="T406" s="408"/>
    </row>
    <row r="407" spans="14:20" ht="15" x14ac:dyDescent="0.25">
      <c r="N407" s="765"/>
      <c r="O407"/>
      <c r="P407"/>
      <c r="Q407" s="408"/>
      <c r="R407" s="765"/>
      <c r="S407" s="408"/>
      <c r="T407" s="408"/>
    </row>
    <row r="408" spans="14:20" ht="15" x14ac:dyDescent="0.25">
      <c r="N408" s="765"/>
      <c r="O408"/>
      <c r="P408"/>
      <c r="Q408" s="408"/>
      <c r="R408" s="765"/>
      <c r="S408" s="408"/>
      <c r="T408" s="408"/>
    </row>
    <row r="409" spans="14:20" ht="15" x14ac:dyDescent="0.25">
      <c r="N409" s="765"/>
      <c r="O409"/>
      <c r="P409"/>
      <c r="Q409" s="408"/>
      <c r="R409" s="765"/>
      <c r="S409" s="408"/>
      <c r="T409" s="408"/>
    </row>
    <row r="410" spans="14:20" ht="15" x14ac:dyDescent="0.25">
      <c r="N410" s="765"/>
      <c r="O410"/>
      <c r="P410"/>
      <c r="Q410" s="408"/>
      <c r="R410" s="765"/>
      <c r="S410" s="408"/>
      <c r="T410" s="408"/>
    </row>
    <row r="411" spans="14:20" ht="15" x14ac:dyDescent="0.25">
      <c r="N411" s="765"/>
      <c r="O411"/>
      <c r="P411"/>
      <c r="Q411" s="408"/>
      <c r="R411" s="765"/>
      <c r="S411" s="408"/>
      <c r="T411" s="408"/>
    </row>
    <row r="412" spans="14:20" ht="15" x14ac:dyDescent="0.25">
      <c r="N412" s="765"/>
      <c r="O412"/>
      <c r="P412"/>
      <c r="Q412" s="408"/>
      <c r="R412" s="765"/>
      <c r="S412" s="408"/>
      <c r="T412" s="408"/>
    </row>
    <row r="413" spans="14:20" ht="15" x14ac:dyDescent="0.25">
      <c r="N413" s="765"/>
      <c r="O413"/>
      <c r="P413"/>
      <c r="Q413" s="408"/>
      <c r="R413" s="765"/>
      <c r="S413" s="408"/>
      <c r="T413" s="408"/>
    </row>
    <row r="414" spans="14:20" ht="15" x14ac:dyDescent="0.25">
      <c r="O414"/>
      <c r="P414"/>
      <c r="Q414" s="764"/>
      <c r="R414" s="763"/>
    </row>
  </sheetData>
  <mergeCells count="9">
    <mergeCell ref="A2:V2"/>
    <mergeCell ref="A7:A9"/>
    <mergeCell ref="B7:B8"/>
    <mergeCell ref="O7:R8"/>
    <mergeCell ref="U4:V4"/>
    <mergeCell ref="S7:V8"/>
    <mergeCell ref="G7:J8"/>
    <mergeCell ref="K7:N8"/>
    <mergeCell ref="C7:F8"/>
  </mergeCells>
  <printOptions horizontalCentered="1"/>
  <pageMargins left="0" right="0" top="0.59055118110236227" bottom="0.59055118110236227" header="0" footer="0"/>
  <pageSetup paperSize="9" scale="49" fitToHeight="0" orientation="landscape" r:id="rId1"/>
  <headerFooter differentOddEven="1" differentFirst="1">
    <oddFooter>&amp;P. oldal</oddFooter>
  </headerFooter>
  <rowBreaks count="1" manualBreakCount="1">
    <brk id="45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N157"/>
  <sheetViews>
    <sheetView view="pageLayout" topLeftCell="AZ43" zoomScaleNormal="100" zoomScaleSheetLayoutView="75" workbookViewId="0">
      <selection activeCell="V64" sqref="V64"/>
    </sheetView>
  </sheetViews>
  <sheetFormatPr defaultColWidth="9.140625" defaultRowHeight="12.75" x14ac:dyDescent="0.2"/>
  <cols>
    <col min="1" max="1" width="6.7109375" style="1154" customWidth="1"/>
    <col min="2" max="2" width="36.5703125" style="1" customWidth="1"/>
    <col min="3" max="3" width="11.7109375" style="1" hidden="1" customWidth="1"/>
    <col min="4" max="4" width="11.7109375" style="1" customWidth="1"/>
    <col min="5" max="5" width="11.85546875" style="1" bestFit="1" customWidth="1"/>
    <col min="6" max="6" width="12.140625" style="2" customWidth="1"/>
    <col min="7" max="7" width="11.85546875" style="1" hidden="1" customWidth="1"/>
    <col min="8" max="8" width="11.85546875" style="1" customWidth="1"/>
    <col min="9" max="9" width="11.85546875" style="1" bestFit="1" customWidth="1"/>
    <col min="10" max="10" width="12.42578125" style="2" customWidth="1"/>
    <col min="11" max="11" width="11.7109375" style="1" hidden="1" customWidth="1"/>
    <col min="12" max="12" width="11.7109375" style="1" customWidth="1"/>
    <col min="13" max="13" width="11.85546875" style="1" bestFit="1" customWidth="1"/>
    <col min="14" max="14" width="7.7109375" style="2" bestFit="1" customWidth="1"/>
    <col min="15" max="15" width="12.28515625" style="1" hidden="1" customWidth="1"/>
    <col min="16" max="16" width="12.28515625" style="1" customWidth="1"/>
    <col min="17" max="17" width="10.7109375" style="1" customWidth="1"/>
    <col min="18" max="18" width="12.42578125" style="2" customWidth="1"/>
    <col min="19" max="19" width="12.42578125" style="1" hidden="1" customWidth="1"/>
    <col min="20" max="20" width="12.42578125" style="1" customWidth="1"/>
    <col min="21" max="21" width="12.7109375" style="1" bestFit="1" customWidth="1"/>
    <col min="22" max="22" width="12.42578125" style="2" customWidth="1"/>
    <col min="23" max="23" width="11.85546875" style="1" hidden="1" customWidth="1"/>
    <col min="24" max="24" width="11.85546875" style="1" customWidth="1"/>
    <col min="25" max="25" width="13.28515625" style="1" customWidth="1"/>
    <col min="26" max="26" width="12.42578125" style="2" customWidth="1"/>
    <col min="27" max="27" width="11.7109375" style="1" hidden="1" customWidth="1"/>
    <col min="28" max="28" width="11.7109375" style="1" customWidth="1"/>
    <col min="29" max="29" width="10.7109375" style="1" bestFit="1" customWidth="1"/>
    <col min="30" max="30" width="12.42578125" style="2" customWidth="1"/>
    <col min="31" max="31" width="11.7109375" style="1" hidden="1" customWidth="1"/>
    <col min="32" max="32" width="11.7109375" style="1" customWidth="1"/>
    <col min="33" max="33" width="10.7109375" style="1" bestFit="1" customWidth="1"/>
    <col min="34" max="34" width="12.42578125" style="2" customWidth="1"/>
    <col min="35" max="35" width="11.85546875" style="1" hidden="1" customWidth="1"/>
    <col min="36" max="36" width="11.85546875" style="1" customWidth="1"/>
    <col min="37" max="37" width="11.85546875" style="1" bestFit="1" customWidth="1"/>
    <col min="38" max="38" width="12.42578125" style="2" customWidth="1"/>
    <col min="39" max="39" width="11.85546875" style="1" hidden="1" customWidth="1"/>
    <col min="40" max="40" width="11.85546875" style="1" customWidth="1"/>
    <col min="41" max="41" width="11.85546875" style="1" bestFit="1" customWidth="1"/>
    <col min="42" max="42" width="12.42578125" style="2" customWidth="1"/>
    <col min="43" max="43" width="11.7109375" style="1" hidden="1" customWidth="1"/>
    <col min="44" max="44" width="11.7109375" style="1" customWidth="1"/>
    <col min="45" max="45" width="11.85546875" style="1" bestFit="1" customWidth="1"/>
    <col min="46" max="46" width="12.42578125" style="2" customWidth="1"/>
    <col min="47" max="47" width="11.85546875" style="1" hidden="1" customWidth="1"/>
    <col min="48" max="48" width="11.85546875" style="1" customWidth="1"/>
    <col min="49" max="49" width="11.85546875" style="1" bestFit="1" customWidth="1"/>
    <col min="50" max="50" width="12.42578125" style="2" customWidth="1"/>
    <col min="51" max="51" width="11.7109375" style="1" hidden="1" customWidth="1"/>
    <col min="52" max="52" width="11.7109375" style="1" customWidth="1"/>
    <col min="53" max="53" width="10.7109375" style="1" bestFit="1" customWidth="1"/>
    <col min="54" max="54" width="12.42578125" style="2" customWidth="1"/>
    <col min="55" max="55" width="11.7109375" style="1" hidden="1" customWidth="1"/>
    <col min="56" max="56" width="11.7109375" style="1" customWidth="1"/>
    <col min="57" max="57" width="10.7109375" style="1" bestFit="1" customWidth="1"/>
    <col min="58" max="58" width="9.7109375" style="2" customWidth="1"/>
    <col min="59" max="59" width="13" style="1" hidden="1" customWidth="1"/>
    <col min="60" max="60" width="13" style="1" customWidth="1"/>
    <col min="61" max="61" width="11.85546875" style="1" customWidth="1"/>
    <col min="62" max="62" width="10.28515625" style="2" customWidth="1"/>
    <col min="63" max="16384" width="9.140625" style="1"/>
  </cols>
  <sheetData>
    <row r="1" spans="1:62" ht="13.5" hidden="1" thickBot="1" x14ac:dyDescent="0.25"/>
    <row r="2" spans="1:62" ht="37.5" hidden="1" customHeight="1" thickBot="1" x14ac:dyDescent="0.25">
      <c r="A2" s="1255"/>
      <c r="B2" s="1153"/>
      <c r="C2" s="1336"/>
      <c r="D2" s="1336"/>
      <c r="E2" s="1336"/>
      <c r="F2" s="1336"/>
      <c r="G2" s="1336"/>
      <c r="H2" s="1336"/>
      <c r="I2" s="1336"/>
      <c r="J2" s="1336"/>
      <c r="K2" s="1336"/>
      <c r="L2" s="1336"/>
      <c r="M2" s="1336"/>
      <c r="N2" s="1336"/>
      <c r="O2" s="1336"/>
      <c r="P2" s="1336"/>
      <c r="Q2" s="1336"/>
      <c r="R2" s="1336"/>
      <c r="S2" s="1336"/>
      <c r="T2" s="1336"/>
      <c r="U2" s="1336"/>
      <c r="V2" s="1336"/>
    </row>
    <row r="3" spans="1:62" ht="13.15" customHeight="1" x14ac:dyDescent="0.2">
      <c r="A3" s="1255"/>
      <c r="B3" s="1260"/>
      <c r="C3" s="1259"/>
      <c r="D3" s="1259"/>
      <c r="E3" s="1259"/>
      <c r="F3" s="1259"/>
      <c r="G3" s="1259"/>
      <c r="H3" s="1259"/>
      <c r="I3" s="1259"/>
      <c r="J3" s="1259"/>
      <c r="K3" s="1259"/>
      <c r="L3" s="1259"/>
      <c r="M3" s="1259"/>
      <c r="N3" s="1259"/>
      <c r="O3" s="1259"/>
      <c r="P3" s="1259"/>
      <c r="Q3" s="1259"/>
      <c r="R3" s="1259"/>
      <c r="S3" s="1259"/>
      <c r="T3" s="1259"/>
      <c r="U3" s="1259"/>
      <c r="V3" s="1259"/>
      <c r="BI3" s="1338" t="s">
        <v>863</v>
      </c>
      <c r="BJ3" s="1338"/>
    </row>
    <row r="4" spans="1:62" ht="13.9" customHeight="1" x14ac:dyDescent="0.2">
      <c r="A4" s="1255"/>
      <c r="B4" s="1260"/>
      <c r="C4" s="1259"/>
      <c r="D4" s="1259"/>
      <c r="E4" s="1259"/>
      <c r="F4" s="1259"/>
      <c r="G4" s="1259"/>
      <c r="H4" s="1259"/>
      <c r="I4" s="1259"/>
      <c r="J4" s="1259"/>
      <c r="K4" s="1259"/>
      <c r="L4" s="1259"/>
      <c r="M4" s="1259"/>
      <c r="N4" s="1259"/>
      <c r="O4" s="1259"/>
      <c r="P4" s="1259"/>
      <c r="Q4" s="1259"/>
      <c r="R4" s="1259"/>
      <c r="S4" s="1259"/>
      <c r="T4" s="1259"/>
      <c r="U4" s="1259"/>
      <c r="V4" s="1259"/>
    </row>
    <row r="5" spans="1:62" ht="14.45" customHeight="1" thickBot="1" x14ac:dyDescent="0.25">
      <c r="A5" s="1255"/>
      <c r="B5" s="1260"/>
      <c r="C5" s="1259"/>
      <c r="D5" s="1259"/>
      <c r="E5" s="1259"/>
      <c r="F5" s="1259"/>
      <c r="G5" s="1259"/>
      <c r="H5" s="1259"/>
      <c r="I5" s="1259"/>
      <c r="J5" s="1259"/>
      <c r="K5" s="1259"/>
      <c r="L5" s="1259"/>
      <c r="M5" s="1259"/>
      <c r="N5" s="1259"/>
      <c r="O5" s="1259"/>
      <c r="P5" s="1259"/>
      <c r="Q5" s="1259"/>
      <c r="R5" s="1259"/>
      <c r="S5" s="1259"/>
      <c r="T5" s="1259"/>
      <c r="U5" s="1259"/>
      <c r="V5" s="1259"/>
      <c r="BI5" s="1337" t="s">
        <v>277</v>
      </c>
      <c r="BJ5" s="1337"/>
    </row>
    <row r="6" spans="1:62" ht="33" customHeight="1" thickTop="1" x14ac:dyDescent="0.2">
      <c r="A6" s="1058"/>
      <c r="B6" s="1057" t="s">
        <v>438</v>
      </c>
      <c r="C6" s="1329" t="s">
        <v>831</v>
      </c>
      <c r="D6" s="1329"/>
      <c r="E6" s="1330"/>
      <c r="F6" s="1331"/>
      <c r="G6" s="1328" t="s">
        <v>852</v>
      </c>
      <c r="H6" s="1329"/>
      <c r="I6" s="1330"/>
      <c r="J6" s="1331"/>
      <c r="K6" s="1328" t="s">
        <v>851</v>
      </c>
      <c r="L6" s="1329"/>
      <c r="M6" s="1330"/>
      <c r="N6" s="1331"/>
      <c r="O6" s="1328" t="s">
        <v>850</v>
      </c>
      <c r="P6" s="1329"/>
      <c r="Q6" s="1330"/>
      <c r="R6" s="1331"/>
      <c r="S6" s="1328" t="s">
        <v>827</v>
      </c>
      <c r="T6" s="1329"/>
      <c r="U6" s="1330"/>
      <c r="V6" s="1331"/>
      <c r="W6" s="1328" t="s">
        <v>826</v>
      </c>
      <c r="X6" s="1329"/>
      <c r="Y6" s="1330"/>
      <c r="Z6" s="1331"/>
      <c r="AA6" s="1328" t="s">
        <v>825</v>
      </c>
      <c r="AB6" s="1329"/>
      <c r="AC6" s="1330"/>
      <c r="AD6" s="1331"/>
      <c r="AE6" s="1328" t="s">
        <v>824</v>
      </c>
      <c r="AF6" s="1329"/>
      <c r="AG6" s="1330"/>
      <c r="AH6" s="1331"/>
      <c r="AI6" s="1328" t="s">
        <v>823</v>
      </c>
      <c r="AJ6" s="1329"/>
      <c r="AK6" s="1330"/>
      <c r="AL6" s="1331"/>
      <c r="AM6" s="1328" t="s">
        <v>848</v>
      </c>
      <c r="AN6" s="1329"/>
      <c r="AO6" s="1330"/>
      <c r="AP6" s="1331"/>
      <c r="AQ6" s="1328" t="s">
        <v>821</v>
      </c>
      <c r="AR6" s="1329"/>
      <c r="AS6" s="1330"/>
      <c r="AT6" s="1331"/>
      <c r="AU6" s="1328" t="s">
        <v>847</v>
      </c>
      <c r="AV6" s="1329"/>
      <c r="AW6" s="1330"/>
      <c r="AX6" s="1331"/>
      <c r="AY6" s="1328" t="s">
        <v>819</v>
      </c>
      <c r="AZ6" s="1329"/>
      <c r="BA6" s="1330"/>
      <c r="BB6" s="1331"/>
      <c r="BC6" s="1328" t="s">
        <v>818</v>
      </c>
      <c r="BD6" s="1329"/>
      <c r="BE6" s="1330"/>
      <c r="BF6" s="1331"/>
      <c r="BG6" s="1339" t="s">
        <v>817</v>
      </c>
      <c r="BH6" s="1340"/>
      <c r="BI6" s="1341"/>
      <c r="BJ6" s="1342"/>
    </row>
    <row r="7" spans="1:62" s="860" customFormat="1" ht="12.75" customHeight="1" x14ac:dyDescent="0.25">
      <c r="A7" s="1332"/>
      <c r="B7" s="1334" t="s">
        <v>778</v>
      </c>
      <c r="C7" s="1322" t="s">
        <v>777</v>
      </c>
      <c r="D7" s="1314" t="s">
        <v>835</v>
      </c>
      <c r="E7" s="1316" t="s">
        <v>834</v>
      </c>
      <c r="F7" s="1320" t="s">
        <v>857</v>
      </c>
      <c r="G7" s="1322" t="s">
        <v>777</v>
      </c>
      <c r="H7" s="1314" t="s">
        <v>835</v>
      </c>
      <c r="I7" s="1316" t="s">
        <v>834</v>
      </c>
      <c r="J7" s="1320" t="s">
        <v>857</v>
      </c>
      <c r="K7" s="1322" t="s">
        <v>777</v>
      </c>
      <c r="L7" s="1314" t="s">
        <v>835</v>
      </c>
      <c r="M7" s="1316" t="s">
        <v>834</v>
      </c>
      <c r="N7" s="1320" t="s">
        <v>857</v>
      </c>
      <c r="O7" s="1322" t="s">
        <v>777</v>
      </c>
      <c r="P7" s="1314" t="s">
        <v>835</v>
      </c>
      <c r="Q7" s="1316" t="s">
        <v>834</v>
      </c>
      <c r="R7" s="1320" t="s">
        <v>857</v>
      </c>
      <c r="S7" s="1322" t="s">
        <v>777</v>
      </c>
      <c r="T7" s="1314" t="s">
        <v>835</v>
      </c>
      <c r="U7" s="1316" t="s">
        <v>834</v>
      </c>
      <c r="V7" s="1320" t="s">
        <v>857</v>
      </c>
      <c r="W7" s="1322" t="s">
        <v>777</v>
      </c>
      <c r="X7" s="1314" t="s">
        <v>835</v>
      </c>
      <c r="Y7" s="1316" t="s">
        <v>834</v>
      </c>
      <c r="Z7" s="1320" t="s">
        <v>857</v>
      </c>
      <c r="AA7" s="1322" t="s">
        <v>777</v>
      </c>
      <c r="AB7" s="1314" t="s">
        <v>835</v>
      </c>
      <c r="AC7" s="1316" t="s">
        <v>834</v>
      </c>
      <c r="AD7" s="1320" t="s">
        <v>857</v>
      </c>
      <c r="AE7" s="1322" t="s">
        <v>777</v>
      </c>
      <c r="AF7" s="1314" t="s">
        <v>835</v>
      </c>
      <c r="AG7" s="1316" t="s">
        <v>834</v>
      </c>
      <c r="AH7" s="1320" t="s">
        <v>857</v>
      </c>
      <c r="AI7" s="1322" t="s">
        <v>777</v>
      </c>
      <c r="AJ7" s="1314" t="s">
        <v>835</v>
      </c>
      <c r="AK7" s="1316" t="s">
        <v>834</v>
      </c>
      <c r="AL7" s="1320" t="s">
        <v>857</v>
      </c>
      <c r="AM7" s="1322" t="s">
        <v>777</v>
      </c>
      <c r="AN7" s="1314" t="s">
        <v>835</v>
      </c>
      <c r="AO7" s="1316" t="s">
        <v>834</v>
      </c>
      <c r="AP7" s="1320" t="s">
        <v>857</v>
      </c>
      <c r="AQ7" s="1322" t="s">
        <v>777</v>
      </c>
      <c r="AR7" s="1314" t="s">
        <v>835</v>
      </c>
      <c r="AS7" s="1316" t="s">
        <v>834</v>
      </c>
      <c r="AT7" s="1320" t="s">
        <v>857</v>
      </c>
      <c r="AU7" s="1322" t="s">
        <v>777</v>
      </c>
      <c r="AV7" s="1314" t="s">
        <v>835</v>
      </c>
      <c r="AW7" s="1316" t="s">
        <v>834</v>
      </c>
      <c r="AX7" s="1320" t="s">
        <v>857</v>
      </c>
      <c r="AY7" s="1322" t="s">
        <v>777</v>
      </c>
      <c r="AZ7" s="1314" t="s">
        <v>835</v>
      </c>
      <c r="BA7" s="1316" t="s">
        <v>834</v>
      </c>
      <c r="BB7" s="1320" t="s">
        <v>857</v>
      </c>
      <c r="BC7" s="1322" t="s">
        <v>777</v>
      </c>
      <c r="BD7" s="1314" t="s">
        <v>835</v>
      </c>
      <c r="BE7" s="1316" t="s">
        <v>834</v>
      </c>
      <c r="BF7" s="1320" t="s">
        <v>857</v>
      </c>
      <c r="BG7" s="1322" t="s">
        <v>777</v>
      </c>
      <c r="BH7" s="1314" t="s">
        <v>835</v>
      </c>
      <c r="BI7" s="1316" t="s">
        <v>834</v>
      </c>
      <c r="BJ7" s="1324" t="s">
        <v>857</v>
      </c>
    </row>
    <row r="8" spans="1:62" s="854" customFormat="1" ht="13.5" customHeight="1" thickBot="1" x14ac:dyDescent="0.25">
      <c r="A8" s="1333"/>
      <c r="B8" s="1335"/>
      <c r="C8" s="1323"/>
      <c r="D8" s="1315"/>
      <c r="E8" s="1317"/>
      <c r="F8" s="1321"/>
      <c r="G8" s="1323"/>
      <c r="H8" s="1315"/>
      <c r="I8" s="1317"/>
      <c r="J8" s="1321"/>
      <c r="K8" s="1323"/>
      <c r="L8" s="1315"/>
      <c r="M8" s="1317"/>
      <c r="N8" s="1321"/>
      <c r="O8" s="1323"/>
      <c r="P8" s="1315"/>
      <c r="Q8" s="1317"/>
      <c r="R8" s="1321"/>
      <c r="S8" s="1323"/>
      <c r="T8" s="1315"/>
      <c r="U8" s="1317"/>
      <c r="V8" s="1321"/>
      <c r="W8" s="1323"/>
      <c r="X8" s="1315"/>
      <c r="Y8" s="1317"/>
      <c r="Z8" s="1321"/>
      <c r="AA8" s="1323"/>
      <c r="AB8" s="1315"/>
      <c r="AC8" s="1317"/>
      <c r="AD8" s="1321"/>
      <c r="AE8" s="1323"/>
      <c r="AF8" s="1315"/>
      <c r="AG8" s="1317"/>
      <c r="AH8" s="1321"/>
      <c r="AI8" s="1323"/>
      <c r="AJ8" s="1315"/>
      <c r="AK8" s="1317"/>
      <c r="AL8" s="1321"/>
      <c r="AM8" s="1323"/>
      <c r="AN8" s="1315"/>
      <c r="AO8" s="1317"/>
      <c r="AP8" s="1321"/>
      <c r="AQ8" s="1323"/>
      <c r="AR8" s="1315"/>
      <c r="AS8" s="1317"/>
      <c r="AT8" s="1321"/>
      <c r="AU8" s="1323"/>
      <c r="AV8" s="1315"/>
      <c r="AW8" s="1317"/>
      <c r="AX8" s="1321"/>
      <c r="AY8" s="1323"/>
      <c r="AZ8" s="1315"/>
      <c r="BA8" s="1317"/>
      <c r="BB8" s="1321"/>
      <c r="BC8" s="1323"/>
      <c r="BD8" s="1315"/>
      <c r="BE8" s="1317"/>
      <c r="BF8" s="1321"/>
      <c r="BG8" s="1323"/>
      <c r="BH8" s="1315"/>
      <c r="BI8" s="1317"/>
      <c r="BJ8" s="1325"/>
    </row>
    <row r="9" spans="1:62" s="183" customFormat="1" ht="19.5" customHeight="1" x14ac:dyDescent="0.2">
      <c r="A9" s="1056" t="s">
        <v>64</v>
      </c>
      <c r="B9" s="1055" t="s">
        <v>424</v>
      </c>
      <c r="C9" s="1112"/>
      <c r="D9" s="1112"/>
      <c r="E9" s="1112"/>
      <c r="F9" s="1111"/>
      <c r="G9" s="1112"/>
      <c r="H9" s="1112"/>
      <c r="I9" s="1112"/>
      <c r="J9" s="1111"/>
      <c r="K9" s="1112"/>
      <c r="L9" s="1112"/>
      <c r="M9" s="1112"/>
      <c r="N9" s="1111"/>
      <c r="O9" s="1112"/>
      <c r="P9" s="1112"/>
      <c r="Q9" s="1112"/>
      <c r="R9" s="1111"/>
      <c r="S9" s="1112"/>
      <c r="T9" s="1112"/>
      <c r="U9" s="1112"/>
      <c r="V9" s="1111"/>
      <c r="W9" s="1112"/>
      <c r="X9" s="1112"/>
      <c r="Y9" s="1112"/>
      <c r="Z9" s="1111"/>
      <c r="AA9" s="1112"/>
      <c r="AB9" s="1112"/>
      <c r="AC9" s="1112"/>
      <c r="AD9" s="1111"/>
      <c r="AE9" s="1112"/>
      <c r="AF9" s="1112"/>
      <c r="AG9" s="1112"/>
      <c r="AH9" s="1111"/>
      <c r="AI9" s="1112"/>
      <c r="AJ9" s="1112"/>
      <c r="AK9" s="1112"/>
      <c r="AL9" s="1111"/>
      <c r="AM9" s="1112"/>
      <c r="AN9" s="1112"/>
      <c r="AO9" s="1112"/>
      <c r="AP9" s="1111"/>
      <c r="AQ9" s="1112"/>
      <c r="AR9" s="1112"/>
      <c r="AS9" s="1112"/>
      <c r="AT9" s="1111"/>
      <c r="AU9" s="1112"/>
      <c r="AV9" s="1112"/>
      <c r="AW9" s="1112"/>
      <c r="AX9" s="1111"/>
      <c r="AY9" s="1112"/>
      <c r="AZ9" s="1112"/>
      <c r="BA9" s="1112"/>
      <c r="BB9" s="1111"/>
      <c r="BC9" s="1112"/>
      <c r="BD9" s="1112"/>
      <c r="BE9" s="1112"/>
      <c r="BF9" s="1111"/>
      <c r="BG9" s="1110"/>
      <c r="BH9" s="1109"/>
      <c r="BI9" s="1109"/>
      <c r="BJ9" s="1108"/>
    </row>
    <row r="10" spans="1:62" s="183" customFormat="1" ht="29.25" customHeight="1" x14ac:dyDescent="0.25">
      <c r="A10" s="1001" t="s">
        <v>72</v>
      </c>
      <c r="B10" s="1025" t="s">
        <v>267</v>
      </c>
      <c r="C10" s="1049"/>
      <c r="D10" s="1049"/>
      <c r="E10" s="1049"/>
      <c r="F10" s="1107"/>
      <c r="G10" s="1049"/>
      <c r="H10" s="1049"/>
      <c r="I10" s="1049"/>
      <c r="J10" s="1107"/>
      <c r="K10" s="1049"/>
      <c r="L10" s="1049"/>
      <c r="M10" s="1049"/>
      <c r="N10" s="1107"/>
      <c r="O10" s="1049"/>
      <c r="P10" s="1049"/>
      <c r="Q10" s="1049"/>
      <c r="R10" s="1107"/>
      <c r="S10" s="1049"/>
      <c r="T10" s="1049"/>
      <c r="U10" s="1049"/>
      <c r="V10" s="1107"/>
      <c r="W10" s="1049"/>
      <c r="X10" s="1049"/>
      <c r="Y10" s="1049"/>
      <c r="Z10" s="1107"/>
      <c r="AA10" s="1049"/>
      <c r="AB10" s="1049"/>
      <c r="AC10" s="1049"/>
      <c r="AD10" s="1107"/>
      <c r="AE10" s="1049"/>
      <c r="AF10" s="1049"/>
      <c r="AG10" s="1049"/>
      <c r="AH10" s="1107"/>
      <c r="AI10" s="1049"/>
      <c r="AJ10" s="1049"/>
      <c r="AK10" s="1049"/>
      <c r="AL10" s="1107"/>
      <c r="AM10" s="1049"/>
      <c r="AN10" s="1049"/>
      <c r="AO10" s="1049"/>
      <c r="AP10" s="1107"/>
      <c r="AQ10" s="1049"/>
      <c r="AR10" s="1049"/>
      <c r="AS10" s="1049"/>
      <c r="AT10" s="1107"/>
      <c r="AU10" s="1049"/>
      <c r="AV10" s="1049"/>
      <c r="AW10" s="1049"/>
      <c r="AX10" s="1107"/>
      <c r="AY10" s="1049"/>
      <c r="AZ10" s="1049"/>
      <c r="BA10" s="1049"/>
      <c r="BB10" s="1107"/>
      <c r="BC10" s="1049"/>
      <c r="BD10" s="1049"/>
      <c r="BE10" s="1049"/>
      <c r="BF10" s="1107"/>
      <c r="BG10" s="1073"/>
      <c r="BH10" s="1246">
        <f t="shared" ref="BH10:BH38" si="0">D10+H10+L10+P10+T10+X10+AB10+AF10+AJ10+AN10+AR10+AV10+AZ10+BD10</f>
        <v>0</v>
      </c>
      <c r="BI10" s="1246">
        <f t="shared" ref="BI10:BI38" si="1">E10+I10+M10+Q10+U10+Y10+AC10+AG10+AK10+AO10+AS10+AW10+BA10+BE10</f>
        <v>0</v>
      </c>
      <c r="BJ10" s="1106"/>
    </row>
    <row r="11" spans="1:62" s="153" customFormat="1" ht="12.75" hidden="1" customHeight="1" x14ac:dyDescent="0.2">
      <c r="A11" s="992"/>
      <c r="B11" s="991" t="s">
        <v>839</v>
      </c>
      <c r="C11" s="1099"/>
      <c r="D11" s="1099"/>
      <c r="E11" s="1099"/>
      <c r="F11" s="988"/>
      <c r="G11" s="1099"/>
      <c r="H11" s="1099"/>
      <c r="I11" s="1099"/>
      <c r="J11" s="988"/>
      <c r="K11" s="1099"/>
      <c r="L11" s="1099"/>
      <c r="M11" s="1099"/>
      <c r="N11" s="988"/>
      <c r="O11" s="1099"/>
      <c r="P11" s="1099"/>
      <c r="Q11" s="1099"/>
      <c r="R11" s="988"/>
      <c r="S11" s="1099"/>
      <c r="T11" s="1099"/>
      <c r="U11" s="1099"/>
      <c r="V11" s="988"/>
      <c r="W11" s="1099"/>
      <c r="X11" s="1099"/>
      <c r="Y11" s="1099"/>
      <c r="Z11" s="988"/>
      <c r="AA11" s="1099"/>
      <c r="AB11" s="1099"/>
      <c r="AC11" s="1099"/>
      <c r="AD11" s="988"/>
      <c r="AE11" s="1099"/>
      <c r="AF11" s="1099"/>
      <c r="AG11" s="1099"/>
      <c r="AH11" s="988"/>
      <c r="AI11" s="1099"/>
      <c r="AJ11" s="1099"/>
      <c r="AK11" s="1099"/>
      <c r="AL11" s="988"/>
      <c r="AM11" s="1099"/>
      <c r="AN11" s="1099"/>
      <c r="AO11" s="1099"/>
      <c r="AP11" s="988"/>
      <c r="AQ11" s="1099"/>
      <c r="AR11" s="1099"/>
      <c r="AS11" s="1099"/>
      <c r="AT11" s="988"/>
      <c r="AU11" s="1099"/>
      <c r="AV11" s="1099"/>
      <c r="AW11" s="1099"/>
      <c r="AX11" s="988"/>
      <c r="AY11" s="1099"/>
      <c r="AZ11" s="1099"/>
      <c r="BA11" s="1099"/>
      <c r="BB11" s="988"/>
      <c r="BC11" s="1099"/>
      <c r="BD11" s="1099"/>
      <c r="BE11" s="1099"/>
      <c r="BF11" s="988"/>
      <c r="BG11" s="1073"/>
      <c r="BH11" s="1252">
        <f t="shared" si="0"/>
        <v>0</v>
      </c>
      <c r="BI11" s="1252">
        <f t="shared" si="1"/>
        <v>0</v>
      </c>
      <c r="BJ11" s="1103"/>
    </row>
    <row r="12" spans="1:62" s="153" customFormat="1" ht="12.75" hidden="1" customHeight="1" x14ac:dyDescent="0.2">
      <c r="A12" s="992"/>
      <c r="B12" s="991" t="s">
        <v>838</v>
      </c>
      <c r="C12" s="1099"/>
      <c r="D12" s="1099"/>
      <c r="E12" s="1099"/>
      <c r="F12" s="988"/>
      <c r="G12" s="1099"/>
      <c r="H12" s="1099"/>
      <c r="I12" s="1099"/>
      <c r="J12" s="988"/>
      <c r="K12" s="1099"/>
      <c r="L12" s="1099"/>
      <c r="M12" s="1099"/>
      <c r="N12" s="988"/>
      <c r="O12" s="1099"/>
      <c r="P12" s="1099"/>
      <c r="Q12" s="1099"/>
      <c r="R12" s="988"/>
      <c r="S12" s="1099"/>
      <c r="T12" s="1099"/>
      <c r="U12" s="1099"/>
      <c r="V12" s="988"/>
      <c r="W12" s="1099"/>
      <c r="X12" s="1099"/>
      <c r="Y12" s="1099"/>
      <c r="Z12" s="988"/>
      <c r="AA12" s="1099"/>
      <c r="AB12" s="1099"/>
      <c r="AC12" s="1099"/>
      <c r="AD12" s="988"/>
      <c r="AE12" s="1099"/>
      <c r="AF12" s="1099"/>
      <c r="AG12" s="1099"/>
      <c r="AH12" s="988"/>
      <c r="AI12" s="1099"/>
      <c r="AJ12" s="1099"/>
      <c r="AK12" s="1099"/>
      <c r="AL12" s="988"/>
      <c r="AM12" s="1099"/>
      <c r="AN12" s="1099"/>
      <c r="AO12" s="1099"/>
      <c r="AP12" s="988"/>
      <c r="AQ12" s="1099"/>
      <c r="AR12" s="1099"/>
      <c r="AS12" s="1099"/>
      <c r="AT12" s="988"/>
      <c r="AU12" s="1099"/>
      <c r="AV12" s="1099"/>
      <c r="AW12" s="1099"/>
      <c r="AX12" s="988"/>
      <c r="AY12" s="1099"/>
      <c r="AZ12" s="1099"/>
      <c r="BA12" s="1099"/>
      <c r="BB12" s="988"/>
      <c r="BC12" s="1099"/>
      <c r="BD12" s="1099"/>
      <c r="BE12" s="1099"/>
      <c r="BF12" s="988"/>
      <c r="BG12" s="1073"/>
      <c r="BH12" s="1252">
        <f t="shared" si="0"/>
        <v>0</v>
      </c>
      <c r="BI12" s="1252">
        <f t="shared" si="1"/>
        <v>0</v>
      </c>
      <c r="BJ12" s="1103"/>
    </row>
    <row r="13" spans="1:62" s="153" customFormat="1" ht="12.75" hidden="1" customHeight="1" x14ac:dyDescent="0.2">
      <c r="A13" s="992"/>
      <c r="B13" s="991" t="s">
        <v>837</v>
      </c>
      <c r="C13" s="1099"/>
      <c r="D13" s="1099"/>
      <c r="E13" s="1099"/>
      <c r="F13" s="988"/>
      <c r="G13" s="1099"/>
      <c r="H13" s="1099"/>
      <c r="I13" s="1099"/>
      <c r="J13" s="988"/>
      <c r="K13" s="1099"/>
      <c r="L13" s="1099"/>
      <c r="M13" s="1099"/>
      <c r="N13" s="988"/>
      <c r="O13" s="1099"/>
      <c r="P13" s="1099"/>
      <c r="Q13" s="1099"/>
      <c r="R13" s="988"/>
      <c r="S13" s="1099"/>
      <c r="T13" s="1099"/>
      <c r="U13" s="1099"/>
      <c r="V13" s="988"/>
      <c r="W13" s="1099"/>
      <c r="X13" s="1099"/>
      <c r="Y13" s="1099"/>
      <c r="Z13" s="988"/>
      <c r="AA13" s="1099"/>
      <c r="AB13" s="1099"/>
      <c r="AC13" s="1099"/>
      <c r="AD13" s="988"/>
      <c r="AE13" s="1099"/>
      <c r="AF13" s="1099"/>
      <c r="AG13" s="1099"/>
      <c r="AH13" s="988"/>
      <c r="AI13" s="1099"/>
      <c r="AJ13" s="1099"/>
      <c r="AK13" s="1099"/>
      <c r="AL13" s="988"/>
      <c r="AM13" s="1099"/>
      <c r="AN13" s="1099"/>
      <c r="AO13" s="1099"/>
      <c r="AP13" s="988"/>
      <c r="AQ13" s="1099"/>
      <c r="AR13" s="1099"/>
      <c r="AS13" s="1099"/>
      <c r="AT13" s="988"/>
      <c r="AU13" s="1099"/>
      <c r="AV13" s="1099"/>
      <c r="AW13" s="1099"/>
      <c r="AX13" s="988"/>
      <c r="AY13" s="1099"/>
      <c r="AZ13" s="1099"/>
      <c r="BA13" s="1099"/>
      <c r="BB13" s="988"/>
      <c r="BC13" s="1099"/>
      <c r="BD13" s="1099"/>
      <c r="BE13" s="1099"/>
      <c r="BF13" s="988"/>
      <c r="BG13" s="1073"/>
      <c r="BH13" s="1252">
        <f t="shared" si="0"/>
        <v>0</v>
      </c>
      <c r="BI13" s="1252">
        <f t="shared" si="1"/>
        <v>0</v>
      </c>
      <c r="BJ13" s="1103"/>
    </row>
    <row r="14" spans="1:62" s="183" customFormat="1" ht="29.25" customHeight="1" x14ac:dyDescent="0.25">
      <c r="A14" s="1010" t="s">
        <v>70</v>
      </c>
      <c r="B14" s="1025" t="s">
        <v>232</v>
      </c>
      <c r="C14" s="1045"/>
      <c r="D14" s="1045"/>
      <c r="E14" s="1045"/>
      <c r="F14" s="1105"/>
      <c r="G14" s="1045"/>
      <c r="H14" s="1045"/>
      <c r="I14" s="1045"/>
      <c r="J14" s="1105"/>
      <c r="K14" s="1045"/>
      <c r="L14" s="1045"/>
      <c r="M14" s="1045"/>
      <c r="N14" s="1105"/>
      <c r="O14" s="1045"/>
      <c r="P14" s="1045"/>
      <c r="Q14" s="1045"/>
      <c r="R14" s="1105"/>
      <c r="S14" s="1045"/>
      <c r="T14" s="1045"/>
      <c r="U14" s="1045"/>
      <c r="V14" s="1105"/>
      <c r="W14" s="1045"/>
      <c r="X14" s="1045"/>
      <c r="Y14" s="1045"/>
      <c r="Z14" s="1105"/>
      <c r="AA14" s="1045"/>
      <c r="AB14" s="1045"/>
      <c r="AC14" s="1045"/>
      <c r="AD14" s="1105"/>
      <c r="AE14" s="1045"/>
      <c r="AF14" s="1045"/>
      <c r="AG14" s="1045"/>
      <c r="AH14" s="1105"/>
      <c r="AI14" s="1045"/>
      <c r="AJ14" s="1045"/>
      <c r="AK14" s="1045"/>
      <c r="AL14" s="1105"/>
      <c r="AM14" s="1045"/>
      <c r="AN14" s="1045"/>
      <c r="AO14" s="1045"/>
      <c r="AP14" s="1105"/>
      <c r="AQ14" s="1045"/>
      <c r="AR14" s="1045"/>
      <c r="AS14" s="1045"/>
      <c r="AT14" s="1105"/>
      <c r="AU14" s="1045"/>
      <c r="AV14" s="1045"/>
      <c r="AW14" s="1045"/>
      <c r="AX14" s="1105"/>
      <c r="AY14" s="1045"/>
      <c r="AZ14" s="1045"/>
      <c r="BA14" s="1045"/>
      <c r="BB14" s="1105"/>
      <c r="BC14" s="1045"/>
      <c r="BD14" s="1045"/>
      <c r="BE14" s="1045"/>
      <c r="BF14" s="1105"/>
      <c r="BG14" s="1073"/>
      <c r="BH14" s="1252">
        <f t="shared" si="0"/>
        <v>0</v>
      </c>
      <c r="BI14" s="1252">
        <f t="shared" si="1"/>
        <v>0</v>
      </c>
      <c r="BJ14" s="1104"/>
    </row>
    <row r="15" spans="1:62" s="153" customFormat="1" ht="12.75" hidden="1" customHeight="1" x14ac:dyDescent="0.2">
      <c r="A15" s="992"/>
      <c r="B15" s="991" t="s">
        <v>839</v>
      </c>
      <c r="C15" s="1099"/>
      <c r="D15" s="1099"/>
      <c r="E15" s="1099"/>
      <c r="F15" s="988"/>
      <c r="G15" s="1099"/>
      <c r="H15" s="1099"/>
      <c r="I15" s="1099"/>
      <c r="J15" s="988"/>
      <c r="K15" s="1099"/>
      <c r="L15" s="1099"/>
      <c r="M15" s="1099"/>
      <c r="N15" s="988"/>
      <c r="O15" s="1099"/>
      <c r="P15" s="1099"/>
      <c r="Q15" s="1099"/>
      <c r="R15" s="988"/>
      <c r="S15" s="1099"/>
      <c r="T15" s="1099"/>
      <c r="U15" s="1099"/>
      <c r="V15" s="988"/>
      <c r="W15" s="1099"/>
      <c r="X15" s="1099"/>
      <c r="Y15" s="1099"/>
      <c r="Z15" s="988"/>
      <c r="AA15" s="1099"/>
      <c r="AB15" s="1099"/>
      <c r="AC15" s="1099"/>
      <c r="AD15" s="988"/>
      <c r="AE15" s="1099"/>
      <c r="AF15" s="1099"/>
      <c r="AG15" s="1099"/>
      <c r="AH15" s="988"/>
      <c r="AI15" s="1099"/>
      <c r="AJ15" s="1099"/>
      <c r="AK15" s="1099"/>
      <c r="AL15" s="988"/>
      <c r="AM15" s="1099"/>
      <c r="AN15" s="1099"/>
      <c r="AO15" s="1099"/>
      <c r="AP15" s="988"/>
      <c r="AQ15" s="1099"/>
      <c r="AR15" s="1099"/>
      <c r="AS15" s="1099"/>
      <c r="AT15" s="988"/>
      <c r="AU15" s="1099"/>
      <c r="AV15" s="1099"/>
      <c r="AW15" s="1099"/>
      <c r="AX15" s="988"/>
      <c r="AY15" s="1099"/>
      <c r="AZ15" s="1099"/>
      <c r="BA15" s="1099"/>
      <c r="BB15" s="988"/>
      <c r="BC15" s="1099"/>
      <c r="BD15" s="1099"/>
      <c r="BE15" s="1099"/>
      <c r="BF15" s="988"/>
      <c r="BG15" s="1073"/>
      <c r="BH15" s="1252">
        <f t="shared" si="0"/>
        <v>0</v>
      </c>
      <c r="BI15" s="1252">
        <f t="shared" si="1"/>
        <v>0</v>
      </c>
      <c r="BJ15" s="1103"/>
    </row>
    <row r="16" spans="1:62" s="153" customFormat="1" ht="12.75" hidden="1" customHeight="1" x14ac:dyDescent="0.2">
      <c r="A16" s="992"/>
      <c r="B16" s="991" t="s">
        <v>838</v>
      </c>
      <c r="C16" s="1099"/>
      <c r="D16" s="1099"/>
      <c r="E16" s="1099"/>
      <c r="F16" s="988"/>
      <c r="G16" s="1099"/>
      <c r="H16" s="1099"/>
      <c r="I16" s="1099"/>
      <c r="J16" s="988"/>
      <c r="K16" s="1099"/>
      <c r="L16" s="1099"/>
      <c r="M16" s="1099"/>
      <c r="N16" s="988"/>
      <c r="O16" s="1099"/>
      <c r="P16" s="1099"/>
      <c r="Q16" s="1099"/>
      <c r="R16" s="988"/>
      <c r="S16" s="1099"/>
      <c r="T16" s="1099"/>
      <c r="U16" s="1099"/>
      <c r="V16" s="988"/>
      <c r="W16" s="1099"/>
      <c r="X16" s="1099"/>
      <c r="Y16" s="1099"/>
      <c r="Z16" s="988"/>
      <c r="AA16" s="1099"/>
      <c r="AB16" s="1099"/>
      <c r="AC16" s="1099"/>
      <c r="AD16" s="988"/>
      <c r="AE16" s="1099"/>
      <c r="AF16" s="1099"/>
      <c r="AG16" s="1099"/>
      <c r="AH16" s="988"/>
      <c r="AI16" s="1099"/>
      <c r="AJ16" s="1099"/>
      <c r="AK16" s="1099"/>
      <c r="AL16" s="988"/>
      <c r="AM16" s="1099"/>
      <c r="AN16" s="1099"/>
      <c r="AO16" s="1099"/>
      <c r="AP16" s="988"/>
      <c r="AQ16" s="1099"/>
      <c r="AR16" s="1099"/>
      <c r="AS16" s="1099"/>
      <c r="AT16" s="988"/>
      <c r="AU16" s="1099"/>
      <c r="AV16" s="1099"/>
      <c r="AW16" s="1099"/>
      <c r="AX16" s="988"/>
      <c r="AY16" s="1099"/>
      <c r="AZ16" s="1099"/>
      <c r="BA16" s="1099"/>
      <c r="BB16" s="988"/>
      <c r="BC16" s="1099"/>
      <c r="BD16" s="1099"/>
      <c r="BE16" s="1099"/>
      <c r="BF16" s="988"/>
      <c r="BG16" s="1073"/>
      <c r="BH16" s="1252">
        <f t="shared" si="0"/>
        <v>0</v>
      </c>
      <c r="BI16" s="1252">
        <f t="shared" si="1"/>
        <v>0</v>
      </c>
      <c r="BJ16" s="1103"/>
    </row>
    <row r="17" spans="1:62" s="153" customFormat="1" ht="12.75" hidden="1" customHeight="1" x14ac:dyDescent="0.2">
      <c r="A17" s="992"/>
      <c r="B17" s="991" t="s">
        <v>837</v>
      </c>
      <c r="C17" s="1099"/>
      <c r="D17" s="1099"/>
      <c r="E17" s="1099"/>
      <c r="F17" s="988"/>
      <c r="G17" s="1099"/>
      <c r="H17" s="1099"/>
      <c r="I17" s="1099"/>
      <c r="J17" s="988"/>
      <c r="K17" s="1099"/>
      <c r="L17" s="1099"/>
      <c r="M17" s="1099"/>
      <c r="N17" s="988"/>
      <c r="O17" s="1099"/>
      <c r="P17" s="1099"/>
      <c r="Q17" s="1099"/>
      <c r="R17" s="988"/>
      <c r="S17" s="1099"/>
      <c r="T17" s="1099"/>
      <c r="U17" s="1099"/>
      <c r="V17" s="988"/>
      <c r="W17" s="1099"/>
      <c r="X17" s="1099"/>
      <c r="Y17" s="1099"/>
      <c r="Z17" s="988"/>
      <c r="AA17" s="1099"/>
      <c r="AB17" s="1099"/>
      <c r="AC17" s="1099"/>
      <c r="AD17" s="988"/>
      <c r="AE17" s="1099"/>
      <c r="AF17" s="1099"/>
      <c r="AG17" s="1099"/>
      <c r="AH17" s="988"/>
      <c r="AI17" s="1099"/>
      <c r="AJ17" s="1099"/>
      <c r="AK17" s="1099"/>
      <c r="AL17" s="988"/>
      <c r="AM17" s="1099"/>
      <c r="AN17" s="1099"/>
      <c r="AO17" s="1099"/>
      <c r="AP17" s="988"/>
      <c r="AQ17" s="1099"/>
      <c r="AR17" s="1099"/>
      <c r="AS17" s="1099"/>
      <c r="AT17" s="988"/>
      <c r="AU17" s="1099"/>
      <c r="AV17" s="1099"/>
      <c r="AW17" s="1099"/>
      <c r="AX17" s="988"/>
      <c r="AY17" s="1099"/>
      <c r="AZ17" s="1099"/>
      <c r="BA17" s="1099"/>
      <c r="BB17" s="988"/>
      <c r="BC17" s="1099"/>
      <c r="BD17" s="1099"/>
      <c r="BE17" s="1099"/>
      <c r="BF17" s="988"/>
      <c r="BG17" s="1073"/>
      <c r="BH17" s="1252">
        <f t="shared" si="0"/>
        <v>0</v>
      </c>
      <c r="BI17" s="1252">
        <f t="shared" si="1"/>
        <v>0</v>
      </c>
      <c r="BJ17" s="1103"/>
    </row>
    <row r="18" spans="1:62" s="183" customFormat="1" ht="18" customHeight="1" x14ac:dyDescent="0.25">
      <c r="A18" s="1010" t="s">
        <v>91</v>
      </c>
      <c r="B18" s="1025" t="s">
        <v>225</v>
      </c>
      <c r="C18" s="1045"/>
      <c r="D18" s="1045"/>
      <c r="E18" s="1045"/>
      <c r="F18" s="1105"/>
      <c r="G18" s="1045"/>
      <c r="H18" s="1045"/>
      <c r="I18" s="1045"/>
      <c r="J18" s="1105"/>
      <c r="K18" s="1045"/>
      <c r="L18" s="1045"/>
      <c r="M18" s="1045"/>
      <c r="N18" s="1105"/>
      <c r="O18" s="1045"/>
      <c r="P18" s="1045"/>
      <c r="Q18" s="1045"/>
      <c r="R18" s="1105"/>
      <c r="S18" s="1045"/>
      <c r="T18" s="1045"/>
      <c r="U18" s="1045"/>
      <c r="V18" s="1105"/>
      <c r="W18" s="1045"/>
      <c r="X18" s="1045"/>
      <c r="Y18" s="1045"/>
      <c r="Z18" s="1105"/>
      <c r="AA18" s="1045"/>
      <c r="AB18" s="1045"/>
      <c r="AC18" s="1045"/>
      <c r="AD18" s="1105"/>
      <c r="AE18" s="1045"/>
      <c r="AF18" s="1045"/>
      <c r="AG18" s="1045"/>
      <c r="AH18" s="1105"/>
      <c r="AI18" s="1045"/>
      <c r="AJ18" s="1045"/>
      <c r="AK18" s="1045"/>
      <c r="AL18" s="1105"/>
      <c r="AM18" s="1045"/>
      <c r="AN18" s="1045"/>
      <c r="AO18" s="1045"/>
      <c r="AP18" s="1105"/>
      <c r="AQ18" s="1045"/>
      <c r="AR18" s="1045"/>
      <c r="AS18" s="1045"/>
      <c r="AT18" s="1105"/>
      <c r="AU18" s="1045"/>
      <c r="AV18" s="1045"/>
      <c r="AW18" s="1045"/>
      <c r="AX18" s="1105"/>
      <c r="AY18" s="1045"/>
      <c r="AZ18" s="1045"/>
      <c r="BA18" s="1045"/>
      <c r="BB18" s="1105"/>
      <c r="BC18" s="1045"/>
      <c r="BD18" s="1045"/>
      <c r="BE18" s="1045"/>
      <c r="BF18" s="1105"/>
      <c r="BG18" s="1073"/>
      <c r="BH18" s="1252">
        <f t="shared" si="0"/>
        <v>0</v>
      </c>
      <c r="BI18" s="1252">
        <f t="shared" si="1"/>
        <v>0</v>
      </c>
      <c r="BJ18" s="1104"/>
    </row>
    <row r="19" spans="1:62" s="153" customFormat="1" ht="12.75" hidden="1" customHeight="1" x14ac:dyDescent="0.2">
      <c r="A19" s="992"/>
      <c r="B19" s="991" t="s">
        <v>839</v>
      </c>
      <c r="C19" s="1099"/>
      <c r="D19" s="1099"/>
      <c r="E19" s="1099"/>
      <c r="F19" s="988"/>
      <c r="G19" s="1099"/>
      <c r="H19" s="1099"/>
      <c r="I19" s="1099"/>
      <c r="J19" s="988"/>
      <c r="K19" s="1099"/>
      <c r="L19" s="1099"/>
      <c r="M19" s="1099"/>
      <c r="N19" s="988"/>
      <c r="O19" s="1099"/>
      <c r="P19" s="1099"/>
      <c r="Q19" s="1099"/>
      <c r="R19" s="988"/>
      <c r="S19" s="1099"/>
      <c r="T19" s="1099"/>
      <c r="U19" s="1099"/>
      <c r="V19" s="988"/>
      <c r="W19" s="1099"/>
      <c r="X19" s="1099"/>
      <c r="Y19" s="1099"/>
      <c r="Z19" s="988"/>
      <c r="AA19" s="1099"/>
      <c r="AB19" s="1099"/>
      <c r="AC19" s="1099"/>
      <c r="AD19" s="988"/>
      <c r="AE19" s="1099"/>
      <c r="AF19" s="1099"/>
      <c r="AG19" s="1099"/>
      <c r="AH19" s="988"/>
      <c r="AI19" s="1099"/>
      <c r="AJ19" s="1099"/>
      <c r="AK19" s="1099"/>
      <c r="AL19" s="988"/>
      <c r="AM19" s="1099"/>
      <c r="AN19" s="1099"/>
      <c r="AO19" s="1099"/>
      <c r="AP19" s="988"/>
      <c r="AQ19" s="1099"/>
      <c r="AR19" s="1099"/>
      <c r="AS19" s="1099"/>
      <c r="AT19" s="988"/>
      <c r="AU19" s="1099"/>
      <c r="AV19" s="1099"/>
      <c r="AW19" s="1099"/>
      <c r="AX19" s="988"/>
      <c r="AY19" s="1099"/>
      <c r="AZ19" s="1099"/>
      <c r="BA19" s="1099"/>
      <c r="BB19" s="988"/>
      <c r="BC19" s="1099"/>
      <c r="BD19" s="1099"/>
      <c r="BE19" s="1099"/>
      <c r="BF19" s="988"/>
      <c r="BG19" s="1073"/>
      <c r="BH19" s="1252">
        <f t="shared" si="0"/>
        <v>0</v>
      </c>
      <c r="BI19" s="1252">
        <f t="shared" si="1"/>
        <v>0</v>
      </c>
      <c r="BJ19" s="1103"/>
    </row>
    <row r="20" spans="1:62" s="153" customFormat="1" ht="12.75" hidden="1" customHeight="1" x14ac:dyDescent="0.2">
      <c r="A20" s="992"/>
      <c r="B20" s="991" t="s">
        <v>838</v>
      </c>
      <c r="C20" s="1099"/>
      <c r="D20" s="1099"/>
      <c r="E20" s="1099"/>
      <c r="F20" s="988"/>
      <c r="G20" s="1099"/>
      <c r="H20" s="1099"/>
      <c r="I20" s="1099"/>
      <c r="J20" s="988"/>
      <c r="K20" s="1099"/>
      <c r="L20" s="1099"/>
      <c r="M20" s="1099"/>
      <c r="N20" s="988"/>
      <c r="O20" s="1099"/>
      <c r="P20" s="1099"/>
      <c r="Q20" s="1099"/>
      <c r="R20" s="988"/>
      <c r="S20" s="1099"/>
      <c r="T20" s="1099"/>
      <c r="U20" s="1099"/>
      <c r="V20" s="988"/>
      <c r="W20" s="1099"/>
      <c r="X20" s="1099"/>
      <c r="Y20" s="1099"/>
      <c r="Z20" s="988"/>
      <c r="AA20" s="1099"/>
      <c r="AB20" s="1099"/>
      <c r="AC20" s="1099"/>
      <c r="AD20" s="988"/>
      <c r="AE20" s="1099"/>
      <c r="AF20" s="1099"/>
      <c r="AG20" s="1099"/>
      <c r="AH20" s="988"/>
      <c r="AI20" s="1099"/>
      <c r="AJ20" s="1099"/>
      <c r="AK20" s="1099"/>
      <c r="AL20" s="988"/>
      <c r="AM20" s="1099"/>
      <c r="AN20" s="1099"/>
      <c r="AO20" s="1099"/>
      <c r="AP20" s="988"/>
      <c r="AQ20" s="1099"/>
      <c r="AR20" s="1099"/>
      <c r="AS20" s="1099"/>
      <c r="AT20" s="988"/>
      <c r="AU20" s="1099"/>
      <c r="AV20" s="1099"/>
      <c r="AW20" s="1099"/>
      <c r="AX20" s="988"/>
      <c r="AY20" s="1099"/>
      <c r="AZ20" s="1099"/>
      <c r="BA20" s="1099"/>
      <c r="BB20" s="988"/>
      <c r="BC20" s="1099"/>
      <c r="BD20" s="1099"/>
      <c r="BE20" s="1099"/>
      <c r="BF20" s="988"/>
      <c r="BG20" s="1073"/>
      <c r="BH20" s="1252">
        <f t="shared" si="0"/>
        <v>0</v>
      </c>
      <c r="BI20" s="1252">
        <f t="shared" si="1"/>
        <v>0</v>
      </c>
      <c r="BJ20" s="1103"/>
    </row>
    <row r="21" spans="1:62" s="153" customFormat="1" ht="12.75" hidden="1" customHeight="1" x14ac:dyDescent="0.2">
      <c r="A21" s="992"/>
      <c r="B21" s="991" t="s">
        <v>837</v>
      </c>
      <c r="C21" s="1099"/>
      <c r="D21" s="1099"/>
      <c r="E21" s="1099"/>
      <c r="F21" s="988"/>
      <c r="G21" s="1099"/>
      <c r="H21" s="1099"/>
      <c r="I21" s="1099"/>
      <c r="J21" s="988"/>
      <c r="K21" s="1099"/>
      <c r="L21" s="1099"/>
      <c r="M21" s="1099"/>
      <c r="N21" s="988"/>
      <c r="O21" s="1099"/>
      <c r="P21" s="1099"/>
      <c r="Q21" s="1099"/>
      <c r="R21" s="988"/>
      <c r="S21" s="1099"/>
      <c r="T21" s="1099"/>
      <c r="U21" s="1099"/>
      <c r="V21" s="988"/>
      <c r="W21" s="1099"/>
      <c r="X21" s="1099"/>
      <c r="Y21" s="1099"/>
      <c r="Z21" s="988"/>
      <c r="AA21" s="1099"/>
      <c r="AB21" s="1099"/>
      <c r="AC21" s="1099"/>
      <c r="AD21" s="988"/>
      <c r="AE21" s="1099"/>
      <c r="AF21" s="1099"/>
      <c r="AG21" s="1099"/>
      <c r="AH21" s="988"/>
      <c r="AI21" s="1099"/>
      <c r="AJ21" s="1099"/>
      <c r="AK21" s="1099"/>
      <c r="AL21" s="988"/>
      <c r="AM21" s="1099"/>
      <c r="AN21" s="1099"/>
      <c r="AO21" s="1099"/>
      <c r="AP21" s="988"/>
      <c r="AQ21" s="1099"/>
      <c r="AR21" s="1099"/>
      <c r="AS21" s="1099"/>
      <c r="AT21" s="988"/>
      <c r="AU21" s="1099"/>
      <c r="AV21" s="1099"/>
      <c r="AW21" s="1099"/>
      <c r="AX21" s="988"/>
      <c r="AY21" s="1099"/>
      <c r="AZ21" s="1099"/>
      <c r="BA21" s="1099"/>
      <c r="BB21" s="988"/>
      <c r="BC21" s="1099"/>
      <c r="BD21" s="1099"/>
      <c r="BE21" s="1099"/>
      <c r="BF21" s="988"/>
      <c r="BG21" s="1073"/>
      <c r="BH21" s="1252">
        <f t="shared" si="0"/>
        <v>0</v>
      </c>
      <c r="BI21" s="1252">
        <f t="shared" si="1"/>
        <v>0</v>
      </c>
      <c r="BJ21" s="1103"/>
    </row>
    <row r="22" spans="1:62" s="159" customFormat="1" ht="20.25" customHeight="1" x14ac:dyDescent="0.25">
      <c r="A22" s="1010" t="s">
        <v>66</v>
      </c>
      <c r="B22" s="1025" t="s">
        <v>187</v>
      </c>
      <c r="C22" s="1254">
        <f>C23+C24+C25</f>
        <v>0</v>
      </c>
      <c r="D22" s="1254">
        <f>D23+D24+D25</f>
        <v>0</v>
      </c>
      <c r="E22" s="1254">
        <f>E23+E24+E25</f>
        <v>0</v>
      </c>
      <c r="F22" s="1008"/>
      <c r="G22" s="1254">
        <f>G23+G24+G25</f>
        <v>0</v>
      </c>
      <c r="H22" s="1254">
        <f>H23+H24+H25</f>
        <v>0</v>
      </c>
      <c r="I22" s="1254">
        <f>I23+I24+I25</f>
        <v>0</v>
      </c>
      <c r="J22" s="1008"/>
      <c r="K22" s="1254">
        <f>K23+K24+K25</f>
        <v>0</v>
      </c>
      <c r="L22" s="1254">
        <f>L23+L24+L25</f>
        <v>0</v>
      </c>
      <c r="M22" s="1254">
        <f>M23+M24+M25</f>
        <v>0</v>
      </c>
      <c r="N22" s="1008"/>
      <c r="O22" s="1254">
        <f>O23+O24+O25</f>
        <v>0</v>
      </c>
      <c r="P22" s="1254">
        <f>P23+P24+P25</f>
        <v>0</v>
      </c>
      <c r="Q22" s="1254">
        <f>Q23+Q24+Q25</f>
        <v>0</v>
      </c>
      <c r="R22" s="1008"/>
      <c r="S22" s="1254">
        <f>S23+S24+S25</f>
        <v>0</v>
      </c>
      <c r="T22" s="1254">
        <f>T23+T24+T25</f>
        <v>0</v>
      </c>
      <c r="U22" s="1254">
        <f>U23+U24+U25</f>
        <v>0</v>
      </c>
      <c r="V22" s="1008"/>
      <c r="W22" s="1254">
        <f>W23+W24+W25</f>
        <v>0</v>
      </c>
      <c r="X22" s="1254">
        <f>X23+X24+X25</f>
        <v>0</v>
      </c>
      <c r="Y22" s="1254">
        <f>Y23+Y24+Y25</f>
        <v>0</v>
      </c>
      <c r="Z22" s="1008"/>
      <c r="AA22" s="1254">
        <f>AA23+AA24+AA25</f>
        <v>0</v>
      </c>
      <c r="AB22" s="1254">
        <f>AB23+AB24+AB25</f>
        <v>0</v>
      </c>
      <c r="AC22" s="1254">
        <f>AC23+AC24+AC25</f>
        <v>0</v>
      </c>
      <c r="AD22" s="1008"/>
      <c r="AE22" s="1254">
        <f>AE23+AE24+AE25</f>
        <v>0</v>
      </c>
      <c r="AF22" s="1254">
        <f>AF23+AF24+AF25</f>
        <v>0</v>
      </c>
      <c r="AG22" s="1254">
        <f>AG23+AG24+AG25</f>
        <v>0</v>
      </c>
      <c r="AH22" s="1008"/>
      <c r="AI22" s="1254">
        <f>AI23+AI24+AI25</f>
        <v>0</v>
      </c>
      <c r="AJ22" s="1254">
        <f>AJ23+AJ24+AJ25</f>
        <v>0</v>
      </c>
      <c r="AK22" s="1254">
        <f>AK23+AK24+AK25</f>
        <v>0</v>
      </c>
      <c r="AL22" s="1008"/>
      <c r="AM22" s="1254">
        <f>AM23+AM24+AM25</f>
        <v>0</v>
      </c>
      <c r="AN22" s="1254">
        <f>AN23+AN24+AN25</f>
        <v>0</v>
      </c>
      <c r="AO22" s="1254">
        <f>AO23+AO24+AO25</f>
        <v>0</v>
      </c>
      <c r="AP22" s="1008" t="s">
        <v>396</v>
      </c>
      <c r="AQ22" s="1254">
        <f>AQ23+AQ24+AQ25</f>
        <v>0</v>
      </c>
      <c r="AR22" s="1254">
        <f>AR23+AR24+AR25</f>
        <v>0</v>
      </c>
      <c r="AS22" s="1254">
        <f>AS23+AS24+AS25</f>
        <v>0</v>
      </c>
      <c r="AT22" s="1008" t="s">
        <v>396</v>
      </c>
      <c r="AU22" s="1254">
        <f>AU23+AU24+AU25</f>
        <v>0</v>
      </c>
      <c r="AV22" s="1254">
        <f>AV23+AV24+AV25</f>
        <v>0</v>
      </c>
      <c r="AW22" s="1254">
        <f>AW23+AW24+AW25</f>
        <v>0</v>
      </c>
      <c r="AX22" s="1008"/>
      <c r="AY22" s="1254">
        <f>AY23+AY24+AY25</f>
        <v>0</v>
      </c>
      <c r="AZ22" s="1254">
        <f>AZ23+AZ24+AZ25</f>
        <v>0</v>
      </c>
      <c r="BA22" s="1254">
        <f>BA23+BA24+BA25</f>
        <v>0</v>
      </c>
      <c r="BB22" s="1008"/>
      <c r="BC22" s="1254">
        <f>BC23+BC24+BC25</f>
        <v>0</v>
      </c>
      <c r="BD22" s="1254">
        <f>BD23+BD24+BD25</f>
        <v>0</v>
      </c>
      <c r="BE22" s="1254">
        <f>BE23+BE24+BE25</f>
        <v>0</v>
      </c>
      <c r="BF22" s="1008"/>
      <c r="BG22" s="1073"/>
      <c r="BH22" s="1246">
        <f t="shared" si="0"/>
        <v>0</v>
      </c>
      <c r="BI22" s="1246">
        <f t="shared" si="1"/>
        <v>0</v>
      </c>
      <c r="BJ22" s="1008"/>
    </row>
    <row r="23" spans="1:62" s="153" customFormat="1" ht="14.25" hidden="1" customHeight="1" x14ac:dyDescent="0.2">
      <c r="A23" s="992"/>
      <c r="B23" s="991" t="s">
        <v>839</v>
      </c>
      <c r="C23" s="1099"/>
      <c r="D23" s="1099"/>
      <c r="E23" s="1099"/>
      <c r="F23" s="988"/>
      <c r="G23" s="1099"/>
      <c r="H23" s="1099"/>
      <c r="I23" s="1099"/>
      <c r="J23" s="988"/>
      <c r="K23" s="1099"/>
      <c r="L23" s="1099"/>
      <c r="M23" s="1099"/>
      <c r="N23" s="988"/>
      <c r="O23" s="1099"/>
      <c r="P23" s="1099"/>
      <c r="Q23" s="1099"/>
      <c r="R23" s="988"/>
      <c r="S23" s="1099"/>
      <c r="T23" s="1099"/>
      <c r="U23" s="1099"/>
      <c r="V23" s="1253"/>
      <c r="W23" s="1099"/>
      <c r="X23" s="1099"/>
      <c r="Y23" s="1099"/>
      <c r="Z23" s="988"/>
      <c r="AA23" s="1099"/>
      <c r="AB23" s="1099"/>
      <c r="AC23" s="1099"/>
      <c r="AD23" s="988"/>
      <c r="AE23" s="1099"/>
      <c r="AF23" s="1099"/>
      <c r="AG23" s="1099"/>
      <c r="AH23" s="988"/>
      <c r="AI23" s="1099"/>
      <c r="AJ23" s="1099"/>
      <c r="AK23" s="1099"/>
      <c r="AL23" s="988"/>
      <c r="AM23" s="1099"/>
      <c r="AN23" s="1099"/>
      <c r="AO23" s="1099"/>
      <c r="AP23" s="988"/>
      <c r="AQ23" s="1099"/>
      <c r="AR23" s="1099"/>
      <c r="AS23" s="1099"/>
      <c r="AT23" s="988"/>
      <c r="AU23" s="1099"/>
      <c r="AV23" s="1099"/>
      <c r="AW23" s="1099"/>
      <c r="AX23" s="988"/>
      <c r="AY23" s="1099"/>
      <c r="AZ23" s="1099"/>
      <c r="BA23" s="1099"/>
      <c r="BB23" s="988"/>
      <c r="BC23" s="1099"/>
      <c r="BD23" s="1099"/>
      <c r="BE23" s="1099"/>
      <c r="BF23" s="988"/>
      <c r="BG23" s="1073"/>
      <c r="BH23" s="1252">
        <f t="shared" si="0"/>
        <v>0</v>
      </c>
      <c r="BI23" s="1252">
        <f t="shared" si="1"/>
        <v>0</v>
      </c>
      <c r="BJ23" s="1103"/>
    </row>
    <row r="24" spans="1:62" ht="14.25" hidden="1" customHeight="1" x14ac:dyDescent="0.2">
      <c r="A24" s="992"/>
      <c r="B24" s="991" t="s">
        <v>838</v>
      </c>
      <c r="C24" s="1036"/>
      <c r="D24" s="1036"/>
      <c r="E24" s="1036"/>
      <c r="F24" s="1102"/>
      <c r="G24" s="1036"/>
      <c r="H24" s="1036"/>
      <c r="I24" s="1036"/>
      <c r="J24" s="1102"/>
      <c r="K24" s="1036"/>
      <c r="L24" s="1036"/>
      <c r="M24" s="1036"/>
      <c r="N24" s="1102"/>
      <c r="O24" s="1036">
        <v>0</v>
      </c>
      <c r="P24" s="1036">
        <v>0</v>
      </c>
      <c r="Q24" s="1036">
        <v>0</v>
      </c>
      <c r="R24" s="1102"/>
      <c r="S24" s="1036"/>
      <c r="T24" s="1036"/>
      <c r="U24" s="1036"/>
      <c r="V24" s="1253"/>
      <c r="W24" s="1036"/>
      <c r="X24" s="1036"/>
      <c r="Y24" s="1036"/>
      <c r="Z24" s="1102"/>
      <c r="AA24" s="1036"/>
      <c r="AB24" s="1036"/>
      <c r="AC24" s="1036"/>
      <c r="AD24" s="1102"/>
      <c r="AE24" s="1036"/>
      <c r="AF24" s="1036"/>
      <c r="AG24" s="1036"/>
      <c r="AH24" s="1102"/>
      <c r="AI24" s="1036"/>
      <c r="AJ24" s="1036"/>
      <c r="AK24" s="1036"/>
      <c r="AL24" s="1102"/>
      <c r="AM24" s="1036"/>
      <c r="AN24" s="1036"/>
      <c r="AO24" s="1036"/>
      <c r="AP24" s="1102"/>
      <c r="AQ24" s="1036"/>
      <c r="AR24" s="1036"/>
      <c r="AS24" s="1036"/>
      <c r="AT24" s="1102"/>
      <c r="AU24" s="1036"/>
      <c r="AV24" s="1036"/>
      <c r="AW24" s="1036"/>
      <c r="AX24" s="1102"/>
      <c r="AY24" s="1036"/>
      <c r="AZ24" s="1036"/>
      <c r="BA24" s="1036"/>
      <c r="BB24" s="1102"/>
      <c r="BC24" s="1036"/>
      <c r="BD24" s="1036"/>
      <c r="BE24" s="1036"/>
      <c r="BF24" s="1102"/>
      <c r="BG24" s="1073"/>
      <c r="BH24" s="1252">
        <f t="shared" si="0"/>
        <v>0</v>
      </c>
      <c r="BI24" s="1252">
        <f t="shared" si="1"/>
        <v>0</v>
      </c>
      <c r="BJ24" s="1102"/>
    </row>
    <row r="25" spans="1:62" s="153" customFormat="1" ht="14.25" hidden="1" customHeight="1" x14ac:dyDescent="0.2">
      <c r="A25" s="992"/>
      <c r="B25" s="991" t="s">
        <v>837</v>
      </c>
      <c r="C25" s="1099"/>
      <c r="D25" s="1099"/>
      <c r="E25" s="1099"/>
      <c r="F25" s="988"/>
      <c r="G25" s="1099"/>
      <c r="H25" s="1099"/>
      <c r="I25" s="1099"/>
      <c r="J25" s="988"/>
      <c r="K25" s="1099"/>
      <c r="L25" s="1099"/>
      <c r="M25" s="1099"/>
      <c r="N25" s="988"/>
      <c r="O25" s="1099"/>
      <c r="P25" s="1099"/>
      <c r="Q25" s="1099"/>
      <c r="R25" s="988"/>
      <c r="S25" s="1099"/>
      <c r="T25" s="1099"/>
      <c r="U25" s="1099"/>
      <c r="V25" s="1253"/>
      <c r="W25" s="1099"/>
      <c r="X25" s="1099"/>
      <c r="Y25" s="1099"/>
      <c r="Z25" s="988"/>
      <c r="AA25" s="1099"/>
      <c r="AB25" s="1099"/>
      <c r="AC25" s="1099"/>
      <c r="AD25" s="988"/>
      <c r="AE25" s="1099"/>
      <c r="AF25" s="1099"/>
      <c r="AG25" s="1099"/>
      <c r="AH25" s="988"/>
      <c r="AI25" s="1099"/>
      <c r="AJ25" s="1099"/>
      <c r="AK25" s="1099"/>
      <c r="AL25" s="988"/>
      <c r="AM25" s="1099"/>
      <c r="AN25" s="1099"/>
      <c r="AO25" s="1099"/>
      <c r="AP25" s="988"/>
      <c r="AQ25" s="1099"/>
      <c r="AR25" s="1099"/>
      <c r="AS25" s="1099"/>
      <c r="AT25" s="988"/>
      <c r="AU25" s="1099"/>
      <c r="AV25" s="1099"/>
      <c r="AW25" s="1099"/>
      <c r="AX25" s="988"/>
      <c r="AY25" s="1099"/>
      <c r="AZ25" s="1099"/>
      <c r="BA25" s="1099"/>
      <c r="BB25" s="988"/>
      <c r="BC25" s="1099"/>
      <c r="BD25" s="1099"/>
      <c r="BE25" s="1099"/>
      <c r="BF25" s="988"/>
      <c r="BG25" s="1073"/>
      <c r="BH25" s="1252">
        <f t="shared" si="0"/>
        <v>0</v>
      </c>
      <c r="BI25" s="1252">
        <f t="shared" si="1"/>
        <v>0</v>
      </c>
      <c r="BJ25" s="1103"/>
    </row>
    <row r="26" spans="1:62" s="183" customFormat="1" ht="23.25" customHeight="1" x14ac:dyDescent="0.25">
      <c r="A26" s="1010" t="s">
        <v>200</v>
      </c>
      <c r="B26" s="1025" t="s">
        <v>152</v>
      </c>
      <c r="C26" s="1029"/>
      <c r="D26" s="1029"/>
      <c r="E26" s="1029"/>
      <c r="F26" s="1101"/>
      <c r="G26" s="1029"/>
      <c r="H26" s="1029"/>
      <c r="I26" s="1029"/>
      <c r="J26" s="1101"/>
      <c r="K26" s="1029"/>
      <c r="L26" s="1029"/>
      <c r="M26" s="1029"/>
      <c r="N26" s="1101"/>
      <c r="O26" s="1029"/>
      <c r="P26" s="1029"/>
      <c r="Q26" s="1029"/>
      <c r="R26" s="1101"/>
      <c r="S26" s="1029"/>
      <c r="T26" s="1029"/>
      <c r="U26" s="1029"/>
      <c r="V26" s="1101"/>
      <c r="W26" s="1029"/>
      <c r="X26" s="1029"/>
      <c r="Y26" s="1029"/>
      <c r="Z26" s="1101"/>
      <c r="AA26" s="1029"/>
      <c r="AB26" s="1029"/>
      <c r="AC26" s="1029"/>
      <c r="AD26" s="1101"/>
      <c r="AE26" s="1029"/>
      <c r="AF26" s="1029"/>
      <c r="AG26" s="1029"/>
      <c r="AH26" s="1101"/>
      <c r="AI26" s="1029"/>
      <c r="AJ26" s="1029"/>
      <c r="AK26" s="1029"/>
      <c r="AL26" s="1101"/>
      <c r="AM26" s="1029"/>
      <c r="AN26" s="1029"/>
      <c r="AO26" s="1029"/>
      <c r="AP26" s="1101"/>
      <c r="AQ26" s="1029"/>
      <c r="AR26" s="1029"/>
      <c r="AS26" s="1029"/>
      <c r="AT26" s="1101"/>
      <c r="AU26" s="1029"/>
      <c r="AV26" s="1029"/>
      <c r="AW26" s="1029"/>
      <c r="AX26" s="1101"/>
      <c r="AY26" s="1029"/>
      <c r="AZ26" s="1029"/>
      <c r="BA26" s="1029"/>
      <c r="BB26" s="1101"/>
      <c r="BC26" s="1029"/>
      <c r="BD26" s="1029"/>
      <c r="BE26" s="1029"/>
      <c r="BF26" s="1101"/>
      <c r="BG26" s="1073"/>
      <c r="BH26" s="1252">
        <f t="shared" si="0"/>
        <v>0</v>
      </c>
      <c r="BI26" s="1252">
        <f t="shared" si="1"/>
        <v>0</v>
      </c>
      <c r="BJ26" s="1101"/>
    </row>
    <row r="27" spans="1:62" s="153" customFormat="1" ht="14.25" hidden="1" customHeight="1" x14ac:dyDescent="0.2">
      <c r="A27" s="992"/>
      <c r="B27" s="991" t="s">
        <v>839</v>
      </c>
      <c r="C27" s="1099"/>
      <c r="D27" s="1099"/>
      <c r="E27" s="1099"/>
      <c r="F27" s="988"/>
      <c r="G27" s="1099"/>
      <c r="H27" s="1099"/>
      <c r="I27" s="1099"/>
      <c r="J27" s="988"/>
      <c r="K27" s="1099"/>
      <c r="L27" s="1099"/>
      <c r="M27" s="1099"/>
      <c r="N27" s="988"/>
      <c r="O27" s="1099"/>
      <c r="P27" s="1099"/>
      <c r="Q27" s="1099"/>
      <c r="R27" s="988"/>
      <c r="S27" s="1099"/>
      <c r="T27" s="1099"/>
      <c r="U27" s="1099"/>
      <c r="V27" s="1253"/>
      <c r="W27" s="1099"/>
      <c r="X27" s="1099"/>
      <c r="Y27" s="1099"/>
      <c r="Z27" s="988"/>
      <c r="AA27" s="1099"/>
      <c r="AB27" s="1099"/>
      <c r="AC27" s="1099"/>
      <c r="AD27" s="988"/>
      <c r="AE27" s="1099"/>
      <c r="AF27" s="1099"/>
      <c r="AG27" s="1099"/>
      <c r="AH27" s="988"/>
      <c r="AI27" s="1099"/>
      <c r="AJ27" s="1099"/>
      <c r="AK27" s="1099"/>
      <c r="AL27" s="988"/>
      <c r="AM27" s="1099"/>
      <c r="AN27" s="1099"/>
      <c r="AO27" s="1099"/>
      <c r="AP27" s="988"/>
      <c r="AQ27" s="1099"/>
      <c r="AR27" s="1099"/>
      <c r="AS27" s="1099"/>
      <c r="AT27" s="988"/>
      <c r="AU27" s="1099"/>
      <c r="AV27" s="1099"/>
      <c r="AW27" s="1099"/>
      <c r="AX27" s="988"/>
      <c r="AY27" s="1099"/>
      <c r="AZ27" s="1099"/>
      <c r="BA27" s="1099"/>
      <c r="BB27" s="988"/>
      <c r="BC27" s="1099"/>
      <c r="BD27" s="1099"/>
      <c r="BE27" s="1099"/>
      <c r="BF27" s="988"/>
      <c r="BG27" s="1073"/>
      <c r="BH27" s="1252">
        <f t="shared" si="0"/>
        <v>0</v>
      </c>
      <c r="BI27" s="1252">
        <f t="shared" si="1"/>
        <v>0</v>
      </c>
      <c r="BJ27" s="1103"/>
    </row>
    <row r="28" spans="1:62" s="153" customFormat="1" ht="14.25" hidden="1" customHeight="1" x14ac:dyDescent="0.2">
      <c r="A28" s="992"/>
      <c r="B28" s="991" t="s">
        <v>838</v>
      </c>
      <c r="C28" s="1099"/>
      <c r="D28" s="1099"/>
      <c r="E28" s="1099"/>
      <c r="F28" s="988"/>
      <c r="G28" s="1099"/>
      <c r="H28" s="1099"/>
      <c r="I28" s="1099"/>
      <c r="J28" s="988"/>
      <c r="K28" s="1099"/>
      <c r="L28" s="1099"/>
      <c r="M28" s="1099"/>
      <c r="N28" s="988"/>
      <c r="O28" s="1099"/>
      <c r="P28" s="1099"/>
      <c r="Q28" s="1099"/>
      <c r="R28" s="988"/>
      <c r="S28" s="1099"/>
      <c r="T28" s="1099"/>
      <c r="U28" s="1099"/>
      <c r="V28" s="1253"/>
      <c r="W28" s="1099"/>
      <c r="X28" s="1099"/>
      <c r="Y28" s="1099"/>
      <c r="Z28" s="988"/>
      <c r="AA28" s="1099"/>
      <c r="AB28" s="1099"/>
      <c r="AC28" s="1099"/>
      <c r="AD28" s="988"/>
      <c r="AE28" s="1099"/>
      <c r="AF28" s="1099"/>
      <c r="AG28" s="1099"/>
      <c r="AH28" s="988"/>
      <c r="AI28" s="1099"/>
      <c r="AJ28" s="1099"/>
      <c r="AK28" s="1099"/>
      <c r="AL28" s="988"/>
      <c r="AM28" s="1099"/>
      <c r="AN28" s="1099"/>
      <c r="AO28" s="1099"/>
      <c r="AP28" s="988"/>
      <c r="AQ28" s="1099"/>
      <c r="AR28" s="1099"/>
      <c r="AS28" s="1099"/>
      <c r="AT28" s="988"/>
      <c r="AU28" s="1099"/>
      <c r="AV28" s="1099"/>
      <c r="AW28" s="1099"/>
      <c r="AX28" s="988"/>
      <c r="AY28" s="1099"/>
      <c r="AZ28" s="1099"/>
      <c r="BA28" s="1099"/>
      <c r="BB28" s="988"/>
      <c r="BC28" s="1099"/>
      <c r="BD28" s="1099"/>
      <c r="BE28" s="1099"/>
      <c r="BF28" s="988"/>
      <c r="BG28" s="1073"/>
      <c r="BH28" s="1252">
        <f t="shared" si="0"/>
        <v>0</v>
      </c>
      <c r="BI28" s="1252">
        <f t="shared" si="1"/>
        <v>0</v>
      </c>
      <c r="BJ28" s="1103"/>
    </row>
    <row r="29" spans="1:62" s="153" customFormat="1" ht="14.25" hidden="1" customHeight="1" x14ac:dyDescent="0.2">
      <c r="A29" s="992"/>
      <c r="B29" s="991" t="s">
        <v>837</v>
      </c>
      <c r="C29" s="1099"/>
      <c r="D29" s="1099"/>
      <c r="E29" s="1099"/>
      <c r="F29" s="988"/>
      <c r="G29" s="1099"/>
      <c r="H29" s="1099"/>
      <c r="I29" s="1099"/>
      <c r="J29" s="988"/>
      <c r="K29" s="1099"/>
      <c r="L29" s="1099"/>
      <c r="M29" s="1099"/>
      <c r="N29" s="988"/>
      <c r="O29" s="1099"/>
      <c r="P29" s="1099"/>
      <c r="Q29" s="1099"/>
      <c r="R29" s="988"/>
      <c r="S29" s="1099"/>
      <c r="T29" s="1099"/>
      <c r="U29" s="1099"/>
      <c r="V29" s="1253"/>
      <c r="W29" s="1099"/>
      <c r="X29" s="1099"/>
      <c r="Y29" s="1099"/>
      <c r="Z29" s="988"/>
      <c r="AA29" s="1099"/>
      <c r="AB29" s="1099"/>
      <c r="AC29" s="1099"/>
      <c r="AD29" s="988"/>
      <c r="AE29" s="1099"/>
      <c r="AF29" s="1099"/>
      <c r="AG29" s="1099"/>
      <c r="AH29" s="988"/>
      <c r="AI29" s="1099"/>
      <c r="AJ29" s="1099"/>
      <c r="AK29" s="1099"/>
      <c r="AL29" s="988"/>
      <c r="AM29" s="1099"/>
      <c r="AN29" s="1099"/>
      <c r="AO29" s="1099"/>
      <c r="AP29" s="988"/>
      <c r="AQ29" s="1099"/>
      <c r="AR29" s="1099"/>
      <c r="AS29" s="1099"/>
      <c r="AT29" s="988"/>
      <c r="AU29" s="1099"/>
      <c r="AV29" s="1099"/>
      <c r="AW29" s="1099"/>
      <c r="AX29" s="988"/>
      <c r="AY29" s="1099"/>
      <c r="AZ29" s="1099"/>
      <c r="BA29" s="1099"/>
      <c r="BB29" s="988"/>
      <c r="BC29" s="1099"/>
      <c r="BD29" s="1099"/>
      <c r="BE29" s="1099"/>
      <c r="BF29" s="988"/>
      <c r="BG29" s="1073"/>
      <c r="BH29" s="1252">
        <f t="shared" si="0"/>
        <v>0</v>
      </c>
      <c r="BI29" s="1252">
        <f t="shared" si="1"/>
        <v>0</v>
      </c>
      <c r="BJ29" s="1103"/>
    </row>
    <row r="30" spans="1:62" s="183" customFormat="1" ht="29.25" customHeight="1" x14ac:dyDescent="0.25">
      <c r="A30" s="1010" t="s">
        <v>420</v>
      </c>
      <c r="B30" s="1025" t="s">
        <v>137</v>
      </c>
      <c r="C30" s="1029"/>
      <c r="D30" s="1029"/>
      <c r="E30" s="1029"/>
      <c r="F30" s="1101"/>
      <c r="G30" s="1029"/>
      <c r="H30" s="1029"/>
      <c r="I30" s="1029"/>
      <c r="J30" s="1101"/>
      <c r="K30" s="1029"/>
      <c r="L30" s="1029"/>
      <c r="M30" s="1029"/>
      <c r="N30" s="1101"/>
      <c r="O30" s="1029"/>
      <c r="P30" s="1029"/>
      <c r="Q30" s="1029"/>
      <c r="R30" s="1101"/>
      <c r="S30" s="1029"/>
      <c r="T30" s="1029"/>
      <c r="U30" s="1029"/>
      <c r="V30" s="1101"/>
      <c r="W30" s="1254">
        <f>W31+W32+W33</f>
        <v>0</v>
      </c>
      <c r="X30" s="1254">
        <f>X31+X32+X33</f>
        <v>0</v>
      </c>
      <c r="Y30" s="1254">
        <f>Y31+Y32+Y33</f>
        <v>0</v>
      </c>
      <c r="Z30" s="1101"/>
      <c r="AA30" s="1029"/>
      <c r="AB30" s="1029"/>
      <c r="AC30" s="1029"/>
      <c r="AD30" s="1101"/>
      <c r="AE30" s="1029"/>
      <c r="AF30" s="1029"/>
      <c r="AG30" s="1029"/>
      <c r="AH30" s="1101"/>
      <c r="AI30" s="1029"/>
      <c r="AJ30" s="1029"/>
      <c r="AK30" s="1029"/>
      <c r="AL30" s="1101"/>
      <c r="AM30" s="1029"/>
      <c r="AN30" s="1029"/>
      <c r="AO30" s="1029"/>
      <c r="AP30" s="1101"/>
      <c r="AQ30" s="1029"/>
      <c r="AR30" s="1029"/>
      <c r="AS30" s="1029"/>
      <c r="AT30" s="1101"/>
      <c r="AU30" s="1029"/>
      <c r="AV30" s="1029"/>
      <c r="AW30" s="1029"/>
      <c r="AX30" s="1101"/>
      <c r="AY30" s="1029"/>
      <c r="AZ30" s="1029"/>
      <c r="BA30" s="1029"/>
      <c r="BB30" s="1101"/>
      <c r="BC30" s="1029"/>
      <c r="BD30" s="1029"/>
      <c r="BE30" s="1029"/>
      <c r="BF30" s="1101"/>
      <c r="BG30" s="1073"/>
      <c r="BH30" s="1246">
        <f t="shared" si="0"/>
        <v>0</v>
      </c>
      <c r="BI30" s="1246">
        <f t="shared" si="1"/>
        <v>0</v>
      </c>
      <c r="BJ30" s="1101"/>
    </row>
    <row r="31" spans="1:62" s="153" customFormat="1" ht="14.25" hidden="1" customHeight="1" x14ac:dyDescent="0.2">
      <c r="A31" s="992"/>
      <c r="B31" s="991" t="s">
        <v>839</v>
      </c>
      <c r="C31" s="1099"/>
      <c r="D31" s="1099"/>
      <c r="E31" s="1099"/>
      <c r="F31" s="988"/>
      <c r="G31" s="1099"/>
      <c r="H31" s="1099"/>
      <c r="I31" s="1099"/>
      <c r="J31" s="988"/>
      <c r="K31" s="1099"/>
      <c r="L31" s="1099"/>
      <c r="M31" s="1099"/>
      <c r="N31" s="988"/>
      <c r="O31" s="1099"/>
      <c r="P31" s="1099"/>
      <c r="Q31" s="1099"/>
      <c r="R31" s="988"/>
      <c r="S31" s="1099"/>
      <c r="T31" s="1099"/>
      <c r="U31" s="1099"/>
      <c r="V31" s="1253"/>
      <c r="W31" s="1099"/>
      <c r="X31" s="1099"/>
      <c r="Y31" s="1099"/>
      <c r="Z31" s="988"/>
      <c r="AA31" s="1099"/>
      <c r="AB31" s="1099"/>
      <c r="AC31" s="1099"/>
      <c r="AD31" s="988"/>
      <c r="AE31" s="1099"/>
      <c r="AF31" s="1099"/>
      <c r="AG31" s="1099"/>
      <c r="AH31" s="988"/>
      <c r="AI31" s="1099"/>
      <c r="AJ31" s="1099"/>
      <c r="AK31" s="1099"/>
      <c r="AL31" s="988"/>
      <c r="AM31" s="1099"/>
      <c r="AN31" s="1099"/>
      <c r="AO31" s="1099"/>
      <c r="AP31" s="988"/>
      <c r="AQ31" s="1099"/>
      <c r="AR31" s="1099"/>
      <c r="AS31" s="1099"/>
      <c r="AT31" s="988"/>
      <c r="AU31" s="1099"/>
      <c r="AV31" s="1099"/>
      <c r="AW31" s="1099"/>
      <c r="AX31" s="988"/>
      <c r="AY31" s="1099"/>
      <c r="AZ31" s="1099"/>
      <c r="BA31" s="1099"/>
      <c r="BB31" s="988"/>
      <c r="BC31" s="1099"/>
      <c r="BD31" s="1099"/>
      <c r="BE31" s="1099"/>
      <c r="BF31" s="988"/>
      <c r="BG31" s="1073"/>
      <c r="BH31" s="1252">
        <f t="shared" si="0"/>
        <v>0</v>
      </c>
      <c r="BI31" s="1252">
        <f t="shared" si="1"/>
        <v>0</v>
      </c>
      <c r="BJ31" s="1103"/>
    </row>
    <row r="32" spans="1:62" s="153" customFormat="1" ht="14.25" hidden="1" customHeight="1" x14ac:dyDescent="0.2">
      <c r="A32" s="992"/>
      <c r="B32" s="991" t="s">
        <v>838</v>
      </c>
      <c r="C32" s="1099"/>
      <c r="D32" s="1099"/>
      <c r="E32" s="1099"/>
      <c r="F32" s="988"/>
      <c r="G32" s="1099"/>
      <c r="H32" s="1099"/>
      <c r="I32" s="1099"/>
      <c r="J32" s="988"/>
      <c r="K32" s="1099"/>
      <c r="L32" s="1099"/>
      <c r="M32" s="1099"/>
      <c r="N32" s="988"/>
      <c r="O32" s="1099"/>
      <c r="P32" s="1099"/>
      <c r="Q32" s="1099"/>
      <c r="R32" s="988"/>
      <c r="S32" s="1099"/>
      <c r="T32" s="1099"/>
      <c r="U32" s="1099"/>
      <c r="V32" s="1253"/>
      <c r="W32" s="1099"/>
      <c r="X32" s="1099"/>
      <c r="Y32" s="1099"/>
      <c r="Z32" s="988"/>
      <c r="AA32" s="1099"/>
      <c r="AB32" s="1099"/>
      <c r="AC32" s="1099"/>
      <c r="AD32" s="988"/>
      <c r="AE32" s="1099"/>
      <c r="AF32" s="1099"/>
      <c r="AG32" s="1099"/>
      <c r="AH32" s="988"/>
      <c r="AI32" s="1099"/>
      <c r="AJ32" s="1099"/>
      <c r="AK32" s="1099"/>
      <c r="AL32" s="988"/>
      <c r="AM32" s="1099"/>
      <c r="AN32" s="1099"/>
      <c r="AO32" s="1099"/>
      <c r="AP32" s="988"/>
      <c r="AQ32" s="1099"/>
      <c r="AR32" s="1099"/>
      <c r="AS32" s="1099"/>
      <c r="AT32" s="988"/>
      <c r="AU32" s="1099"/>
      <c r="AV32" s="1099"/>
      <c r="AW32" s="1099"/>
      <c r="AX32" s="988"/>
      <c r="AY32" s="1099"/>
      <c r="AZ32" s="1099"/>
      <c r="BA32" s="1099"/>
      <c r="BB32" s="988"/>
      <c r="BC32" s="1099"/>
      <c r="BD32" s="1099"/>
      <c r="BE32" s="1099"/>
      <c r="BF32" s="988"/>
      <c r="BG32" s="1073"/>
      <c r="BH32" s="1252">
        <f t="shared" si="0"/>
        <v>0</v>
      </c>
      <c r="BI32" s="1252">
        <f t="shared" si="1"/>
        <v>0</v>
      </c>
      <c r="BJ32" s="1103"/>
    </row>
    <row r="33" spans="1:62" s="153" customFormat="1" ht="14.25" hidden="1" customHeight="1" x14ac:dyDescent="0.2">
      <c r="A33" s="992"/>
      <c r="B33" s="991" t="s">
        <v>837</v>
      </c>
      <c r="C33" s="1099"/>
      <c r="D33" s="1099"/>
      <c r="E33" s="1099"/>
      <c r="F33" s="988"/>
      <c r="G33" s="1099"/>
      <c r="H33" s="1099"/>
      <c r="I33" s="1099"/>
      <c r="J33" s="988"/>
      <c r="K33" s="1099"/>
      <c r="L33" s="1099"/>
      <c r="M33" s="1099"/>
      <c r="N33" s="988"/>
      <c r="O33" s="1099"/>
      <c r="P33" s="1099"/>
      <c r="Q33" s="1099"/>
      <c r="R33" s="988"/>
      <c r="S33" s="1099"/>
      <c r="T33" s="1099"/>
      <c r="U33" s="1099"/>
      <c r="V33" s="1253"/>
      <c r="W33" s="1099"/>
      <c r="X33" s="1099"/>
      <c r="Y33" s="1099"/>
      <c r="Z33" s="988"/>
      <c r="AA33" s="1099"/>
      <c r="AB33" s="1099"/>
      <c r="AC33" s="1099"/>
      <c r="AD33" s="988"/>
      <c r="AE33" s="1099"/>
      <c r="AF33" s="1099"/>
      <c r="AG33" s="1099"/>
      <c r="AH33" s="988"/>
      <c r="AI33" s="1099"/>
      <c r="AJ33" s="1099"/>
      <c r="AK33" s="1099"/>
      <c r="AL33" s="988"/>
      <c r="AM33" s="1099"/>
      <c r="AN33" s="1099"/>
      <c r="AO33" s="1099"/>
      <c r="AP33" s="988"/>
      <c r="AQ33" s="1099"/>
      <c r="AR33" s="1099"/>
      <c r="AS33" s="1099"/>
      <c r="AT33" s="988"/>
      <c r="AU33" s="1099"/>
      <c r="AV33" s="1099"/>
      <c r="AW33" s="1099"/>
      <c r="AX33" s="988"/>
      <c r="AY33" s="1099"/>
      <c r="AZ33" s="1099"/>
      <c r="BA33" s="1099"/>
      <c r="BB33" s="988"/>
      <c r="BC33" s="1099"/>
      <c r="BD33" s="1099"/>
      <c r="BE33" s="1099"/>
      <c r="BF33" s="988"/>
      <c r="BG33" s="1073"/>
      <c r="BH33" s="1252">
        <f t="shared" si="0"/>
        <v>0</v>
      </c>
      <c r="BI33" s="1252">
        <f t="shared" si="1"/>
        <v>0</v>
      </c>
      <c r="BJ33" s="1103"/>
    </row>
    <row r="34" spans="1:62" s="183" customFormat="1" ht="29.25" customHeight="1" x14ac:dyDescent="0.25">
      <c r="A34" s="1010" t="s">
        <v>419</v>
      </c>
      <c r="B34" s="1025" t="s">
        <v>130</v>
      </c>
      <c r="C34" s="1029"/>
      <c r="D34" s="1029"/>
      <c r="E34" s="1029"/>
      <c r="F34" s="1101"/>
      <c r="G34" s="1029"/>
      <c r="H34" s="1029"/>
      <c r="I34" s="1029"/>
      <c r="J34" s="1101"/>
      <c r="K34" s="1029"/>
      <c r="L34" s="1029"/>
      <c r="M34" s="1029"/>
      <c r="N34" s="1101"/>
      <c r="O34" s="1029"/>
      <c r="P34" s="1029"/>
      <c r="Q34" s="1029"/>
      <c r="R34" s="1101"/>
      <c r="S34" s="1029"/>
      <c r="T34" s="1029"/>
      <c r="U34" s="1029"/>
      <c r="V34" s="1101"/>
      <c r="W34" s="1029"/>
      <c r="X34" s="1029"/>
      <c r="Y34" s="1029"/>
      <c r="Z34" s="1101"/>
      <c r="AA34" s="1029"/>
      <c r="AB34" s="1029"/>
      <c r="AC34" s="1029"/>
      <c r="AD34" s="1101"/>
      <c r="AE34" s="1029"/>
      <c r="AF34" s="1029"/>
      <c r="AG34" s="1029"/>
      <c r="AH34" s="1101"/>
      <c r="AI34" s="1029"/>
      <c r="AJ34" s="1029"/>
      <c r="AK34" s="1029"/>
      <c r="AL34" s="1101"/>
      <c r="AM34" s="1029"/>
      <c r="AN34" s="1029"/>
      <c r="AO34" s="1029"/>
      <c r="AP34" s="1101"/>
      <c r="AQ34" s="1029"/>
      <c r="AR34" s="1029"/>
      <c r="AS34" s="1029"/>
      <c r="AT34" s="1101"/>
      <c r="AU34" s="1029"/>
      <c r="AV34" s="1029"/>
      <c r="AW34" s="1029"/>
      <c r="AX34" s="1101"/>
      <c r="AY34" s="1029"/>
      <c r="AZ34" s="1029"/>
      <c r="BA34" s="1029"/>
      <c r="BB34" s="1101"/>
      <c r="BC34" s="1029"/>
      <c r="BD34" s="1029"/>
      <c r="BE34" s="1029"/>
      <c r="BF34" s="1101"/>
      <c r="BG34" s="1073"/>
      <c r="BH34" s="1252">
        <f t="shared" si="0"/>
        <v>0</v>
      </c>
      <c r="BI34" s="1252">
        <f t="shared" si="1"/>
        <v>0</v>
      </c>
      <c r="BJ34" s="1101"/>
    </row>
    <row r="35" spans="1:62" s="153" customFormat="1" ht="14.25" hidden="1" customHeight="1" x14ac:dyDescent="0.2">
      <c r="A35" s="992"/>
      <c r="B35" s="991" t="s">
        <v>839</v>
      </c>
      <c r="C35" s="1099"/>
      <c r="D35" s="1099"/>
      <c r="E35" s="1099"/>
      <c r="F35" s="988"/>
      <c r="G35" s="1099"/>
      <c r="H35" s="1099"/>
      <c r="I35" s="1099"/>
      <c r="J35" s="988"/>
      <c r="K35" s="1099"/>
      <c r="L35" s="1099"/>
      <c r="M35" s="1099"/>
      <c r="N35" s="988"/>
      <c r="O35" s="1099"/>
      <c r="P35" s="1099"/>
      <c r="Q35" s="1099"/>
      <c r="R35" s="988"/>
      <c r="S35" s="1099"/>
      <c r="T35" s="1099"/>
      <c r="U35" s="1099"/>
      <c r="V35" s="1253"/>
      <c r="W35" s="1099"/>
      <c r="X35" s="1099"/>
      <c r="Y35" s="1099"/>
      <c r="Z35" s="988"/>
      <c r="AA35" s="1099"/>
      <c r="AB35" s="1099"/>
      <c r="AC35" s="1099"/>
      <c r="AD35" s="988"/>
      <c r="AE35" s="1099"/>
      <c r="AF35" s="1099"/>
      <c r="AG35" s="1099"/>
      <c r="AH35" s="988"/>
      <c r="AI35" s="1099"/>
      <c r="AJ35" s="1099"/>
      <c r="AK35" s="1099"/>
      <c r="AL35" s="988"/>
      <c r="AM35" s="1099"/>
      <c r="AN35" s="1099"/>
      <c r="AO35" s="1099"/>
      <c r="AP35" s="988"/>
      <c r="AQ35" s="1099"/>
      <c r="AR35" s="1099"/>
      <c r="AS35" s="1099"/>
      <c r="AT35" s="988"/>
      <c r="AU35" s="1099"/>
      <c r="AV35" s="1099"/>
      <c r="AW35" s="1099"/>
      <c r="AX35" s="988"/>
      <c r="AY35" s="1099"/>
      <c r="AZ35" s="1099"/>
      <c r="BA35" s="1099"/>
      <c r="BB35" s="988"/>
      <c r="BC35" s="1099"/>
      <c r="BD35" s="1099"/>
      <c r="BE35" s="1099"/>
      <c r="BF35" s="988"/>
      <c r="BG35" s="1073"/>
      <c r="BH35" s="1252">
        <f t="shared" si="0"/>
        <v>0</v>
      </c>
      <c r="BI35" s="1252">
        <f t="shared" si="1"/>
        <v>0</v>
      </c>
      <c r="BJ35" s="1103"/>
    </row>
    <row r="36" spans="1:62" s="153" customFormat="1" ht="14.25" hidden="1" customHeight="1" x14ac:dyDescent="0.2">
      <c r="A36" s="992"/>
      <c r="B36" s="991" t="s">
        <v>838</v>
      </c>
      <c r="C36" s="1099"/>
      <c r="D36" s="1099"/>
      <c r="E36" s="1099"/>
      <c r="F36" s="988"/>
      <c r="G36" s="1099"/>
      <c r="H36" s="1099"/>
      <c r="I36" s="1099"/>
      <c r="J36" s="988"/>
      <c r="K36" s="1099"/>
      <c r="L36" s="1099"/>
      <c r="M36" s="1099"/>
      <c r="N36" s="988"/>
      <c r="O36" s="1099"/>
      <c r="P36" s="1099"/>
      <c r="Q36" s="1099"/>
      <c r="R36" s="988"/>
      <c r="S36" s="1099"/>
      <c r="T36" s="1099"/>
      <c r="U36" s="1099"/>
      <c r="V36" s="1253"/>
      <c r="W36" s="1099"/>
      <c r="X36" s="1099"/>
      <c r="Y36" s="1099"/>
      <c r="Z36" s="988"/>
      <c r="AA36" s="1099"/>
      <c r="AB36" s="1099"/>
      <c r="AC36" s="1099"/>
      <c r="AD36" s="988"/>
      <c r="AE36" s="1099"/>
      <c r="AF36" s="1099"/>
      <c r="AG36" s="1099"/>
      <c r="AH36" s="988"/>
      <c r="AI36" s="1099"/>
      <c r="AJ36" s="1099"/>
      <c r="AK36" s="1099"/>
      <c r="AL36" s="988"/>
      <c r="AM36" s="1099"/>
      <c r="AN36" s="1099"/>
      <c r="AO36" s="1099"/>
      <c r="AP36" s="988"/>
      <c r="AQ36" s="1099"/>
      <c r="AR36" s="1099"/>
      <c r="AS36" s="1099"/>
      <c r="AT36" s="988"/>
      <c r="AU36" s="1099"/>
      <c r="AV36" s="1099"/>
      <c r="AW36" s="1099"/>
      <c r="AX36" s="988"/>
      <c r="AY36" s="1099"/>
      <c r="AZ36" s="1099"/>
      <c r="BA36" s="1099"/>
      <c r="BB36" s="988"/>
      <c r="BC36" s="1099"/>
      <c r="BD36" s="1099"/>
      <c r="BE36" s="1099"/>
      <c r="BF36" s="988"/>
      <c r="BG36" s="1073"/>
      <c r="BH36" s="1252">
        <f t="shared" si="0"/>
        <v>0</v>
      </c>
      <c r="BI36" s="1252">
        <f t="shared" si="1"/>
        <v>0</v>
      </c>
      <c r="BJ36" s="1103"/>
    </row>
    <row r="37" spans="1:62" s="153" customFormat="1" ht="14.25" hidden="1" customHeight="1" x14ac:dyDescent="0.2">
      <c r="A37" s="992"/>
      <c r="B37" s="991" t="s">
        <v>837</v>
      </c>
      <c r="C37" s="1099"/>
      <c r="D37" s="1099"/>
      <c r="E37" s="1099"/>
      <c r="F37" s="988"/>
      <c r="G37" s="1099"/>
      <c r="H37" s="1099"/>
      <c r="I37" s="1099"/>
      <c r="J37" s="988"/>
      <c r="K37" s="1099"/>
      <c r="L37" s="1099"/>
      <c r="M37" s="1099"/>
      <c r="N37" s="988"/>
      <c r="O37" s="1099"/>
      <c r="P37" s="1099"/>
      <c r="Q37" s="1099"/>
      <c r="R37" s="988"/>
      <c r="S37" s="1099"/>
      <c r="T37" s="1099"/>
      <c r="U37" s="1099"/>
      <c r="V37" s="1253"/>
      <c r="W37" s="1099"/>
      <c r="X37" s="1099"/>
      <c r="Y37" s="1099"/>
      <c r="Z37" s="988"/>
      <c r="AA37" s="1099"/>
      <c r="AB37" s="1099"/>
      <c r="AC37" s="1099"/>
      <c r="AD37" s="988"/>
      <c r="AE37" s="1099"/>
      <c r="AF37" s="1099"/>
      <c r="AG37" s="1099"/>
      <c r="AH37" s="988"/>
      <c r="AI37" s="1099"/>
      <c r="AJ37" s="1099"/>
      <c r="AK37" s="1099"/>
      <c r="AL37" s="988"/>
      <c r="AM37" s="1099"/>
      <c r="AN37" s="1099"/>
      <c r="AO37" s="1099"/>
      <c r="AP37" s="988"/>
      <c r="AQ37" s="1099"/>
      <c r="AR37" s="1099"/>
      <c r="AS37" s="1099"/>
      <c r="AT37" s="988"/>
      <c r="AU37" s="1099"/>
      <c r="AV37" s="1099"/>
      <c r="AW37" s="1099"/>
      <c r="AX37" s="988"/>
      <c r="AY37" s="1099"/>
      <c r="AZ37" s="1099"/>
      <c r="BA37" s="1099"/>
      <c r="BB37" s="988"/>
      <c r="BC37" s="1099"/>
      <c r="BD37" s="1099"/>
      <c r="BE37" s="1099"/>
      <c r="BF37" s="988"/>
      <c r="BG37" s="1073"/>
      <c r="BH37" s="1252">
        <f t="shared" si="0"/>
        <v>0</v>
      </c>
      <c r="BI37" s="1252">
        <f t="shared" si="1"/>
        <v>0</v>
      </c>
      <c r="BJ37" s="1103"/>
    </row>
    <row r="38" spans="1:62" s="159" customFormat="1" ht="22.5" customHeight="1" thickBot="1" x14ac:dyDescent="0.3">
      <c r="A38" s="1010" t="s">
        <v>418</v>
      </c>
      <c r="B38" s="1025" t="s">
        <v>423</v>
      </c>
      <c r="C38" s="1246">
        <f>SUM(C39:C41)</f>
        <v>143595</v>
      </c>
      <c r="D38" s="1246">
        <f>SUM(D39:D41)</f>
        <v>152764</v>
      </c>
      <c r="E38" s="1246">
        <f>SUM(E39:E41)</f>
        <v>152764</v>
      </c>
      <c r="F38" s="1250">
        <f>E38/D38</f>
        <v>1</v>
      </c>
      <c r="G38" s="1249">
        <f>SUM(G39:G41)</f>
        <v>233837</v>
      </c>
      <c r="H38" s="1247">
        <f>SUM(H39:H41)</f>
        <v>246857</v>
      </c>
      <c r="I38" s="1246">
        <f>SUM(I39:I41)</f>
        <v>246857</v>
      </c>
      <c r="J38" s="1008">
        <f>I38/H38</f>
        <v>1</v>
      </c>
      <c r="K38" s="1251">
        <f>SUM(K39:K41)</f>
        <v>151072</v>
      </c>
      <c r="L38" s="1246">
        <f>SUM(L39:L41)</f>
        <v>162108</v>
      </c>
      <c r="M38" s="1246">
        <f>SUM(M39:M41)</f>
        <v>162108</v>
      </c>
      <c r="N38" s="1250">
        <f>M38/L38</f>
        <v>1</v>
      </c>
      <c r="O38" s="1249">
        <f>SUM(O39:O41)</f>
        <v>260824</v>
      </c>
      <c r="P38" s="1247">
        <f>SUM(P39:P41)</f>
        <v>273466</v>
      </c>
      <c r="Q38" s="1246">
        <f>SUM(Q39:Q41)</f>
        <v>273466</v>
      </c>
      <c r="R38" s="1008">
        <f>Q38/P38</f>
        <v>1</v>
      </c>
      <c r="S38" s="1251">
        <f>SUM(S39:S41)</f>
        <v>134047</v>
      </c>
      <c r="T38" s="1246">
        <f>SUM(T39:T41)</f>
        <v>140231</v>
      </c>
      <c r="U38" s="1246">
        <f>SUM(U39:U41)</f>
        <v>140231</v>
      </c>
      <c r="V38" s="1250">
        <f>U38/T38</f>
        <v>1</v>
      </c>
      <c r="W38" s="1249">
        <f>SUM(W39:W41)</f>
        <v>126659</v>
      </c>
      <c r="X38" s="1247">
        <f>SUM(X39:X41)</f>
        <v>133367</v>
      </c>
      <c r="Y38" s="1246">
        <f>SUM(Y39:Y41)</f>
        <v>133367</v>
      </c>
      <c r="Z38" s="1008">
        <f>Y38/X38</f>
        <v>1</v>
      </c>
      <c r="AA38" s="1251">
        <f>SUM(AA39:AA41)</f>
        <v>127408</v>
      </c>
      <c r="AB38" s="1246">
        <f>SUM(AB39:AB41)</f>
        <v>131545</v>
      </c>
      <c r="AC38" s="1246">
        <f>SUM(AC39:AC41)</f>
        <v>131545</v>
      </c>
      <c r="AD38" s="1250">
        <f>AC38/AB38</f>
        <v>1</v>
      </c>
      <c r="AE38" s="1249">
        <f>SUM(AE39:AE41)</f>
        <v>135720</v>
      </c>
      <c r="AF38" s="1247">
        <f>SUM(AF39:AF41)</f>
        <v>144416</v>
      </c>
      <c r="AG38" s="1246">
        <f>SUM(AG39:AG41)</f>
        <v>144416</v>
      </c>
      <c r="AH38" s="1008">
        <f>AG38/AF38</f>
        <v>1</v>
      </c>
      <c r="AI38" s="1251">
        <f>SUM(AI39:AI41)</f>
        <v>129440</v>
      </c>
      <c r="AJ38" s="1246">
        <f>SUM(AJ39:AJ41)</f>
        <v>132630</v>
      </c>
      <c r="AK38" s="1246">
        <f>SUM(AK39:AK41)</f>
        <v>132630</v>
      </c>
      <c r="AL38" s="1250">
        <f>AK38/AJ38</f>
        <v>1</v>
      </c>
      <c r="AM38" s="1249">
        <f>SUM(AM39:AM41)</f>
        <v>191505</v>
      </c>
      <c r="AN38" s="1247">
        <f>SUM(AN39:AN41)</f>
        <v>182704</v>
      </c>
      <c r="AO38" s="1246">
        <f>SUM(AO39:AO41)</f>
        <v>182704</v>
      </c>
      <c r="AP38" s="1008">
        <f>AO38/AN38</f>
        <v>1</v>
      </c>
      <c r="AQ38" s="1251">
        <f>SUM(AQ39:AQ41)</f>
        <v>88061</v>
      </c>
      <c r="AR38" s="1246">
        <f>SUM(AR39:AR41)</f>
        <v>122602</v>
      </c>
      <c r="AS38" s="1246">
        <f>SUM(AS39:AS41)</f>
        <v>122602</v>
      </c>
      <c r="AT38" s="1250">
        <f>AS38/AR38</f>
        <v>1</v>
      </c>
      <c r="AU38" s="1249">
        <f>SUM(AU39:AU41)</f>
        <v>210790</v>
      </c>
      <c r="AV38" s="1247">
        <f>SUM(AV39:AV41)</f>
        <v>201750</v>
      </c>
      <c r="AW38" s="1246">
        <f>SUM(AW39:AW41)</f>
        <v>201750</v>
      </c>
      <c r="AX38" s="1008">
        <f>AW38/AV38</f>
        <v>1</v>
      </c>
      <c r="AY38" s="1251">
        <f>SUM(AY39:AY41)</f>
        <v>126952</v>
      </c>
      <c r="AZ38" s="1246">
        <f>SUM(AZ39:AZ41)</f>
        <v>99565</v>
      </c>
      <c r="BA38" s="1246">
        <f>SUM(BA39:BA41)</f>
        <v>99565</v>
      </c>
      <c r="BB38" s="1250">
        <f>BA38/AZ38</f>
        <v>1</v>
      </c>
      <c r="BC38" s="1249">
        <f>SUM(BC39:BC41)</f>
        <v>127646</v>
      </c>
      <c r="BD38" s="1247">
        <f>SUM(BD39:BD41)</f>
        <v>129146</v>
      </c>
      <c r="BE38" s="1246">
        <f>SUM(BE39:BE41)</f>
        <v>129146</v>
      </c>
      <c r="BF38" s="1008">
        <f>BE38/BD38</f>
        <v>1</v>
      </c>
      <c r="BG38" s="1248">
        <f>C38+G38+K38+O38+S38+W38+AA38+AE38+AI38+AM38+AQ38+AU38+AY38+BC38</f>
        <v>2187556</v>
      </c>
      <c r="BH38" s="1247">
        <f t="shared" si="0"/>
        <v>2253151</v>
      </c>
      <c r="BI38" s="1246">
        <f t="shared" si="1"/>
        <v>2253151</v>
      </c>
      <c r="BJ38" s="1008">
        <f>BI38/BH38</f>
        <v>1</v>
      </c>
    </row>
    <row r="39" spans="1:62" s="153" customFormat="1" ht="12.75" hidden="1" customHeight="1" x14ac:dyDescent="0.2">
      <c r="A39" s="992"/>
      <c r="B39" s="991" t="s">
        <v>839</v>
      </c>
      <c r="C39" s="1071"/>
      <c r="D39" s="1071"/>
      <c r="E39" s="1071"/>
      <c r="F39" s="1242" t="e">
        <f>E39/D39</f>
        <v>#DIV/0!</v>
      </c>
      <c r="G39" s="1203"/>
      <c r="H39" s="1202"/>
      <c r="I39" s="1070"/>
      <c r="J39" s="1098" t="e">
        <f>I39/H39</f>
        <v>#DIV/0!</v>
      </c>
      <c r="K39" s="1205"/>
      <c r="L39" s="1070"/>
      <c r="M39" s="1070"/>
      <c r="N39" s="1242" t="e">
        <f>M39/L39</f>
        <v>#DIV/0!</v>
      </c>
      <c r="O39" s="1203"/>
      <c r="P39" s="1202"/>
      <c r="Q39" s="1070"/>
      <c r="R39" s="1098" t="e">
        <f>Q39/P39</f>
        <v>#DIV/0!</v>
      </c>
      <c r="S39" s="1205"/>
      <c r="T39" s="1070"/>
      <c r="U39" s="1070"/>
      <c r="V39" s="1242" t="e">
        <f>U39/T39</f>
        <v>#DIV/0!</v>
      </c>
      <c r="W39" s="1245"/>
      <c r="X39" s="1244"/>
      <c r="Y39" s="1071"/>
      <c r="Z39" s="1098" t="e">
        <f>Y39/X39</f>
        <v>#DIV/0!</v>
      </c>
      <c r="AA39" s="1243"/>
      <c r="AB39" s="1071"/>
      <c r="AC39" s="1071"/>
      <c r="AD39" s="1242" t="e">
        <f>AC39/AB39</f>
        <v>#DIV/0!</v>
      </c>
      <c r="AE39" s="1203"/>
      <c r="AF39" s="1202"/>
      <c r="AG39" s="1070"/>
      <c r="AH39" s="1098" t="e">
        <f>AG39/AF39</f>
        <v>#DIV/0!</v>
      </c>
      <c r="AI39" s="1205"/>
      <c r="AJ39" s="1070"/>
      <c r="AK39" s="1070"/>
      <c r="AL39" s="1242" t="e">
        <f>AK39/AJ39</f>
        <v>#DIV/0!</v>
      </c>
      <c r="AM39" s="1203"/>
      <c r="AN39" s="1202"/>
      <c r="AO39" s="1070"/>
      <c r="AP39" s="1098" t="e">
        <f>AO39/AN39</f>
        <v>#DIV/0!</v>
      </c>
      <c r="AQ39" s="1205"/>
      <c r="AR39" s="1070"/>
      <c r="AS39" s="1070"/>
      <c r="AT39" s="1242" t="e">
        <f>AS39/AR39</f>
        <v>#DIV/0!</v>
      </c>
      <c r="AU39" s="1203"/>
      <c r="AV39" s="1202"/>
      <c r="AW39" s="1070"/>
      <c r="AX39" s="1098" t="e">
        <f>AW39/AV39</f>
        <v>#DIV/0!</v>
      </c>
      <c r="AY39" s="1205"/>
      <c r="AZ39" s="1070"/>
      <c r="BA39" s="1070"/>
      <c r="BB39" s="1242" t="e">
        <f>BA39/AZ39</f>
        <v>#DIV/0!</v>
      </c>
      <c r="BC39" s="1203"/>
      <c r="BD39" s="1202"/>
      <c r="BE39" s="1070"/>
      <c r="BF39" s="1098" t="e">
        <f>BE39/BD39</f>
        <v>#DIV/0!</v>
      </c>
      <c r="BG39" s="1197"/>
      <c r="BH39" s="1196"/>
      <c r="BI39" s="1080"/>
      <c r="BJ39" s="1098" t="e">
        <f>BI39/BH39</f>
        <v>#DIV/0!</v>
      </c>
    </row>
    <row r="40" spans="1:62" ht="12.75" hidden="1" customHeight="1" x14ac:dyDescent="0.2">
      <c r="A40" s="992"/>
      <c r="B40" s="991" t="s">
        <v>838</v>
      </c>
      <c r="C40" s="1021">
        <f>C84-C10-C14-C18-C22-C26-C30-C34-C41</f>
        <v>143595</v>
      </c>
      <c r="D40" s="1021">
        <f>D84-D10-D14-D18-D22-D26-D30-D34-D41</f>
        <v>152764</v>
      </c>
      <c r="E40" s="1021">
        <f>E84-E10-E14-E18-E22-E26-E30-E34-E41</f>
        <v>152764</v>
      </c>
      <c r="F40" s="1231">
        <f>E40/D40</f>
        <v>1</v>
      </c>
      <c r="G40" s="1095">
        <f>G84-G10-G14-G18-G22-G26-G30-G34-G41</f>
        <v>233837</v>
      </c>
      <c r="H40" s="1241">
        <f>H84-H10-H14-H18-H22-H26-H30-H34-H41</f>
        <v>246857</v>
      </c>
      <c r="I40" s="1021">
        <f>I84-I10-I14-I18-I22-I26-I30-I34-I41</f>
        <v>246857</v>
      </c>
      <c r="J40" s="1229">
        <f>I40/H40</f>
        <v>1</v>
      </c>
      <c r="K40" s="1021">
        <f>K84-K10-K14-K18-K22-K26-K30-K34-K41</f>
        <v>151072</v>
      </c>
      <c r="L40" s="1021">
        <f>L84-L10-L14-L18-L22-L26-L30-L34-L41</f>
        <v>162108</v>
      </c>
      <c r="M40" s="1021">
        <f>M84-M10-M14-M18-M22-M26-M30-M34-M41</f>
        <v>162108</v>
      </c>
      <c r="N40" s="1231">
        <f>M40/L40</f>
        <v>1</v>
      </c>
      <c r="O40" s="1095">
        <f>O84-O10-O14-O18-O22-O26-O30-O34-O41</f>
        <v>260824</v>
      </c>
      <c r="P40" s="1241">
        <f>P84-P10-P14-P18-P22-P26-P30-P34-P41</f>
        <v>273466</v>
      </c>
      <c r="Q40" s="1021">
        <f>Q84-Q10-Q14-Q18-Q22-Q26-Q30-Q34-Q41</f>
        <v>273466</v>
      </c>
      <c r="R40" s="1229">
        <f>Q40/P40</f>
        <v>1</v>
      </c>
      <c r="S40" s="1021">
        <f>S84-S10-S14-S18-S22-S26-S30-S34-S41</f>
        <v>134047</v>
      </c>
      <c r="T40" s="1021">
        <f>T84-T10-T14-T18-T22-T26-T30-T34-T41</f>
        <v>140231</v>
      </c>
      <c r="U40" s="1021">
        <f>U84-U10-U14-U18-U22-U26-U30-U34-U41</f>
        <v>140231</v>
      </c>
      <c r="V40" s="1231">
        <f>U40/T40</f>
        <v>1</v>
      </c>
      <c r="W40" s="1095">
        <f>W84-W10-W14-W18-W22-W26-W30-W34-W41</f>
        <v>126659</v>
      </c>
      <c r="X40" s="1241">
        <f>X84-X10-X14-X18-X22-X26-X30-X34-X41</f>
        <v>133367</v>
      </c>
      <c r="Y40" s="1021">
        <f>Y84-Y10-Y14-Y18-Y22-Y26-Y30-Y34-Y41</f>
        <v>133367</v>
      </c>
      <c r="Z40" s="1229">
        <f>Y40/X40</f>
        <v>1</v>
      </c>
      <c r="AA40" s="1021">
        <f>AA84-AA10-AA14-AA18-AA22-AA26-AA30-AA34-AA41</f>
        <v>127408</v>
      </c>
      <c r="AB40" s="1021">
        <f>AB84-AB10-AB14-AB18-AB22-AB26-AB30-AB34-AB41</f>
        <v>131545</v>
      </c>
      <c r="AC40" s="1021">
        <f>AC84-AC10-AC14-AC18-AC22-AC26-AC30-AC34-AC41</f>
        <v>131545</v>
      </c>
      <c r="AD40" s="1231">
        <f>AC40/AB40</f>
        <v>1</v>
      </c>
      <c r="AE40" s="1095">
        <f>AE84-AE10-AE14-AE18-AE22-AE26-AE30-AE34-AE41</f>
        <v>135720</v>
      </c>
      <c r="AF40" s="1241">
        <f>AF84-AF10-AF14-AF18-AF22-AF26-AF30-AF34-AF41</f>
        <v>144416</v>
      </c>
      <c r="AG40" s="1021">
        <f>AG84-AG10-AG14-AG18-AG22-AG26-AG30-AG34-AG41</f>
        <v>144416</v>
      </c>
      <c r="AH40" s="1229">
        <f>AG40/AF40</f>
        <v>1</v>
      </c>
      <c r="AI40" s="1021">
        <f>AI84-AI10-AI14-AI18-AI22-AI26-AI30-AI34-AI41</f>
        <v>129440</v>
      </c>
      <c r="AJ40" s="1021">
        <f>AJ84-AJ10-AJ14-AJ18-AJ22-AJ26-AJ30-AJ34-AJ41</f>
        <v>132630</v>
      </c>
      <c r="AK40" s="1021">
        <f>AK84-AK10-AK14-AK18-AK22-AK26-AK30-AK34-AK41</f>
        <v>132630</v>
      </c>
      <c r="AL40" s="1231">
        <f>AK40/AJ40</f>
        <v>1</v>
      </c>
      <c r="AM40" s="1095">
        <f>AM84-AM10-AM14-AM18-AM22-AM26-AM30-AM34-AM41</f>
        <v>191505</v>
      </c>
      <c r="AN40" s="1241">
        <f>AN84-AN10-AN14-AN18-AN22-AN26-AN30-AN34-AN41</f>
        <v>182704</v>
      </c>
      <c r="AO40" s="1021">
        <f>AO84-AO10-AO14-AO18-AO22-AO26-AO30-AO34-AO41</f>
        <v>182704</v>
      </c>
      <c r="AP40" s="1229">
        <f>AO40/AN40</f>
        <v>1</v>
      </c>
      <c r="AQ40" s="1021">
        <f>AQ84-AQ10-AQ14-AQ18-AQ22-AQ26-AQ30-AQ34-AQ41</f>
        <v>88061</v>
      </c>
      <c r="AR40" s="1021">
        <f>AR84-AR10-AR14-AR18-AR22-AR26-AR30-AR34-AR41</f>
        <v>122602</v>
      </c>
      <c r="AS40" s="1021">
        <f>AS84-AS10-AS14-AS18-AS22-AS26-AS30-AS34-AS41</f>
        <v>122602</v>
      </c>
      <c r="AT40" s="1231">
        <f>AS40/AR40</f>
        <v>1</v>
      </c>
      <c r="AU40" s="1095">
        <f>AU84-AU10-AU14-AU18-AU22-AU26-AU30-AU34-AU41</f>
        <v>210790</v>
      </c>
      <c r="AV40" s="1241">
        <f>AV84-AV10-AV14-AV18-AV22-AV26-AV30-AV34-AV41</f>
        <v>201750</v>
      </c>
      <c r="AW40" s="1021">
        <f>AW84-AW10-AW14-AW18-AW22-AW26-AW30-AW34-AW41</f>
        <v>201750</v>
      </c>
      <c r="AX40" s="1229">
        <f>AW40/AV40</f>
        <v>1</v>
      </c>
      <c r="AY40" s="1021">
        <f>AY84-AY10-AY14-AY18-AY22-AY26-AY30-AY34-AY41</f>
        <v>126952</v>
      </c>
      <c r="AZ40" s="1021">
        <f>AZ84-AZ10-AZ14-AZ18-AZ22-AZ26-AZ30-AZ34-AZ41</f>
        <v>99565</v>
      </c>
      <c r="BA40" s="1021">
        <f>BA84-BA10-BA14-BA18-BA22-BA26-BA30-BA34-BA41</f>
        <v>99565</v>
      </c>
      <c r="BB40" s="1231">
        <f>BA40/AZ40</f>
        <v>1</v>
      </c>
      <c r="BC40" s="1095">
        <f>BC84-BC10-BC14-BC18-BC22-BC26-BC30-BC34-BC41</f>
        <v>127646</v>
      </c>
      <c r="BD40" s="1241">
        <f>BD84-BD10-BD14-BD18-BD22-BD26-BD30-BD34-BD41</f>
        <v>129146</v>
      </c>
      <c r="BE40" s="1021">
        <f>BE84-BE10-BE14-BE18-BE22-BE26-BE30-BE34-BE41</f>
        <v>129146</v>
      </c>
      <c r="BF40" s="1229">
        <f>BE40/BD40</f>
        <v>1</v>
      </c>
      <c r="BG40" s="1095">
        <f>C40+G40+K40+O40+S40+W40+AA40+AE40+AI40+AM40+AQ40+AU40+AY40+BC40</f>
        <v>2187556</v>
      </c>
      <c r="BH40" s="1241">
        <f>D40+H40+L40+P40+T40+X40+AB40+AF40+AJ40+AN40+AR40+AV40+AZ40+BD40</f>
        <v>2253151</v>
      </c>
      <c r="BI40" s="1021">
        <f>E40+I40+M40+Q40+U40+Y40+AC40+AG40+AK40+AO40+AS40+AW40+BA40+BE40</f>
        <v>2253151</v>
      </c>
      <c r="BJ40" s="1229">
        <f>BI40/BH40</f>
        <v>1</v>
      </c>
    </row>
    <row r="41" spans="1:62" s="153" customFormat="1" ht="13.5" hidden="1" customHeight="1" thickBot="1" x14ac:dyDescent="0.25">
      <c r="A41" s="992"/>
      <c r="B41" s="991" t="s">
        <v>837</v>
      </c>
      <c r="C41" s="1070"/>
      <c r="D41" s="1070"/>
      <c r="E41" s="1070"/>
      <c r="F41" s="1204" t="e">
        <f>E41/D41</f>
        <v>#DIV/0!</v>
      </c>
      <c r="G41" s="1203"/>
      <c r="H41" s="1202"/>
      <c r="I41" s="1070"/>
      <c r="J41" s="988" t="e">
        <f>I41/H41</f>
        <v>#DIV/0!</v>
      </c>
      <c r="K41" s="1205"/>
      <c r="L41" s="1070"/>
      <c r="M41" s="1070"/>
      <c r="N41" s="1204" t="e">
        <f>M41/L41</f>
        <v>#DIV/0!</v>
      </c>
      <c r="O41" s="1203"/>
      <c r="P41" s="1202"/>
      <c r="Q41" s="1070"/>
      <c r="R41" s="988" t="e">
        <f>Q41/P41</f>
        <v>#DIV/0!</v>
      </c>
      <c r="S41" s="1205"/>
      <c r="T41" s="1070"/>
      <c r="U41" s="1070"/>
      <c r="V41" s="1204" t="e">
        <f>U41/T41</f>
        <v>#DIV/0!</v>
      </c>
      <c r="W41" s="1203"/>
      <c r="X41" s="1202"/>
      <c r="Y41" s="1070"/>
      <c r="Z41" s="988" t="e">
        <f>Y41/X41</f>
        <v>#DIV/0!</v>
      </c>
      <c r="AA41" s="1205"/>
      <c r="AB41" s="1070"/>
      <c r="AC41" s="1070"/>
      <c r="AD41" s="1204" t="e">
        <f>AC41/AB41</f>
        <v>#DIV/0!</v>
      </c>
      <c r="AE41" s="1203"/>
      <c r="AF41" s="1202"/>
      <c r="AG41" s="1070"/>
      <c r="AH41" s="988" t="e">
        <f>AG41/AF41</f>
        <v>#DIV/0!</v>
      </c>
      <c r="AI41" s="1205"/>
      <c r="AJ41" s="1070"/>
      <c r="AK41" s="1070"/>
      <c r="AL41" s="1204" t="e">
        <f>AK41/AJ41</f>
        <v>#DIV/0!</v>
      </c>
      <c r="AM41" s="1203"/>
      <c r="AN41" s="1202"/>
      <c r="AO41" s="1070"/>
      <c r="AP41" s="988" t="e">
        <f>AO41/AN41</f>
        <v>#DIV/0!</v>
      </c>
      <c r="AQ41" s="1205"/>
      <c r="AR41" s="1070"/>
      <c r="AS41" s="1070"/>
      <c r="AT41" s="1204" t="e">
        <f>AS41/AR41</f>
        <v>#DIV/0!</v>
      </c>
      <c r="AU41" s="1203"/>
      <c r="AV41" s="1202"/>
      <c r="AW41" s="1070"/>
      <c r="AX41" s="988" t="e">
        <f>AW41/AV41</f>
        <v>#DIV/0!</v>
      </c>
      <c r="AY41" s="1205"/>
      <c r="AZ41" s="1070"/>
      <c r="BA41" s="1070"/>
      <c r="BB41" s="1204" t="e">
        <f>BA41/AZ41</f>
        <v>#DIV/0!</v>
      </c>
      <c r="BC41" s="1203"/>
      <c r="BD41" s="1202"/>
      <c r="BE41" s="1070"/>
      <c r="BF41" s="988" t="e">
        <f>BE41/BD41</f>
        <v>#DIV/0!</v>
      </c>
      <c r="BG41" s="1197"/>
      <c r="BH41" s="1241">
        <f>D41+H41+L41+P41+T41+X41+AB41+AF41+AJ41+AN41+AR41+AV41+AZ41+BD41</f>
        <v>0</v>
      </c>
      <c r="BI41" s="1021">
        <f>E41+I41+M41+Q41+U41+Y41+AC41+AG41+AK41+AO41+AS41+AW41+BA41+BE41</f>
        <v>0</v>
      </c>
      <c r="BJ41" s="988" t="e">
        <f>BI41/BH41</f>
        <v>#DIV/0!</v>
      </c>
    </row>
    <row r="42" spans="1:62" s="1237" customFormat="1" ht="14.25" thickTop="1" thickBot="1" x14ac:dyDescent="0.25">
      <c r="A42" s="1019"/>
      <c r="B42" s="1018" t="s">
        <v>422</v>
      </c>
      <c r="C42" s="1017">
        <f>C10+C14+C18+C22+C26+C30+C34+C38</f>
        <v>143595</v>
      </c>
      <c r="D42" s="1017">
        <f>D10+D14+D18+D22+D26+D30+D34+D38</f>
        <v>152764</v>
      </c>
      <c r="E42" s="1017">
        <f>E10+E14+E18+E22+E26+E30+E34+E38</f>
        <v>152764</v>
      </c>
      <c r="F42" s="1240">
        <f>E42/D42</f>
        <v>1</v>
      </c>
      <c r="G42" s="1239">
        <f>G10+G14+G18+G22+G26+G30+G34+G38</f>
        <v>233837</v>
      </c>
      <c r="H42" s="1094">
        <f>H10+H14+H18+H22+H26+H30+H34+H38</f>
        <v>246857</v>
      </c>
      <c r="I42" s="1017">
        <f>I10+I14+I18+I22+I26+I30+I34+I38</f>
        <v>246857</v>
      </c>
      <c r="J42" s="1238">
        <f>I42/H42</f>
        <v>1</v>
      </c>
      <c r="K42" s="1017">
        <f>K10+K14+K18+K22+K26+K30+K34+K38</f>
        <v>151072</v>
      </c>
      <c r="L42" s="1017">
        <f>L10+L14+L18+L22+L26+L30+L34+L38</f>
        <v>162108</v>
      </c>
      <c r="M42" s="1017">
        <f>M10+M14+M18+M22+M26+M30+M34+M38</f>
        <v>162108</v>
      </c>
      <c r="N42" s="1240">
        <f>M42/L42</f>
        <v>1</v>
      </c>
      <c r="O42" s="1239">
        <f>O10+O14+O18+O22+O26+O30+O34+O38</f>
        <v>260824</v>
      </c>
      <c r="P42" s="1094">
        <f>P10+P14+P18+P22+P26+P30+P34+P38</f>
        <v>273466</v>
      </c>
      <c r="Q42" s="1017">
        <f>Q10+Q14+Q18+Q22+Q26+Q30+Q34+Q38</f>
        <v>273466</v>
      </c>
      <c r="R42" s="1238">
        <f>Q42/P42</f>
        <v>1</v>
      </c>
      <c r="S42" s="1017">
        <f>S10+S14+S18+S22+S26+S30+S34+S38</f>
        <v>134047</v>
      </c>
      <c r="T42" s="1017">
        <f>T10+T14+T18+T22+T26+T30+T34+T38</f>
        <v>140231</v>
      </c>
      <c r="U42" s="1017">
        <f>U10+U14+U18+U22+U26+U30+U34+U38</f>
        <v>140231</v>
      </c>
      <c r="V42" s="1240">
        <f>U42/T42</f>
        <v>1</v>
      </c>
      <c r="W42" s="1239">
        <f>W10+W14+W18+W22+W26+W30+W34+W38</f>
        <v>126659</v>
      </c>
      <c r="X42" s="1094">
        <f>X10+X14+X18+X22+X26+X30+X34+X38</f>
        <v>133367</v>
      </c>
      <c r="Y42" s="1017">
        <f>Y10+Y14+Y18+Y22+Y26+Y30+Y34+Y38</f>
        <v>133367</v>
      </c>
      <c r="Z42" s="1238">
        <f>Y42/X42</f>
        <v>1</v>
      </c>
      <c r="AA42" s="1017">
        <f>AA10+AA14+AA18+AA22+AA26+AA30+AA34+AA38</f>
        <v>127408</v>
      </c>
      <c r="AB42" s="1017">
        <f>AB10+AB14+AB18+AB22+AB26+AB30+AB34+AB38</f>
        <v>131545</v>
      </c>
      <c r="AC42" s="1017">
        <f>AC10+AC14+AC18+AC22+AC26+AC30+AC34+AC38</f>
        <v>131545</v>
      </c>
      <c r="AD42" s="1240">
        <f>AC42/AB42</f>
        <v>1</v>
      </c>
      <c r="AE42" s="1239">
        <f>AE10+AE14+AE18+AE22+AE26+AE30+AE34+AE38</f>
        <v>135720</v>
      </c>
      <c r="AF42" s="1094">
        <f>AF10+AF14+AF18+AF22+AF26+AF30+AF34+AF38</f>
        <v>144416</v>
      </c>
      <c r="AG42" s="1017">
        <f>AG10+AG14+AG18+AG22+AG26+AG30+AG34+AG38</f>
        <v>144416</v>
      </c>
      <c r="AH42" s="1238">
        <f>AG42/AF42</f>
        <v>1</v>
      </c>
      <c r="AI42" s="1017">
        <f>AI10+AI14+AI18+AI22+AI26+AI30+AI34+AI38</f>
        <v>129440</v>
      </c>
      <c r="AJ42" s="1017">
        <f>AJ10+AJ14+AJ18+AJ22+AJ26+AJ30+AJ34+AJ38</f>
        <v>132630</v>
      </c>
      <c r="AK42" s="1017">
        <f>AK10+AK14+AK18+AK22+AK26+AK30+AK34+AK38</f>
        <v>132630</v>
      </c>
      <c r="AL42" s="1240">
        <f>AK42/AJ42</f>
        <v>1</v>
      </c>
      <c r="AM42" s="1239">
        <f>AM10+AM14+AM18+AM22+AM26+AM30+AM34+AM38</f>
        <v>191505</v>
      </c>
      <c r="AN42" s="1094">
        <f>AN10+AN14+AN18+AN22+AN26+AN30+AN34+AN38</f>
        <v>182704</v>
      </c>
      <c r="AO42" s="1017">
        <f>AO10+AO14+AO18+AO22+AO26+AO30+AO34+AO38</f>
        <v>182704</v>
      </c>
      <c r="AP42" s="1238">
        <f>AO42/AN42</f>
        <v>1</v>
      </c>
      <c r="AQ42" s="1017">
        <f>AQ10+AQ14+AQ18+AQ22+AQ26+AQ30+AQ34+AQ38</f>
        <v>88061</v>
      </c>
      <c r="AR42" s="1017">
        <f>AR10+AR14+AR18+AR22+AR26+AR30+AR34+AR38</f>
        <v>122602</v>
      </c>
      <c r="AS42" s="1017">
        <f>AS10+AS14+AS18+AS22+AS26+AS30+AS34+AS38</f>
        <v>122602</v>
      </c>
      <c r="AT42" s="1240">
        <f>AS42/AR42</f>
        <v>1</v>
      </c>
      <c r="AU42" s="1239">
        <f>AU10+AU14+AU18+AU22+AU26+AU30+AU34+AU38</f>
        <v>210790</v>
      </c>
      <c r="AV42" s="1094">
        <f>AV10+AV14+AV18+AV22+AV26+AV30+AV34+AV38</f>
        <v>201750</v>
      </c>
      <c r="AW42" s="1017">
        <f>AW10+AW14+AW18+AW22+AW26+AW30+AW34+AW38</f>
        <v>201750</v>
      </c>
      <c r="AX42" s="1238">
        <f>AW42/AV42</f>
        <v>1</v>
      </c>
      <c r="AY42" s="1017">
        <f>AY10+AY14+AY18+AY22+AY26+AY30+AY34+AY38</f>
        <v>126952</v>
      </c>
      <c r="AZ42" s="1017">
        <f>AZ10+AZ14+AZ18+AZ22+AZ26+AZ30+AZ34+AZ38</f>
        <v>99565</v>
      </c>
      <c r="BA42" s="1017">
        <f>BA10+BA14+BA18+BA22+BA26+BA30+BA34+BA38</f>
        <v>99565</v>
      </c>
      <c r="BB42" s="1240">
        <f>BA42/AZ42</f>
        <v>1</v>
      </c>
      <c r="BC42" s="1239">
        <f>BC10+BC14+BC18+BC22+BC26+BC30+BC34+BC38</f>
        <v>127646</v>
      </c>
      <c r="BD42" s="1094">
        <f>BD10+BD14+BD18+BD22+BD26+BD30+BD34+BD38</f>
        <v>129146</v>
      </c>
      <c r="BE42" s="1017">
        <f>BE10+BE14+BE18+BE22+BE26+BE30+BE34+BE38</f>
        <v>129146</v>
      </c>
      <c r="BF42" s="1238">
        <f>BE42/BD42</f>
        <v>1</v>
      </c>
      <c r="BG42" s="1239">
        <f>C42+G42+K42+O42+S42+W42+AA42+AE42+AI42+AM42+AQ42+AU42+AY42+BC42</f>
        <v>2187556</v>
      </c>
      <c r="BH42" s="1094">
        <f>D42+H42+L42+P42+T42+X42+AB42+AF42+AJ42+AN42+AR42+AV42+AZ42+BD42</f>
        <v>2253151</v>
      </c>
      <c r="BI42" s="1017">
        <f>E42+I42+M42+Q42+U42+Y42+AC42+AG42+AK42+AO42+AS42+AW42+BA42+BE42</f>
        <v>2253151</v>
      </c>
      <c r="BJ42" s="1238">
        <f>BI42/BH42</f>
        <v>1</v>
      </c>
    </row>
    <row r="43" spans="1:62" s="183" customFormat="1" ht="18" customHeight="1" x14ac:dyDescent="0.2">
      <c r="A43" s="1015" t="s">
        <v>119</v>
      </c>
      <c r="B43" s="1014" t="s">
        <v>421</v>
      </c>
      <c r="C43" s="1090"/>
      <c r="D43" s="1090"/>
      <c r="E43" s="1090"/>
      <c r="F43" s="1235"/>
      <c r="G43" s="1234"/>
      <c r="H43" s="1233"/>
      <c r="I43" s="1090"/>
      <c r="J43" s="1111"/>
      <c r="K43" s="1236"/>
      <c r="L43" s="1090"/>
      <c r="M43" s="1090"/>
      <c r="N43" s="1235"/>
      <c r="O43" s="1234"/>
      <c r="P43" s="1233"/>
      <c r="Q43" s="1090"/>
      <c r="R43" s="1111"/>
      <c r="S43" s="1236"/>
      <c r="T43" s="1090"/>
      <c r="U43" s="1090"/>
      <c r="V43" s="1235"/>
      <c r="W43" s="1234"/>
      <c r="X43" s="1233"/>
      <c r="Y43" s="1090"/>
      <c r="Z43" s="1111"/>
      <c r="AA43" s="1236"/>
      <c r="AB43" s="1090"/>
      <c r="AC43" s="1090"/>
      <c r="AD43" s="1235"/>
      <c r="AE43" s="1234"/>
      <c r="AF43" s="1233"/>
      <c r="AG43" s="1090"/>
      <c r="AH43" s="1111"/>
      <c r="AI43" s="1236"/>
      <c r="AJ43" s="1090"/>
      <c r="AK43" s="1090"/>
      <c r="AL43" s="1235"/>
      <c r="AM43" s="1234"/>
      <c r="AN43" s="1233"/>
      <c r="AO43" s="1090"/>
      <c r="AP43" s="1111"/>
      <c r="AQ43" s="1236"/>
      <c r="AR43" s="1090"/>
      <c r="AS43" s="1090"/>
      <c r="AT43" s="1235"/>
      <c r="AU43" s="1234"/>
      <c r="AV43" s="1233"/>
      <c r="AW43" s="1090"/>
      <c r="AX43" s="1111"/>
      <c r="AY43" s="1236"/>
      <c r="AZ43" s="1090"/>
      <c r="BA43" s="1090"/>
      <c r="BB43" s="1235"/>
      <c r="BC43" s="1234"/>
      <c r="BD43" s="1233"/>
      <c r="BE43" s="1090"/>
      <c r="BF43" s="1111"/>
      <c r="BG43" s="1197"/>
      <c r="BH43" s="1196"/>
      <c r="BI43" s="1080"/>
      <c r="BJ43" s="1111"/>
    </row>
    <row r="44" spans="1:62" s="1232" customFormat="1" ht="20.25" customHeight="1" x14ac:dyDescent="0.25">
      <c r="A44" s="1010" t="s">
        <v>72</v>
      </c>
      <c r="B44" s="1000" t="s">
        <v>59</v>
      </c>
      <c r="C44" s="1219">
        <f>SUM(C45:C47)</f>
        <v>122627</v>
      </c>
      <c r="D44" s="1219">
        <f>SUM(D45:D47)</f>
        <v>132661</v>
      </c>
      <c r="E44" s="1219">
        <f>SUM(E45:E47)</f>
        <v>132661</v>
      </c>
      <c r="F44" s="1222">
        <f t="shared" ref="F44:F55" si="2">E44/D44</f>
        <v>1</v>
      </c>
      <c r="G44" s="1221">
        <f>SUM(G45:G47)</f>
        <v>200256</v>
      </c>
      <c r="H44" s="1218">
        <f>SUM(H45:H47)</f>
        <v>214679</v>
      </c>
      <c r="I44" s="1217">
        <f>SUM(I45:I47)</f>
        <v>214679</v>
      </c>
      <c r="J44" s="1220">
        <f t="shared" ref="J44:J55" si="3">I44/H44</f>
        <v>1</v>
      </c>
      <c r="K44" s="1219">
        <f>SUM(K45:K47)</f>
        <v>129064</v>
      </c>
      <c r="L44" s="1217">
        <f>SUM(L45:L47)</f>
        <v>140755</v>
      </c>
      <c r="M44" s="1217">
        <f>SUM(M45:M47)</f>
        <v>140755</v>
      </c>
      <c r="N44" s="1222">
        <f t="shared" ref="N44:N55" si="4">M44/L44</f>
        <v>1</v>
      </c>
      <c r="O44" s="1221">
        <f>SUM(O45:O47)</f>
        <v>222489</v>
      </c>
      <c r="P44" s="1218">
        <f>SUM(P45:P47)</f>
        <v>237534</v>
      </c>
      <c r="Q44" s="1217">
        <f>SUM(Q45:Q47)</f>
        <v>237534</v>
      </c>
      <c r="R44" s="1220">
        <f t="shared" ref="R44:R55" si="5">Q44/P44</f>
        <v>1</v>
      </c>
      <c r="S44" s="1219">
        <f>SUM(S45:S47)</f>
        <v>114464</v>
      </c>
      <c r="T44" s="1217">
        <f>SUM(T45:T47)</f>
        <v>121698</v>
      </c>
      <c r="U44" s="1217">
        <f>SUM(U45:U47)</f>
        <v>121698</v>
      </c>
      <c r="V44" s="1222">
        <f t="shared" ref="V44:V55" si="6">U44/T44</f>
        <v>1</v>
      </c>
      <c r="W44" s="1221">
        <f>SUM(W45:W47)</f>
        <v>108414</v>
      </c>
      <c r="X44" s="1218">
        <f>SUM(X45:X47)</f>
        <v>115907</v>
      </c>
      <c r="Y44" s="1217">
        <f>SUM(Y45:Y47)</f>
        <v>115907</v>
      </c>
      <c r="Z44" s="1220">
        <f t="shared" ref="Z44:Z55" si="7">Y44/X44</f>
        <v>1</v>
      </c>
      <c r="AA44" s="1219">
        <f>SUM(AA45:AA47)</f>
        <v>108849</v>
      </c>
      <c r="AB44" s="1217">
        <f>SUM(AB45:AB47)</f>
        <v>114251</v>
      </c>
      <c r="AC44" s="1217">
        <f>SUM(AC45:AC47)</f>
        <v>114251</v>
      </c>
      <c r="AD44" s="1222">
        <f t="shared" ref="AD44:AD55" si="8">AC44/AB44</f>
        <v>1</v>
      </c>
      <c r="AE44" s="1221">
        <f>SUM(AE45:AE47)</f>
        <v>115828</v>
      </c>
      <c r="AF44" s="1218">
        <f>SUM(AF45:AF47)</f>
        <v>125347</v>
      </c>
      <c r="AG44" s="1217">
        <f>SUM(AG45:AG47)</f>
        <v>125347</v>
      </c>
      <c r="AH44" s="1220">
        <f t="shared" ref="AH44:AH55" si="9">AG44/AF44</f>
        <v>1</v>
      </c>
      <c r="AI44" s="1219">
        <f>SUM(AI45:AI47)</f>
        <v>110461</v>
      </c>
      <c r="AJ44" s="1217">
        <f>SUM(AJ45:AJ47)</f>
        <v>115106</v>
      </c>
      <c r="AK44" s="1217">
        <f>SUM(AK45:AK47)</f>
        <v>115106</v>
      </c>
      <c r="AL44" s="1222">
        <f t="shared" ref="AL44:AL55" si="10">AK44/AJ44</f>
        <v>1</v>
      </c>
      <c r="AM44" s="1221">
        <f>SUM(AM45:AM47)</f>
        <v>163665</v>
      </c>
      <c r="AN44" s="1218">
        <f>SUM(AN45:AN47)</f>
        <v>158748</v>
      </c>
      <c r="AO44" s="1217">
        <f>SUM(AO45:AO47)</f>
        <v>158748</v>
      </c>
      <c r="AP44" s="1220">
        <f t="shared" ref="AP44:AP55" si="11">AO44/AN44</f>
        <v>1</v>
      </c>
      <c r="AQ44" s="1219">
        <f>SUM(AQ45:AQ47)</f>
        <v>74961</v>
      </c>
      <c r="AR44" s="1217">
        <f>SUM(AR45:AR47)</f>
        <v>106232</v>
      </c>
      <c r="AS44" s="1217">
        <f>SUM(AS45:AS47)</f>
        <v>106232</v>
      </c>
      <c r="AT44" s="1222">
        <f t="shared" ref="AT44:AT55" si="12">AS44/AR44</f>
        <v>1</v>
      </c>
      <c r="AU44" s="1221">
        <f>SUM(AU45:AU47)</f>
        <v>180898</v>
      </c>
      <c r="AV44" s="1218">
        <f>SUM(AV45:AV47)</f>
        <v>175418</v>
      </c>
      <c r="AW44" s="1217">
        <f>SUM(AW45:AW47)</f>
        <v>175418</v>
      </c>
      <c r="AX44" s="1220">
        <f t="shared" ref="AX44:AX55" si="13">AW44/AV44</f>
        <v>1</v>
      </c>
      <c r="AY44" s="1219">
        <f>SUM(AY45:AY47)</f>
        <v>108594</v>
      </c>
      <c r="AZ44" s="1217">
        <f>SUM(AZ45:AZ47)</f>
        <v>86506</v>
      </c>
      <c r="BA44" s="1217">
        <f>SUM(BA45:BA47)</f>
        <v>86506</v>
      </c>
      <c r="BB44" s="1222">
        <f t="shared" ref="BB44:BB55" si="14">BA44/AZ44</f>
        <v>1</v>
      </c>
      <c r="BC44" s="1221">
        <f>SUM(BC45:BC47)</f>
        <v>108970</v>
      </c>
      <c r="BD44" s="1218">
        <f>SUM(BD45:BD47)</f>
        <v>112061</v>
      </c>
      <c r="BE44" s="1217">
        <f>SUM(BE45:BE47)</f>
        <v>112061</v>
      </c>
      <c r="BF44" s="1220">
        <f t="shared" ref="BF44:BF55" si="15">BE44/BD44</f>
        <v>1</v>
      </c>
      <c r="BG44" s="1223">
        <f>C44+G44+K44+O44+S44+W44+AA44+AE44+AI44+AM44+AQ44+AU44+AY44+BC44</f>
        <v>1869540</v>
      </c>
      <c r="BH44" s="1218">
        <f>D44+H44+L44+P44+T44+X44+AB44+AF44+AJ44+AN44+AR44+AV44+AZ44+BD44</f>
        <v>1956903</v>
      </c>
      <c r="BI44" s="1217">
        <f>E44+I44+M44+Q44+U44+Y44+AC44+AG44+AK44+AO44+AS44+AW44+BA44+BE44</f>
        <v>1956903</v>
      </c>
      <c r="BJ44" s="1220">
        <f t="shared" ref="BJ44:BJ55" si="16">BI44/BH44</f>
        <v>1</v>
      </c>
    </row>
    <row r="45" spans="1:62" s="153" customFormat="1" ht="15" hidden="1" customHeight="1" x14ac:dyDescent="0.2">
      <c r="A45" s="992"/>
      <c r="B45" s="991" t="s">
        <v>839</v>
      </c>
      <c r="C45" s="1070"/>
      <c r="D45" s="1070"/>
      <c r="E45" s="1070"/>
      <c r="F45" s="1204" t="e">
        <f t="shared" si="2"/>
        <v>#DIV/0!</v>
      </c>
      <c r="G45" s="1203"/>
      <c r="H45" s="1202"/>
      <c r="I45" s="1070"/>
      <c r="J45" s="988" t="e">
        <f t="shared" si="3"/>
        <v>#DIV/0!</v>
      </c>
      <c r="K45" s="1205"/>
      <c r="L45" s="1070"/>
      <c r="M45" s="1070"/>
      <c r="N45" s="1204" t="e">
        <f t="shared" si="4"/>
        <v>#DIV/0!</v>
      </c>
      <c r="O45" s="1203"/>
      <c r="P45" s="1202"/>
      <c r="Q45" s="1070"/>
      <c r="R45" s="988" t="e">
        <f t="shared" si="5"/>
        <v>#DIV/0!</v>
      </c>
      <c r="S45" s="1205"/>
      <c r="T45" s="1070"/>
      <c r="U45" s="1070"/>
      <c r="V45" s="1204" t="e">
        <f t="shared" si="6"/>
        <v>#DIV/0!</v>
      </c>
      <c r="W45" s="1203"/>
      <c r="X45" s="1202"/>
      <c r="Y45" s="1070"/>
      <c r="Z45" s="988" t="e">
        <f t="shared" si="7"/>
        <v>#DIV/0!</v>
      </c>
      <c r="AA45" s="1205"/>
      <c r="AB45" s="1070"/>
      <c r="AC45" s="1070"/>
      <c r="AD45" s="1204" t="e">
        <f t="shared" si="8"/>
        <v>#DIV/0!</v>
      </c>
      <c r="AE45" s="1203"/>
      <c r="AF45" s="1202"/>
      <c r="AG45" s="1070"/>
      <c r="AH45" s="988" t="e">
        <f t="shared" si="9"/>
        <v>#DIV/0!</v>
      </c>
      <c r="AI45" s="1205"/>
      <c r="AJ45" s="1070"/>
      <c r="AK45" s="1070"/>
      <c r="AL45" s="1204" t="e">
        <f t="shared" si="10"/>
        <v>#DIV/0!</v>
      </c>
      <c r="AM45" s="1203"/>
      <c r="AN45" s="1202"/>
      <c r="AO45" s="1070"/>
      <c r="AP45" s="988" t="e">
        <f t="shared" si="11"/>
        <v>#DIV/0!</v>
      </c>
      <c r="AQ45" s="1205"/>
      <c r="AR45" s="1070"/>
      <c r="AS45" s="1070"/>
      <c r="AT45" s="1204" t="e">
        <f t="shared" si="12"/>
        <v>#DIV/0!</v>
      </c>
      <c r="AU45" s="1203"/>
      <c r="AV45" s="1202"/>
      <c r="AW45" s="1070"/>
      <c r="AX45" s="988" t="e">
        <f t="shared" si="13"/>
        <v>#DIV/0!</v>
      </c>
      <c r="AY45" s="1205"/>
      <c r="AZ45" s="1070"/>
      <c r="BA45" s="1070"/>
      <c r="BB45" s="1204" t="e">
        <f t="shared" si="14"/>
        <v>#DIV/0!</v>
      </c>
      <c r="BC45" s="1203"/>
      <c r="BD45" s="1202"/>
      <c r="BE45" s="1070"/>
      <c r="BF45" s="988" t="e">
        <f t="shared" si="15"/>
        <v>#DIV/0!</v>
      </c>
      <c r="BG45" s="1197"/>
      <c r="BH45" s="1196"/>
      <c r="BI45" s="1080"/>
      <c r="BJ45" s="988" t="e">
        <f t="shared" si="16"/>
        <v>#DIV/0!</v>
      </c>
    </row>
    <row r="46" spans="1:62" ht="15" hidden="1" customHeight="1" x14ac:dyDescent="0.2">
      <c r="A46" s="992"/>
      <c r="B46" s="991" t="s">
        <v>838</v>
      </c>
      <c r="C46" s="1021">
        <v>122627</v>
      </c>
      <c r="D46" s="1021">
        <v>132661</v>
      </c>
      <c r="E46" s="1021">
        <v>132661</v>
      </c>
      <c r="F46" s="1231">
        <f t="shared" si="2"/>
        <v>1</v>
      </c>
      <c r="G46" s="1084">
        <v>200256</v>
      </c>
      <c r="H46" s="1216">
        <v>214679</v>
      </c>
      <c r="I46" s="990">
        <v>214679</v>
      </c>
      <c r="J46" s="1229">
        <f t="shared" si="3"/>
        <v>1</v>
      </c>
      <c r="K46" s="1228">
        <v>129064</v>
      </c>
      <c r="L46" s="990">
        <v>140755</v>
      </c>
      <c r="M46" s="990">
        <v>140755</v>
      </c>
      <c r="N46" s="1231">
        <f t="shared" si="4"/>
        <v>1</v>
      </c>
      <c r="O46" s="1084">
        <v>222489</v>
      </c>
      <c r="P46" s="1216">
        <v>237534</v>
      </c>
      <c r="Q46" s="990">
        <v>237534</v>
      </c>
      <c r="R46" s="1229">
        <f t="shared" si="5"/>
        <v>1</v>
      </c>
      <c r="S46" s="1228">
        <v>114464</v>
      </c>
      <c r="T46" s="990">
        <v>121698</v>
      </c>
      <c r="U46" s="990">
        <v>121698</v>
      </c>
      <c r="V46" s="1231">
        <f t="shared" si="6"/>
        <v>1</v>
      </c>
      <c r="W46" s="1084">
        <v>108414</v>
      </c>
      <c r="X46" s="1216">
        <v>115907</v>
      </c>
      <c r="Y46" s="990">
        <v>115907</v>
      </c>
      <c r="Z46" s="1229">
        <f t="shared" si="7"/>
        <v>1</v>
      </c>
      <c r="AA46" s="1228">
        <v>108849</v>
      </c>
      <c r="AB46" s="990">
        <v>114251</v>
      </c>
      <c r="AC46" s="990">
        <v>114251</v>
      </c>
      <c r="AD46" s="1231">
        <f t="shared" si="8"/>
        <v>1</v>
      </c>
      <c r="AE46" s="1084">
        <v>115828</v>
      </c>
      <c r="AF46" s="1216">
        <v>125347</v>
      </c>
      <c r="AG46" s="990">
        <v>125347</v>
      </c>
      <c r="AH46" s="1229">
        <f t="shared" si="9"/>
        <v>1</v>
      </c>
      <c r="AI46" s="1228">
        <v>110461</v>
      </c>
      <c r="AJ46" s="990">
        <v>115106</v>
      </c>
      <c r="AK46" s="990">
        <v>115106</v>
      </c>
      <c r="AL46" s="1231">
        <f t="shared" si="10"/>
        <v>1</v>
      </c>
      <c r="AM46" s="1084">
        <v>163665</v>
      </c>
      <c r="AN46" s="1216">
        <v>158748</v>
      </c>
      <c r="AO46" s="990">
        <v>158748</v>
      </c>
      <c r="AP46" s="1229">
        <f t="shared" si="11"/>
        <v>1</v>
      </c>
      <c r="AQ46" s="1228">
        <v>74961</v>
      </c>
      <c r="AR46" s="990">
        <v>106232</v>
      </c>
      <c r="AS46" s="990">
        <v>106232</v>
      </c>
      <c r="AT46" s="1231">
        <f t="shared" si="12"/>
        <v>1</v>
      </c>
      <c r="AU46" s="1084">
        <v>180898</v>
      </c>
      <c r="AV46" s="1216">
        <v>175418</v>
      </c>
      <c r="AW46" s="990">
        <v>175418</v>
      </c>
      <c r="AX46" s="1229">
        <f t="shared" si="13"/>
        <v>1</v>
      </c>
      <c r="AY46" s="1228">
        <v>108594</v>
      </c>
      <c r="AZ46" s="990">
        <v>86506</v>
      </c>
      <c r="BA46" s="990">
        <v>86506</v>
      </c>
      <c r="BB46" s="1231">
        <f t="shared" si="14"/>
        <v>1</v>
      </c>
      <c r="BC46" s="1084">
        <v>108970</v>
      </c>
      <c r="BD46" s="1216">
        <v>112061</v>
      </c>
      <c r="BE46" s="990">
        <v>112061</v>
      </c>
      <c r="BF46" s="1229">
        <f t="shared" si="15"/>
        <v>1</v>
      </c>
      <c r="BG46" s="1230">
        <f>C46+G46+K46+O46+S46+W46+AA46+AE46+AI46+AM46+AQ46+AU46+AY46+BC46</f>
        <v>1869540</v>
      </c>
      <c r="BH46" s="1216">
        <f>D46+H46+L46+P46+T46+X46+AB46+AF46+AJ46+AN46+AR46+AV46+AZ46+BD46</f>
        <v>1956903</v>
      </c>
      <c r="BI46" s="990">
        <f>E46+I46+M46+Q46+U46+Y46+AC46+AG46+AK46+AO46+AS46+AW46+BA46+BE46</f>
        <v>1956903</v>
      </c>
      <c r="BJ46" s="1229">
        <f t="shared" si="16"/>
        <v>1</v>
      </c>
    </row>
    <row r="47" spans="1:62" s="153" customFormat="1" ht="15" hidden="1" customHeight="1" x14ac:dyDescent="0.2">
      <c r="A47" s="992"/>
      <c r="B47" s="991" t="s">
        <v>837</v>
      </c>
      <c r="C47" s="1070"/>
      <c r="D47" s="1070"/>
      <c r="E47" s="1070"/>
      <c r="F47" s="1204" t="e">
        <f t="shared" si="2"/>
        <v>#DIV/0!</v>
      </c>
      <c r="G47" s="1203"/>
      <c r="H47" s="1202"/>
      <c r="I47" s="1070"/>
      <c r="J47" s="988" t="e">
        <f t="shared" si="3"/>
        <v>#DIV/0!</v>
      </c>
      <c r="K47" s="1205"/>
      <c r="L47" s="1070"/>
      <c r="M47" s="1070"/>
      <c r="N47" s="1204" t="e">
        <f t="shared" si="4"/>
        <v>#DIV/0!</v>
      </c>
      <c r="O47" s="1203"/>
      <c r="P47" s="1202"/>
      <c r="Q47" s="1070"/>
      <c r="R47" s="988" t="e">
        <f t="shared" si="5"/>
        <v>#DIV/0!</v>
      </c>
      <c r="S47" s="1205"/>
      <c r="T47" s="1070"/>
      <c r="U47" s="1070"/>
      <c r="V47" s="1204" t="e">
        <f t="shared" si="6"/>
        <v>#DIV/0!</v>
      </c>
      <c r="W47" s="1203"/>
      <c r="X47" s="1202"/>
      <c r="Y47" s="1070"/>
      <c r="Z47" s="988" t="e">
        <f t="shared" si="7"/>
        <v>#DIV/0!</v>
      </c>
      <c r="AA47" s="1205"/>
      <c r="AB47" s="1070"/>
      <c r="AC47" s="1070"/>
      <c r="AD47" s="1204" t="e">
        <f t="shared" si="8"/>
        <v>#DIV/0!</v>
      </c>
      <c r="AE47" s="1203"/>
      <c r="AF47" s="1202"/>
      <c r="AG47" s="1070"/>
      <c r="AH47" s="988" t="e">
        <f t="shared" si="9"/>
        <v>#DIV/0!</v>
      </c>
      <c r="AI47" s="1205"/>
      <c r="AJ47" s="1070"/>
      <c r="AK47" s="1070"/>
      <c r="AL47" s="1204" t="e">
        <f t="shared" si="10"/>
        <v>#DIV/0!</v>
      </c>
      <c r="AM47" s="1203"/>
      <c r="AN47" s="1202"/>
      <c r="AO47" s="1070"/>
      <c r="AP47" s="988" t="e">
        <f t="shared" si="11"/>
        <v>#DIV/0!</v>
      </c>
      <c r="AQ47" s="1205"/>
      <c r="AR47" s="1070"/>
      <c r="AS47" s="1070"/>
      <c r="AT47" s="1204" t="e">
        <f t="shared" si="12"/>
        <v>#DIV/0!</v>
      </c>
      <c r="AU47" s="1203"/>
      <c r="AV47" s="1202"/>
      <c r="AW47" s="1070"/>
      <c r="AX47" s="988" t="e">
        <f t="shared" si="13"/>
        <v>#DIV/0!</v>
      </c>
      <c r="AY47" s="1205"/>
      <c r="AZ47" s="1070"/>
      <c r="BA47" s="1070"/>
      <c r="BB47" s="1204" t="e">
        <f t="shared" si="14"/>
        <v>#DIV/0!</v>
      </c>
      <c r="BC47" s="1203"/>
      <c r="BD47" s="1202"/>
      <c r="BE47" s="1070"/>
      <c r="BF47" s="988" t="e">
        <f t="shared" si="15"/>
        <v>#DIV/0!</v>
      </c>
      <c r="BG47" s="1197"/>
      <c r="BH47" s="1196"/>
      <c r="BI47" s="1080"/>
      <c r="BJ47" s="988" t="e">
        <f t="shared" si="16"/>
        <v>#DIV/0!</v>
      </c>
    </row>
    <row r="48" spans="1:62" s="1232" customFormat="1" ht="30" customHeight="1" x14ac:dyDescent="0.25">
      <c r="A48" s="1010" t="s">
        <v>70</v>
      </c>
      <c r="B48" s="996" t="s">
        <v>56</v>
      </c>
      <c r="C48" s="1219">
        <f>SUM(C49:C51)</f>
        <v>20838</v>
      </c>
      <c r="D48" s="1219">
        <f>SUM(D49:D51)</f>
        <v>19973</v>
      </c>
      <c r="E48" s="1219">
        <f>SUM(E49:E51)</f>
        <v>19973</v>
      </c>
      <c r="F48" s="1222">
        <f t="shared" si="2"/>
        <v>1</v>
      </c>
      <c r="G48" s="1221">
        <f>SUM(G49:G51)</f>
        <v>33431</v>
      </c>
      <c r="H48" s="1218">
        <f>SUM(H49:H51)</f>
        <v>32028</v>
      </c>
      <c r="I48" s="1217">
        <f>SUM(I49:I51)</f>
        <v>32028</v>
      </c>
      <c r="J48" s="1220">
        <f t="shared" si="3"/>
        <v>1</v>
      </c>
      <c r="K48" s="1219">
        <f>SUM(K49:K51)</f>
        <v>21858</v>
      </c>
      <c r="L48" s="1217">
        <f>SUM(L49:L51)</f>
        <v>21203</v>
      </c>
      <c r="M48" s="1217">
        <f>SUM(M49:M51)</f>
        <v>21203</v>
      </c>
      <c r="N48" s="1222">
        <f t="shared" si="4"/>
        <v>1</v>
      </c>
      <c r="O48" s="1221">
        <f>SUM(O49:O51)</f>
        <v>37735</v>
      </c>
      <c r="P48" s="1218">
        <f>SUM(P49:P51)</f>
        <v>35632</v>
      </c>
      <c r="Q48" s="1217">
        <f>SUM(Q49:Q51)</f>
        <v>35632</v>
      </c>
      <c r="R48" s="1220">
        <f t="shared" si="5"/>
        <v>1</v>
      </c>
      <c r="S48" s="1219">
        <f>SUM(S49:S51)</f>
        <v>19463</v>
      </c>
      <c r="T48" s="1217">
        <f>SUM(T49:T51)</f>
        <v>18413</v>
      </c>
      <c r="U48" s="1217">
        <f>SUM(U49:U51)</f>
        <v>18413</v>
      </c>
      <c r="V48" s="1222">
        <f t="shared" si="6"/>
        <v>1</v>
      </c>
      <c r="W48" s="1221">
        <f>SUM(W49:W51)</f>
        <v>18145</v>
      </c>
      <c r="X48" s="1218">
        <f>SUM(X49:X51)</f>
        <v>17360</v>
      </c>
      <c r="Y48" s="1217">
        <f>SUM(Y49:Y51)</f>
        <v>17360</v>
      </c>
      <c r="Z48" s="1220">
        <f t="shared" si="7"/>
        <v>1</v>
      </c>
      <c r="AA48" s="1219">
        <f>SUM(AA49:AA51)</f>
        <v>18459</v>
      </c>
      <c r="AB48" s="1217">
        <f>SUM(AB49:AB51)</f>
        <v>17194</v>
      </c>
      <c r="AC48" s="1217">
        <f>SUM(AC49:AC51)</f>
        <v>17194</v>
      </c>
      <c r="AD48" s="1222">
        <f t="shared" si="8"/>
        <v>1</v>
      </c>
      <c r="AE48" s="1221">
        <f>SUM(AE49:AE51)</f>
        <v>19792</v>
      </c>
      <c r="AF48" s="1218">
        <f>SUM(AF49:AF51)</f>
        <v>18999</v>
      </c>
      <c r="AG48" s="1217">
        <f>SUM(AG49:AG51)</f>
        <v>18999</v>
      </c>
      <c r="AH48" s="1220">
        <f t="shared" si="9"/>
        <v>1</v>
      </c>
      <c r="AI48" s="1219">
        <f>SUM(AI49:AI51)</f>
        <v>18859</v>
      </c>
      <c r="AJ48" s="1217">
        <f>SUM(AJ49:AJ51)</f>
        <v>17404</v>
      </c>
      <c r="AK48" s="1217">
        <f>SUM(AK49:AK51)</f>
        <v>17404</v>
      </c>
      <c r="AL48" s="1222">
        <f t="shared" si="10"/>
        <v>1</v>
      </c>
      <c r="AM48" s="1221">
        <f>SUM(AM49:AM51)</f>
        <v>27690</v>
      </c>
      <c r="AN48" s="1218">
        <f>SUM(AN49:AN51)</f>
        <v>23806</v>
      </c>
      <c r="AO48" s="1217">
        <f>SUM(AO49:AO51)</f>
        <v>23806</v>
      </c>
      <c r="AP48" s="1220">
        <f t="shared" si="11"/>
        <v>1</v>
      </c>
      <c r="AQ48" s="1219">
        <f>SUM(AQ49:AQ51)</f>
        <v>12700</v>
      </c>
      <c r="AR48" s="1217">
        <f>SUM(AR49:AR51)</f>
        <v>15870</v>
      </c>
      <c r="AS48" s="1217">
        <f>SUM(AS49:AS51)</f>
        <v>15870</v>
      </c>
      <c r="AT48" s="1222">
        <f t="shared" si="12"/>
        <v>1</v>
      </c>
      <c r="AU48" s="1221">
        <f>SUM(AU49:AU51)</f>
        <v>29742</v>
      </c>
      <c r="AV48" s="1218">
        <f>SUM(AV49:AV51)</f>
        <v>26182</v>
      </c>
      <c r="AW48" s="1217">
        <f>SUM(AW49:AW51)</f>
        <v>26182</v>
      </c>
      <c r="AX48" s="1220">
        <f t="shared" si="13"/>
        <v>1</v>
      </c>
      <c r="AY48" s="1219">
        <f>SUM(AY49:AY51)</f>
        <v>18258</v>
      </c>
      <c r="AZ48" s="1217">
        <f>SUM(AZ49:AZ51)</f>
        <v>12959</v>
      </c>
      <c r="BA48" s="1217">
        <f>SUM(BA49:BA51)</f>
        <v>12959</v>
      </c>
      <c r="BB48" s="1222">
        <f t="shared" si="14"/>
        <v>1</v>
      </c>
      <c r="BC48" s="1221">
        <f>SUM(BC49:BC51)</f>
        <v>18576</v>
      </c>
      <c r="BD48" s="1218">
        <f>SUM(BD49:BD51)</f>
        <v>16965</v>
      </c>
      <c r="BE48" s="1217">
        <f>SUM(BE49:BE51)</f>
        <v>16965</v>
      </c>
      <c r="BF48" s="1220">
        <f t="shared" si="15"/>
        <v>1</v>
      </c>
      <c r="BG48" s="1223">
        <f>C48+G48+K48+O48+S48+W48+AA48+AE48+AI48+AM48+AQ48+AU48+AY48+BC48</f>
        <v>315546</v>
      </c>
      <c r="BH48" s="1218">
        <f>D48+H48+L48+P48+T48+X48+AB48+AF48+AJ48+AN48+AR48+AV48+AZ48+BD48</f>
        <v>293988</v>
      </c>
      <c r="BI48" s="1217">
        <f>E48+I48+M48+Q48+U48+Y48+AC48+AG48+AK48+AO48+AS48+AW48+BA48+BE48</f>
        <v>293988</v>
      </c>
      <c r="BJ48" s="1220">
        <f t="shared" si="16"/>
        <v>1</v>
      </c>
    </row>
    <row r="49" spans="1:62" s="153" customFormat="1" ht="15" hidden="1" customHeight="1" x14ac:dyDescent="0.2">
      <c r="A49" s="992"/>
      <c r="B49" s="991" t="s">
        <v>839</v>
      </c>
      <c r="C49" s="1070"/>
      <c r="D49" s="1070"/>
      <c r="E49" s="1070"/>
      <c r="F49" s="1204" t="e">
        <f t="shared" si="2"/>
        <v>#DIV/0!</v>
      </c>
      <c r="G49" s="1203"/>
      <c r="H49" s="1202"/>
      <c r="I49" s="1070"/>
      <c r="J49" s="988" t="e">
        <f t="shared" si="3"/>
        <v>#DIV/0!</v>
      </c>
      <c r="K49" s="1205"/>
      <c r="L49" s="1070"/>
      <c r="M49" s="1070"/>
      <c r="N49" s="1204" t="e">
        <f t="shared" si="4"/>
        <v>#DIV/0!</v>
      </c>
      <c r="O49" s="1203"/>
      <c r="P49" s="1202"/>
      <c r="Q49" s="1070"/>
      <c r="R49" s="988" t="e">
        <f t="shared" si="5"/>
        <v>#DIV/0!</v>
      </c>
      <c r="S49" s="1205"/>
      <c r="T49" s="1070"/>
      <c r="U49" s="1070"/>
      <c r="V49" s="1204" t="e">
        <f t="shared" si="6"/>
        <v>#DIV/0!</v>
      </c>
      <c r="W49" s="1203"/>
      <c r="X49" s="1202"/>
      <c r="Y49" s="1070"/>
      <c r="Z49" s="988" t="e">
        <f t="shared" si="7"/>
        <v>#DIV/0!</v>
      </c>
      <c r="AA49" s="1205"/>
      <c r="AB49" s="1070"/>
      <c r="AC49" s="1070"/>
      <c r="AD49" s="1204" t="e">
        <f t="shared" si="8"/>
        <v>#DIV/0!</v>
      </c>
      <c r="AE49" s="1203"/>
      <c r="AF49" s="1202"/>
      <c r="AG49" s="1070"/>
      <c r="AH49" s="988" t="e">
        <f t="shared" si="9"/>
        <v>#DIV/0!</v>
      </c>
      <c r="AI49" s="1205"/>
      <c r="AJ49" s="1070"/>
      <c r="AK49" s="1070"/>
      <c r="AL49" s="1204" t="e">
        <f t="shared" si="10"/>
        <v>#DIV/0!</v>
      </c>
      <c r="AM49" s="1203"/>
      <c r="AN49" s="1202"/>
      <c r="AO49" s="1070"/>
      <c r="AP49" s="988" t="e">
        <f t="shared" si="11"/>
        <v>#DIV/0!</v>
      </c>
      <c r="AQ49" s="1205"/>
      <c r="AR49" s="1070"/>
      <c r="AS49" s="1070"/>
      <c r="AT49" s="1204" t="e">
        <f t="shared" si="12"/>
        <v>#DIV/0!</v>
      </c>
      <c r="AU49" s="1203"/>
      <c r="AV49" s="1202"/>
      <c r="AW49" s="1070"/>
      <c r="AX49" s="988" t="e">
        <f t="shared" si="13"/>
        <v>#DIV/0!</v>
      </c>
      <c r="AY49" s="1205"/>
      <c r="AZ49" s="1070"/>
      <c r="BA49" s="1070"/>
      <c r="BB49" s="1204" t="e">
        <f t="shared" si="14"/>
        <v>#DIV/0!</v>
      </c>
      <c r="BC49" s="1203"/>
      <c r="BD49" s="1202"/>
      <c r="BE49" s="1070"/>
      <c r="BF49" s="988" t="e">
        <f t="shared" si="15"/>
        <v>#DIV/0!</v>
      </c>
      <c r="BG49" s="1197"/>
      <c r="BH49" s="1196"/>
      <c r="BI49" s="1080"/>
      <c r="BJ49" s="988" t="e">
        <f t="shared" si="16"/>
        <v>#DIV/0!</v>
      </c>
    </row>
    <row r="50" spans="1:62" ht="12.75" hidden="1" customHeight="1" x14ac:dyDescent="0.2">
      <c r="A50" s="992"/>
      <c r="B50" s="991" t="s">
        <v>838</v>
      </c>
      <c r="C50" s="1021">
        <v>20838</v>
      </c>
      <c r="D50" s="1021">
        <v>19973</v>
      </c>
      <c r="E50" s="1021">
        <v>19973</v>
      </c>
      <c r="F50" s="1231">
        <f t="shared" si="2"/>
        <v>1</v>
      </c>
      <c r="G50" s="1084">
        <v>33431</v>
      </c>
      <c r="H50" s="1216">
        <v>32028</v>
      </c>
      <c r="I50" s="990">
        <v>32028</v>
      </c>
      <c r="J50" s="1229">
        <f t="shared" si="3"/>
        <v>1</v>
      </c>
      <c r="K50" s="1228">
        <v>21858</v>
      </c>
      <c r="L50" s="990">
        <v>21203</v>
      </c>
      <c r="M50" s="990">
        <v>21203</v>
      </c>
      <c r="N50" s="1231">
        <f t="shared" si="4"/>
        <v>1</v>
      </c>
      <c r="O50" s="1084">
        <v>37735</v>
      </c>
      <c r="P50" s="1216">
        <v>35632</v>
      </c>
      <c r="Q50" s="990">
        <v>35632</v>
      </c>
      <c r="R50" s="1229">
        <f t="shared" si="5"/>
        <v>1</v>
      </c>
      <c r="S50" s="1228">
        <v>19463</v>
      </c>
      <c r="T50" s="990">
        <v>18413</v>
      </c>
      <c r="U50" s="990">
        <v>18413</v>
      </c>
      <c r="V50" s="1231">
        <f t="shared" si="6"/>
        <v>1</v>
      </c>
      <c r="W50" s="1084">
        <v>18145</v>
      </c>
      <c r="X50" s="1216">
        <v>17360</v>
      </c>
      <c r="Y50" s="990">
        <v>17360</v>
      </c>
      <c r="Z50" s="1229">
        <f t="shared" si="7"/>
        <v>1</v>
      </c>
      <c r="AA50" s="1228">
        <v>18459</v>
      </c>
      <c r="AB50" s="990">
        <v>17194</v>
      </c>
      <c r="AC50" s="990">
        <v>17194</v>
      </c>
      <c r="AD50" s="1231">
        <f t="shared" si="8"/>
        <v>1</v>
      </c>
      <c r="AE50" s="1084">
        <v>19792</v>
      </c>
      <c r="AF50" s="1216">
        <v>18999</v>
      </c>
      <c r="AG50" s="990">
        <v>18999</v>
      </c>
      <c r="AH50" s="1229">
        <f t="shared" si="9"/>
        <v>1</v>
      </c>
      <c r="AI50" s="1228">
        <v>18859</v>
      </c>
      <c r="AJ50" s="990">
        <v>17404</v>
      </c>
      <c r="AK50" s="990">
        <v>17404</v>
      </c>
      <c r="AL50" s="1231">
        <f t="shared" si="10"/>
        <v>1</v>
      </c>
      <c r="AM50" s="1084">
        <v>27690</v>
      </c>
      <c r="AN50" s="1216">
        <v>23806</v>
      </c>
      <c r="AO50" s="990">
        <v>23806</v>
      </c>
      <c r="AP50" s="1229">
        <f t="shared" si="11"/>
        <v>1</v>
      </c>
      <c r="AQ50" s="1228">
        <v>12700</v>
      </c>
      <c r="AR50" s="990">
        <v>15870</v>
      </c>
      <c r="AS50" s="990">
        <v>15870</v>
      </c>
      <c r="AT50" s="1231">
        <f t="shared" si="12"/>
        <v>1</v>
      </c>
      <c r="AU50" s="1084">
        <v>29742</v>
      </c>
      <c r="AV50" s="1216">
        <v>26182</v>
      </c>
      <c r="AW50" s="990">
        <v>26182</v>
      </c>
      <c r="AX50" s="1229">
        <f t="shared" si="13"/>
        <v>1</v>
      </c>
      <c r="AY50" s="1228">
        <v>18258</v>
      </c>
      <c r="AZ50" s="990">
        <v>12959</v>
      </c>
      <c r="BA50" s="990">
        <v>12959</v>
      </c>
      <c r="BB50" s="1231">
        <f t="shared" si="14"/>
        <v>1</v>
      </c>
      <c r="BC50" s="1084">
        <v>18576</v>
      </c>
      <c r="BD50" s="1216">
        <v>16965</v>
      </c>
      <c r="BE50" s="990">
        <v>16965</v>
      </c>
      <c r="BF50" s="1229">
        <f t="shared" si="15"/>
        <v>1</v>
      </c>
      <c r="BG50" s="1230">
        <f>C50+G50+K50+O50+S50+W50+AA50+AE50+AI50+AM50+AQ50+AU50+AY50+BC50</f>
        <v>315546</v>
      </c>
      <c r="BH50" s="1216">
        <f>D50+H50+L50+P50+T50+X50+AB50+AF50+AJ50+AN50+AR50+AV50+AZ50+BD50</f>
        <v>293988</v>
      </c>
      <c r="BI50" s="990">
        <f>E50+I50+M50+Q50+U50+Y50+AC50+AG50+AK50+AO50+AS50+AW50+BA50+BE50</f>
        <v>293988</v>
      </c>
      <c r="BJ50" s="1229">
        <f t="shared" si="16"/>
        <v>1</v>
      </c>
    </row>
    <row r="51" spans="1:62" s="153" customFormat="1" ht="15" hidden="1" customHeight="1" x14ac:dyDescent="0.2">
      <c r="A51" s="992"/>
      <c r="B51" s="991" t="s">
        <v>837</v>
      </c>
      <c r="C51" s="1070"/>
      <c r="D51" s="1070"/>
      <c r="E51" s="1070"/>
      <c r="F51" s="1204" t="e">
        <f t="shared" si="2"/>
        <v>#DIV/0!</v>
      </c>
      <c r="G51" s="1203"/>
      <c r="H51" s="1202"/>
      <c r="I51" s="1070"/>
      <c r="J51" s="988" t="e">
        <f t="shared" si="3"/>
        <v>#DIV/0!</v>
      </c>
      <c r="K51" s="1205"/>
      <c r="L51" s="1070"/>
      <c r="M51" s="1070"/>
      <c r="N51" s="1204" t="e">
        <f t="shared" si="4"/>
        <v>#DIV/0!</v>
      </c>
      <c r="O51" s="1203"/>
      <c r="P51" s="1202"/>
      <c r="Q51" s="1070"/>
      <c r="R51" s="988" t="e">
        <f t="shared" si="5"/>
        <v>#DIV/0!</v>
      </c>
      <c r="S51" s="1205"/>
      <c r="T51" s="1070"/>
      <c r="U51" s="1070"/>
      <c r="V51" s="1204" t="e">
        <f t="shared" si="6"/>
        <v>#DIV/0!</v>
      </c>
      <c r="W51" s="1203"/>
      <c r="X51" s="1202"/>
      <c r="Y51" s="1070"/>
      <c r="Z51" s="988" t="e">
        <f t="shared" si="7"/>
        <v>#DIV/0!</v>
      </c>
      <c r="AA51" s="1205"/>
      <c r="AB51" s="1070"/>
      <c r="AC51" s="1070"/>
      <c r="AD51" s="1204" t="e">
        <f t="shared" si="8"/>
        <v>#DIV/0!</v>
      </c>
      <c r="AE51" s="1203"/>
      <c r="AF51" s="1202"/>
      <c r="AG51" s="1070"/>
      <c r="AH51" s="988" t="e">
        <f t="shared" si="9"/>
        <v>#DIV/0!</v>
      </c>
      <c r="AI51" s="1205"/>
      <c r="AJ51" s="1070"/>
      <c r="AK51" s="1070"/>
      <c r="AL51" s="1204" t="e">
        <f t="shared" si="10"/>
        <v>#DIV/0!</v>
      </c>
      <c r="AM51" s="1203"/>
      <c r="AN51" s="1202"/>
      <c r="AO51" s="1070"/>
      <c r="AP51" s="988" t="e">
        <f t="shared" si="11"/>
        <v>#DIV/0!</v>
      </c>
      <c r="AQ51" s="1205"/>
      <c r="AR51" s="1070"/>
      <c r="AS51" s="1070"/>
      <c r="AT51" s="1204" t="e">
        <f t="shared" si="12"/>
        <v>#DIV/0!</v>
      </c>
      <c r="AU51" s="1203"/>
      <c r="AV51" s="1202"/>
      <c r="AW51" s="1070"/>
      <c r="AX51" s="988" t="e">
        <f t="shared" si="13"/>
        <v>#DIV/0!</v>
      </c>
      <c r="AY51" s="1205"/>
      <c r="AZ51" s="1070"/>
      <c r="BA51" s="1070"/>
      <c r="BB51" s="1204" t="e">
        <f t="shared" si="14"/>
        <v>#DIV/0!</v>
      </c>
      <c r="BC51" s="1203"/>
      <c r="BD51" s="1202"/>
      <c r="BE51" s="1070"/>
      <c r="BF51" s="988" t="e">
        <f t="shared" si="15"/>
        <v>#DIV/0!</v>
      </c>
      <c r="BG51" s="1197"/>
      <c r="BH51" s="1196"/>
      <c r="BI51" s="1080"/>
      <c r="BJ51" s="988" t="e">
        <f t="shared" si="16"/>
        <v>#DIV/0!</v>
      </c>
    </row>
    <row r="52" spans="1:62" s="1232" customFormat="1" ht="19.5" customHeight="1" x14ac:dyDescent="0.25">
      <c r="A52" s="1010" t="s">
        <v>91</v>
      </c>
      <c r="B52" s="996" t="s">
        <v>53</v>
      </c>
      <c r="C52" s="1219">
        <f>C53+C54+C55</f>
        <v>130</v>
      </c>
      <c r="D52" s="1219">
        <f>D53+D54+D55</f>
        <v>130</v>
      </c>
      <c r="E52" s="1219">
        <f>E53+E54+E55</f>
        <v>130</v>
      </c>
      <c r="F52" s="1222">
        <f t="shared" si="2"/>
        <v>1</v>
      </c>
      <c r="G52" s="1223">
        <f>G53+G54+G55</f>
        <v>150</v>
      </c>
      <c r="H52" s="1218">
        <f>H53+H54+H55</f>
        <v>150</v>
      </c>
      <c r="I52" s="1219">
        <f>I53+I54+I55</f>
        <v>150</v>
      </c>
      <c r="J52" s="1220">
        <f t="shared" si="3"/>
        <v>1</v>
      </c>
      <c r="K52" s="1219">
        <f>K53+K54+K55</f>
        <v>150</v>
      </c>
      <c r="L52" s="1219">
        <f>L53+L54+L55</f>
        <v>150</v>
      </c>
      <c r="M52" s="1219">
        <f>M53+M54+M55</f>
        <v>150</v>
      </c>
      <c r="N52" s="1222">
        <f t="shared" si="4"/>
        <v>1</v>
      </c>
      <c r="O52" s="1223">
        <f>O53+O54+O55</f>
        <v>600</v>
      </c>
      <c r="P52" s="1218">
        <f>P53+P54+P55</f>
        <v>300</v>
      </c>
      <c r="Q52" s="1219">
        <f>Q53+Q54+Q55</f>
        <v>300</v>
      </c>
      <c r="R52" s="1220">
        <f t="shared" si="5"/>
        <v>1</v>
      </c>
      <c r="S52" s="1219">
        <f>S53+S54+S55</f>
        <v>120</v>
      </c>
      <c r="T52" s="1219">
        <f>T53+T54+T55</f>
        <v>120</v>
      </c>
      <c r="U52" s="1219">
        <f>U53+U54+U55</f>
        <v>120</v>
      </c>
      <c r="V52" s="1222">
        <f t="shared" si="6"/>
        <v>1</v>
      </c>
      <c r="W52" s="1223">
        <f>W53+W54+W55</f>
        <v>100</v>
      </c>
      <c r="X52" s="1218">
        <f>X53+X54+X55</f>
        <v>100</v>
      </c>
      <c r="Y52" s="1219">
        <f>Y53+Y54+Y55</f>
        <v>100</v>
      </c>
      <c r="Z52" s="1220">
        <f t="shared" si="7"/>
        <v>1</v>
      </c>
      <c r="AA52" s="1219">
        <f>AA53+AA54+AA55</f>
        <v>100</v>
      </c>
      <c r="AB52" s="1219">
        <f>AB53+AB54+AB55</f>
        <v>100</v>
      </c>
      <c r="AC52" s="1219">
        <f>AC53+AC54+AC55</f>
        <v>100</v>
      </c>
      <c r="AD52" s="1222">
        <f t="shared" si="8"/>
        <v>1</v>
      </c>
      <c r="AE52" s="1221">
        <f>SUM(AE53:AE55)</f>
        <v>100</v>
      </c>
      <c r="AF52" s="1218">
        <f>SUM(AF53:AF55)</f>
        <v>70</v>
      </c>
      <c r="AG52" s="1217">
        <f>SUM(AG53:AG55)</f>
        <v>70</v>
      </c>
      <c r="AH52" s="1220">
        <f t="shared" si="9"/>
        <v>1</v>
      </c>
      <c r="AI52" s="1219">
        <f>SUM(AI53:AI55)</f>
        <v>120</v>
      </c>
      <c r="AJ52" s="1217">
        <f>SUM(AJ53:AJ55)</f>
        <v>120</v>
      </c>
      <c r="AK52" s="1217">
        <f>SUM(AK53:AK55)</f>
        <v>120</v>
      </c>
      <c r="AL52" s="1222">
        <f t="shared" si="10"/>
        <v>1</v>
      </c>
      <c r="AM52" s="1221">
        <f>SUM(AM53:AM55)</f>
        <v>150</v>
      </c>
      <c r="AN52" s="1218">
        <f>SUM(AN53:AN55)</f>
        <v>150</v>
      </c>
      <c r="AO52" s="1217">
        <f>SUM(AO53:AO55)</f>
        <v>150</v>
      </c>
      <c r="AP52" s="1220">
        <f t="shared" si="11"/>
        <v>1</v>
      </c>
      <c r="AQ52" s="1219">
        <f>SUM(AQ53:AQ55)</f>
        <v>400</v>
      </c>
      <c r="AR52" s="1217">
        <f>SUM(AR53:AR55)</f>
        <v>500</v>
      </c>
      <c r="AS52" s="1217">
        <f>SUM(AS53:AS55)</f>
        <v>500</v>
      </c>
      <c r="AT52" s="1222">
        <f t="shared" si="12"/>
        <v>1</v>
      </c>
      <c r="AU52" s="1221">
        <f>SUM(AU53:AU55)</f>
        <v>150</v>
      </c>
      <c r="AV52" s="1218">
        <f>SUM(AV53:AV55)</f>
        <v>150</v>
      </c>
      <c r="AW52" s="1217">
        <f>SUM(AW53:AW55)</f>
        <v>150</v>
      </c>
      <c r="AX52" s="1220">
        <f t="shared" si="13"/>
        <v>1</v>
      </c>
      <c r="AY52" s="1219">
        <f>SUM(AY53:AY55)</f>
        <v>100</v>
      </c>
      <c r="AZ52" s="1217">
        <f>SUM(AZ53:AZ55)</f>
        <v>100</v>
      </c>
      <c r="BA52" s="1217">
        <f>SUM(BA53:BA55)</f>
        <v>100</v>
      </c>
      <c r="BB52" s="1222">
        <f t="shared" si="14"/>
        <v>1</v>
      </c>
      <c r="BC52" s="1221">
        <f>SUM(BC53:BC55)</f>
        <v>100</v>
      </c>
      <c r="BD52" s="1218">
        <f>SUM(BD53:BD55)</f>
        <v>120</v>
      </c>
      <c r="BE52" s="1217">
        <f>SUM(BE53:BE55)</f>
        <v>120</v>
      </c>
      <c r="BF52" s="1220">
        <f t="shared" si="15"/>
        <v>1</v>
      </c>
      <c r="BG52" s="1223">
        <f>C52+G52+K52+O52+S52+W52+AA52+AE52+AI52+AM52+AQ52+AU52+AY52+BC52</f>
        <v>2470</v>
      </c>
      <c r="BH52" s="1218">
        <f>D52+H52+L52+P52+T52+X52+AB52+AF52+AJ52+AN52+AR52+AV52+AZ52+BD52</f>
        <v>2260</v>
      </c>
      <c r="BI52" s="1217">
        <f>E52+I52+M52+Q52+U52+Y52+AC52+AG52+AK52+AO52+AS52+AW52+BA52+BE52</f>
        <v>2260</v>
      </c>
      <c r="BJ52" s="1220">
        <f t="shared" si="16"/>
        <v>1</v>
      </c>
    </row>
    <row r="53" spans="1:62" ht="15" hidden="1" customHeight="1" x14ac:dyDescent="0.2">
      <c r="A53" s="992"/>
      <c r="B53" s="991" t="s">
        <v>839</v>
      </c>
      <c r="C53" s="990"/>
      <c r="D53" s="990"/>
      <c r="E53" s="990"/>
      <c r="F53" s="1227" t="e">
        <f t="shared" si="2"/>
        <v>#DIV/0!</v>
      </c>
      <c r="G53" s="1084"/>
      <c r="H53" s="1216"/>
      <c r="I53" s="990"/>
      <c r="J53" s="1083" t="e">
        <f t="shared" si="3"/>
        <v>#DIV/0!</v>
      </c>
      <c r="K53" s="1228"/>
      <c r="L53" s="990"/>
      <c r="M53" s="990"/>
      <c r="N53" s="1227" t="e">
        <f t="shared" si="4"/>
        <v>#DIV/0!</v>
      </c>
      <c r="O53" s="1084"/>
      <c r="P53" s="1216"/>
      <c r="Q53" s="990"/>
      <c r="R53" s="1083" t="e">
        <f t="shared" si="5"/>
        <v>#DIV/0!</v>
      </c>
      <c r="S53" s="1228"/>
      <c r="T53" s="990"/>
      <c r="U53" s="990"/>
      <c r="V53" s="1227" t="e">
        <f t="shared" si="6"/>
        <v>#DIV/0!</v>
      </c>
      <c r="W53" s="1084"/>
      <c r="X53" s="1216"/>
      <c r="Y53" s="990"/>
      <c r="Z53" s="1083" t="e">
        <f t="shared" si="7"/>
        <v>#DIV/0!</v>
      </c>
      <c r="AA53" s="1228"/>
      <c r="AB53" s="990"/>
      <c r="AC53" s="990"/>
      <c r="AD53" s="1227" t="e">
        <f t="shared" si="8"/>
        <v>#DIV/0!</v>
      </c>
      <c r="AE53" s="1084"/>
      <c r="AF53" s="1216"/>
      <c r="AG53" s="990"/>
      <c r="AH53" s="1083" t="e">
        <f t="shared" si="9"/>
        <v>#DIV/0!</v>
      </c>
      <c r="AI53" s="1228"/>
      <c r="AJ53" s="990"/>
      <c r="AK53" s="990"/>
      <c r="AL53" s="1227" t="e">
        <f t="shared" si="10"/>
        <v>#DIV/0!</v>
      </c>
      <c r="AM53" s="1084"/>
      <c r="AN53" s="1216"/>
      <c r="AO53" s="990"/>
      <c r="AP53" s="1083" t="e">
        <f t="shared" si="11"/>
        <v>#DIV/0!</v>
      </c>
      <c r="AQ53" s="1228"/>
      <c r="AR53" s="990"/>
      <c r="AS53" s="990"/>
      <c r="AT53" s="1227" t="e">
        <f t="shared" si="12"/>
        <v>#DIV/0!</v>
      </c>
      <c r="AU53" s="1084"/>
      <c r="AV53" s="1216"/>
      <c r="AW53" s="990"/>
      <c r="AX53" s="1083" t="e">
        <f t="shared" si="13"/>
        <v>#DIV/0!</v>
      </c>
      <c r="AY53" s="1228"/>
      <c r="AZ53" s="990"/>
      <c r="BA53" s="990"/>
      <c r="BB53" s="1227" t="e">
        <f t="shared" si="14"/>
        <v>#DIV/0!</v>
      </c>
      <c r="BC53" s="1084"/>
      <c r="BD53" s="1216"/>
      <c r="BE53" s="990"/>
      <c r="BF53" s="1083" t="e">
        <f t="shared" si="15"/>
        <v>#DIV/0!</v>
      </c>
      <c r="BG53" s="1197"/>
      <c r="BH53" s="1196"/>
      <c r="BI53" s="1080"/>
      <c r="BJ53" s="1083" t="e">
        <f t="shared" si="16"/>
        <v>#DIV/0!</v>
      </c>
    </row>
    <row r="54" spans="1:62" ht="15" hidden="1" customHeight="1" x14ac:dyDescent="0.2">
      <c r="A54" s="992"/>
      <c r="B54" s="991" t="s">
        <v>838</v>
      </c>
      <c r="C54" s="1021">
        <v>130</v>
      </c>
      <c r="D54" s="1021">
        <v>130</v>
      </c>
      <c r="E54" s="1021">
        <v>130</v>
      </c>
      <c r="F54" s="1231">
        <f t="shared" si="2"/>
        <v>1</v>
      </c>
      <c r="G54" s="1084">
        <v>150</v>
      </c>
      <c r="H54" s="1216">
        <v>150</v>
      </c>
      <c r="I54" s="990">
        <v>150</v>
      </c>
      <c r="J54" s="1229">
        <f t="shared" si="3"/>
        <v>1</v>
      </c>
      <c r="K54" s="1228">
        <v>150</v>
      </c>
      <c r="L54" s="990">
        <v>150</v>
      </c>
      <c r="M54" s="990">
        <v>150</v>
      </c>
      <c r="N54" s="1231">
        <f t="shared" si="4"/>
        <v>1</v>
      </c>
      <c r="O54" s="1084">
        <v>600</v>
      </c>
      <c r="P54" s="1216">
        <v>300</v>
      </c>
      <c r="Q54" s="990">
        <v>300</v>
      </c>
      <c r="R54" s="1229">
        <f t="shared" si="5"/>
        <v>1</v>
      </c>
      <c r="S54" s="1228">
        <v>120</v>
      </c>
      <c r="T54" s="990">
        <v>120</v>
      </c>
      <c r="U54" s="990">
        <v>120</v>
      </c>
      <c r="V54" s="1231">
        <f t="shared" si="6"/>
        <v>1</v>
      </c>
      <c r="W54" s="1084">
        <v>100</v>
      </c>
      <c r="X54" s="1216">
        <v>100</v>
      </c>
      <c r="Y54" s="990">
        <v>100</v>
      </c>
      <c r="Z54" s="1229">
        <f t="shared" si="7"/>
        <v>1</v>
      </c>
      <c r="AA54" s="1228">
        <v>100</v>
      </c>
      <c r="AB54" s="990">
        <v>100</v>
      </c>
      <c r="AC54" s="990">
        <v>100</v>
      </c>
      <c r="AD54" s="1231">
        <f t="shared" si="8"/>
        <v>1</v>
      </c>
      <c r="AE54" s="1084">
        <v>100</v>
      </c>
      <c r="AF54" s="1216">
        <v>70</v>
      </c>
      <c r="AG54" s="990">
        <v>70</v>
      </c>
      <c r="AH54" s="1229">
        <f t="shared" si="9"/>
        <v>1</v>
      </c>
      <c r="AI54" s="1228">
        <v>120</v>
      </c>
      <c r="AJ54" s="990">
        <v>120</v>
      </c>
      <c r="AK54" s="990">
        <v>120</v>
      </c>
      <c r="AL54" s="1231">
        <f t="shared" si="10"/>
        <v>1</v>
      </c>
      <c r="AM54" s="1084">
        <v>150</v>
      </c>
      <c r="AN54" s="1216">
        <v>150</v>
      </c>
      <c r="AO54" s="990">
        <v>150</v>
      </c>
      <c r="AP54" s="1229">
        <f t="shared" si="11"/>
        <v>1</v>
      </c>
      <c r="AQ54" s="1228">
        <v>400</v>
      </c>
      <c r="AR54" s="990">
        <v>500</v>
      </c>
      <c r="AS54" s="990">
        <v>500</v>
      </c>
      <c r="AT54" s="1231">
        <f t="shared" si="12"/>
        <v>1</v>
      </c>
      <c r="AU54" s="1084">
        <v>150</v>
      </c>
      <c r="AV54" s="1216">
        <v>150</v>
      </c>
      <c r="AW54" s="990">
        <v>150</v>
      </c>
      <c r="AX54" s="1229">
        <f t="shared" si="13"/>
        <v>1</v>
      </c>
      <c r="AY54" s="1228">
        <v>100</v>
      </c>
      <c r="AZ54" s="990">
        <v>100</v>
      </c>
      <c r="BA54" s="990">
        <v>100</v>
      </c>
      <c r="BB54" s="1231">
        <f t="shared" si="14"/>
        <v>1</v>
      </c>
      <c r="BC54" s="1084">
        <v>100</v>
      </c>
      <c r="BD54" s="1216">
        <v>120</v>
      </c>
      <c r="BE54" s="990">
        <v>120</v>
      </c>
      <c r="BF54" s="1229">
        <f t="shared" si="15"/>
        <v>1</v>
      </c>
      <c r="BG54" s="1230">
        <f>C54+G54+K54+O54+S54+W54+AA54+AE54+AI54+AM54+AQ54+AU54+AY54+BC54</f>
        <v>2470</v>
      </c>
      <c r="BH54" s="1216">
        <f>D54+H54+L54+P54+T54+X54+AB54+AF54+AJ54+AN54+AR54+AV54+AZ54+BD54</f>
        <v>2260</v>
      </c>
      <c r="BI54" s="990">
        <f>E54+I54+M54+Q54+U54+Y54+AC54+AG54+AK54+AO54+AS54+AW54+BA54+BE54</f>
        <v>2260</v>
      </c>
      <c r="BJ54" s="1229">
        <f t="shared" si="16"/>
        <v>1</v>
      </c>
    </row>
    <row r="55" spans="1:62" ht="15" hidden="1" customHeight="1" x14ac:dyDescent="0.2">
      <c r="A55" s="992"/>
      <c r="B55" s="991" t="s">
        <v>837</v>
      </c>
      <c r="C55" s="990"/>
      <c r="D55" s="990"/>
      <c r="E55" s="990"/>
      <c r="F55" s="1227" t="e">
        <f t="shared" si="2"/>
        <v>#DIV/0!</v>
      </c>
      <c r="G55" s="1084"/>
      <c r="H55" s="1216"/>
      <c r="I55" s="990"/>
      <c r="J55" s="1083" t="e">
        <f t="shared" si="3"/>
        <v>#DIV/0!</v>
      </c>
      <c r="K55" s="1228"/>
      <c r="L55" s="990"/>
      <c r="M55" s="990"/>
      <c r="N55" s="1227" t="e">
        <f t="shared" si="4"/>
        <v>#DIV/0!</v>
      </c>
      <c r="O55" s="1084"/>
      <c r="P55" s="1216"/>
      <c r="Q55" s="990"/>
      <c r="R55" s="1083" t="e">
        <f t="shared" si="5"/>
        <v>#DIV/0!</v>
      </c>
      <c r="S55" s="1228"/>
      <c r="T55" s="990"/>
      <c r="U55" s="990"/>
      <c r="V55" s="1227" t="e">
        <f t="shared" si="6"/>
        <v>#DIV/0!</v>
      </c>
      <c r="W55" s="1084"/>
      <c r="X55" s="1216"/>
      <c r="Y55" s="990"/>
      <c r="Z55" s="1083" t="e">
        <f t="shared" si="7"/>
        <v>#DIV/0!</v>
      </c>
      <c r="AA55" s="1228"/>
      <c r="AB55" s="990"/>
      <c r="AC55" s="990"/>
      <c r="AD55" s="1227" t="e">
        <f t="shared" si="8"/>
        <v>#DIV/0!</v>
      </c>
      <c r="AE55" s="1084"/>
      <c r="AF55" s="1216"/>
      <c r="AG55" s="990"/>
      <c r="AH55" s="1083" t="e">
        <f t="shared" si="9"/>
        <v>#DIV/0!</v>
      </c>
      <c r="AI55" s="1228"/>
      <c r="AJ55" s="990"/>
      <c r="AK55" s="990"/>
      <c r="AL55" s="1227" t="e">
        <f t="shared" si="10"/>
        <v>#DIV/0!</v>
      </c>
      <c r="AM55" s="1084"/>
      <c r="AN55" s="1216"/>
      <c r="AO55" s="990"/>
      <c r="AP55" s="1083" t="e">
        <f t="shared" si="11"/>
        <v>#DIV/0!</v>
      </c>
      <c r="AQ55" s="1228"/>
      <c r="AR55" s="990"/>
      <c r="AS55" s="990"/>
      <c r="AT55" s="1227" t="e">
        <f t="shared" si="12"/>
        <v>#DIV/0!</v>
      </c>
      <c r="AU55" s="1084"/>
      <c r="AV55" s="1216"/>
      <c r="AW55" s="990"/>
      <c r="AX55" s="1083" t="e">
        <f t="shared" si="13"/>
        <v>#DIV/0!</v>
      </c>
      <c r="AY55" s="1228"/>
      <c r="AZ55" s="990"/>
      <c r="BA55" s="990"/>
      <c r="BB55" s="1227" t="e">
        <f t="shared" si="14"/>
        <v>#DIV/0!</v>
      </c>
      <c r="BC55" s="1084"/>
      <c r="BD55" s="1216"/>
      <c r="BE55" s="990"/>
      <c r="BF55" s="1083" t="e">
        <f t="shared" si="15"/>
        <v>#DIV/0!</v>
      </c>
      <c r="BG55" s="1197"/>
      <c r="BH55" s="1196"/>
      <c r="BI55" s="1080"/>
      <c r="BJ55" s="1083" t="e">
        <f t="shared" si="16"/>
        <v>#DIV/0!</v>
      </c>
    </row>
    <row r="56" spans="1:62" s="1224" customFormat="1" ht="20.25" customHeight="1" x14ac:dyDescent="0.25">
      <c r="A56" s="1010" t="s">
        <v>66</v>
      </c>
      <c r="B56" s="996" t="s">
        <v>50</v>
      </c>
      <c r="C56" s="995"/>
      <c r="D56" s="995"/>
      <c r="E56" s="995"/>
      <c r="F56" s="1226"/>
      <c r="G56" s="1086"/>
      <c r="H56" s="1225"/>
      <c r="I56" s="995"/>
      <c r="J56" s="1085"/>
      <c r="K56" s="1009"/>
      <c r="L56" s="995"/>
      <c r="M56" s="995"/>
      <c r="N56" s="1226"/>
      <c r="O56" s="1086"/>
      <c r="P56" s="1225"/>
      <c r="Q56" s="995"/>
      <c r="R56" s="1085"/>
      <c r="S56" s="1009"/>
      <c r="T56" s="995"/>
      <c r="U56" s="995"/>
      <c r="V56" s="1226"/>
      <c r="W56" s="1086"/>
      <c r="X56" s="1225"/>
      <c r="Y56" s="995"/>
      <c r="Z56" s="1085"/>
      <c r="AA56" s="1009"/>
      <c r="AB56" s="995"/>
      <c r="AC56" s="995"/>
      <c r="AD56" s="1226"/>
      <c r="AE56" s="1086"/>
      <c r="AF56" s="1225"/>
      <c r="AG56" s="995"/>
      <c r="AH56" s="1085"/>
      <c r="AI56" s="1009"/>
      <c r="AJ56" s="995"/>
      <c r="AK56" s="995"/>
      <c r="AL56" s="1226"/>
      <c r="AM56" s="1086"/>
      <c r="AN56" s="1225"/>
      <c r="AO56" s="995"/>
      <c r="AP56" s="1085"/>
      <c r="AQ56" s="1009"/>
      <c r="AR56" s="995"/>
      <c r="AS56" s="995"/>
      <c r="AT56" s="1226"/>
      <c r="AU56" s="1086"/>
      <c r="AV56" s="1225"/>
      <c r="AW56" s="995"/>
      <c r="AX56" s="1085"/>
      <c r="AY56" s="1009"/>
      <c r="AZ56" s="995"/>
      <c r="BA56" s="995"/>
      <c r="BB56" s="1226"/>
      <c r="BC56" s="1086"/>
      <c r="BD56" s="1225"/>
      <c r="BE56" s="995"/>
      <c r="BF56" s="1085"/>
      <c r="BG56" s="1197"/>
      <c r="BH56" s="1196"/>
      <c r="BI56" s="1080"/>
      <c r="BJ56" s="1085"/>
    </row>
    <row r="57" spans="1:62" s="153" customFormat="1" ht="15" hidden="1" customHeight="1" x14ac:dyDescent="0.2">
      <c r="A57" s="992"/>
      <c r="B57" s="991" t="s">
        <v>839</v>
      </c>
      <c r="C57" s="1070"/>
      <c r="D57" s="1070"/>
      <c r="E57" s="1070"/>
      <c r="F57" s="1204"/>
      <c r="G57" s="1203"/>
      <c r="H57" s="1202"/>
      <c r="I57" s="1070"/>
      <c r="J57" s="988"/>
      <c r="K57" s="1205"/>
      <c r="L57" s="1070"/>
      <c r="M57" s="1070"/>
      <c r="N57" s="1204"/>
      <c r="O57" s="1203"/>
      <c r="P57" s="1202"/>
      <c r="Q57" s="1070"/>
      <c r="R57" s="988"/>
      <c r="S57" s="1205"/>
      <c r="T57" s="1070"/>
      <c r="U57" s="1070"/>
      <c r="V57" s="1204"/>
      <c r="W57" s="1203"/>
      <c r="X57" s="1202"/>
      <c r="Y57" s="1070"/>
      <c r="Z57" s="988"/>
      <c r="AA57" s="1205"/>
      <c r="AB57" s="1070"/>
      <c r="AC57" s="1070"/>
      <c r="AD57" s="1204"/>
      <c r="AE57" s="1203"/>
      <c r="AF57" s="1202"/>
      <c r="AG57" s="1070"/>
      <c r="AH57" s="988"/>
      <c r="AI57" s="1205"/>
      <c r="AJ57" s="1070"/>
      <c r="AK57" s="1070"/>
      <c r="AL57" s="1204"/>
      <c r="AM57" s="1203"/>
      <c r="AN57" s="1202"/>
      <c r="AO57" s="1070"/>
      <c r="AP57" s="988"/>
      <c r="AQ57" s="1205"/>
      <c r="AR57" s="1070"/>
      <c r="AS57" s="1070"/>
      <c r="AT57" s="1204"/>
      <c r="AU57" s="1203"/>
      <c r="AV57" s="1202"/>
      <c r="AW57" s="1070"/>
      <c r="AX57" s="988"/>
      <c r="AY57" s="1205"/>
      <c r="AZ57" s="1070"/>
      <c r="BA57" s="1070"/>
      <c r="BB57" s="1204"/>
      <c r="BC57" s="1203"/>
      <c r="BD57" s="1202"/>
      <c r="BE57" s="1070"/>
      <c r="BF57" s="988"/>
      <c r="BG57" s="1197"/>
      <c r="BH57" s="1196"/>
      <c r="BI57" s="1080"/>
      <c r="BJ57" s="988"/>
    </row>
    <row r="58" spans="1:62" s="153" customFormat="1" ht="15" hidden="1" customHeight="1" x14ac:dyDescent="0.2">
      <c r="A58" s="992"/>
      <c r="B58" s="991" t="s">
        <v>838</v>
      </c>
      <c r="C58" s="1070"/>
      <c r="D58" s="1070"/>
      <c r="E58" s="1070"/>
      <c r="F58" s="1204"/>
      <c r="G58" s="1203"/>
      <c r="H58" s="1202"/>
      <c r="I58" s="1070"/>
      <c r="J58" s="988"/>
      <c r="K58" s="1205"/>
      <c r="L58" s="1070"/>
      <c r="M58" s="1070"/>
      <c r="N58" s="1204"/>
      <c r="O58" s="1203"/>
      <c r="P58" s="1202"/>
      <c r="Q58" s="1070"/>
      <c r="R58" s="988"/>
      <c r="S58" s="1205"/>
      <c r="T58" s="1070"/>
      <c r="U58" s="1070"/>
      <c r="V58" s="1204"/>
      <c r="W58" s="1203"/>
      <c r="X58" s="1202"/>
      <c r="Y58" s="1070"/>
      <c r="Z58" s="988"/>
      <c r="AA58" s="1205"/>
      <c r="AB58" s="1070"/>
      <c r="AC58" s="1070"/>
      <c r="AD58" s="1204"/>
      <c r="AE58" s="1203"/>
      <c r="AF58" s="1202"/>
      <c r="AG58" s="1070"/>
      <c r="AH58" s="988"/>
      <c r="AI58" s="1205"/>
      <c r="AJ58" s="1070"/>
      <c r="AK58" s="1070"/>
      <c r="AL58" s="1204"/>
      <c r="AM58" s="1203"/>
      <c r="AN58" s="1202"/>
      <c r="AO58" s="1070"/>
      <c r="AP58" s="988"/>
      <c r="AQ58" s="1205"/>
      <c r="AR58" s="1070"/>
      <c r="AS58" s="1070"/>
      <c r="AT58" s="1204"/>
      <c r="AU58" s="1203"/>
      <c r="AV58" s="1202"/>
      <c r="AW58" s="1070"/>
      <c r="AX58" s="988"/>
      <c r="AY58" s="1205"/>
      <c r="AZ58" s="1070"/>
      <c r="BA58" s="1070"/>
      <c r="BB58" s="1204"/>
      <c r="BC58" s="1203"/>
      <c r="BD58" s="1202"/>
      <c r="BE58" s="1070"/>
      <c r="BF58" s="988"/>
      <c r="BG58" s="1197"/>
      <c r="BH58" s="1196"/>
      <c r="BI58" s="1080"/>
      <c r="BJ58" s="988"/>
    </row>
    <row r="59" spans="1:62" s="153" customFormat="1" ht="15" hidden="1" customHeight="1" x14ac:dyDescent="0.2">
      <c r="A59" s="992"/>
      <c r="B59" s="991" t="s">
        <v>837</v>
      </c>
      <c r="C59" s="1070"/>
      <c r="D59" s="1070"/>
      <c r="E59" s="1070"/>
      <c r="F59" s="1204"/>
      <c r="G59" s="1203"/>
      <c r="H59" s="1202"/>
      <c r="I59" s="1070"/>
      <c r="J59" s="988"/>
      <c r="K59" s="1205"/>
      <c r="L59" s="1070"/>
      <c r="M59" s="1070"/>
      <c r="N59" s="1204"/>
      <c r="O59" s="1203"/>
      <c r="P59" s="1202"/>
      <c r="Q59" s="1070"/>
      <c r="R59" s="988"/>
      <c r="S59" s="1205"/>
      <c r="T59" s="1070"/>
      <c r="U59" s="1070"/>
      <c r="V59" s="1204"/>
      <c r="W59" s="1203"/>
      <c r="X59" s="1202"/>
      <c r="Y59" s="1070"/>
      <c r="Z59" s="988"/>
      <c r="AA59" s="1205"/>
      <c r="AB59" s="1070"/>
      <c r="AC59" s="1070"/>
      <c r="AD59" s="1204"/>
      <c r="AE59" s="1203"/>
      <c r="AF59" s="1202"/>
      <c r="AG59" s="1070"/>
      <c r="AH59" s="988"/>
      <c r="AI59" s="1205"/>
      <c r="AJ59" s="1070"/>
      <c r="AK59" s="1070"/>
      <c r="AL59" s="1204"/>
      <c r="AM59" s="1203"/>
      <c r="AN59" s="1202"/>
      <c r="AO59" s="1070"/>
      <c r="AP59" s="988"/>
      <c r="AQ59" s="1205"/>
      <c r="AR59" s="1070"/>
      <c r="AS59" s="1070"/>
      <c r="AT59" s="1204"/>
      <c r="AU59" s="1203"/>
      <c r="AV59" s="1202"/>
      <c r="AW59" s="1070"/>
      <c r="AX59" s="988"/>
      <c r="AY59" s="1205"/>
      <c r="AZ59" s="1070"/>
      <c r="BA59" s="1070"/>
      <c r="BB59" s="1204"/>
      <c r="BC59" s="1203"/>
      <c r="BD59" s="1202"/>
      <c r="BE59" s="1070"/>
      <c r="BF59" s="988"/>
      <c r="BG59" s="1197"/>
      <c r="BH59" s="1196"/>
      <c r="BI59" s="1080"/>
      <c r="BJ59" s="988"/>
    </row>
    <row r="60" spans="1:62" s="1143" customFormat="1" ht="20.25" customHeight="1" x14ac:dyDescent="0.25">
      <c r="A60" s="1001" t="s">
        <v>200</v>
      </c>
      <c r="B60" s="996" t="s">
        <v>47</v>
      </c>
      <c r="C60" s="1219">
        <f>C61+C62+C63</f>
        <v>0</v>
      </c>
      <c r="D60" s="1219">
        <f>D61+D62+D63</f>
        <v>0</v>
      </c>
      <c r="E60" s="1219">
        <f>E61+E62+E63</f>
        <v>0</v>
      </c>
      <c r="F60" s="1222"/>
      <c r="G60" s="1223">
        <f>G61+G62+G63</f>
        <v>0</v>
      </c>
      <c r="H60" s="1218">
        <f>H61+H62+H63</f>
        <v>0</v>
      </c>
      <c r="I60" s="1219">
        <f>I61+I62+I63</f>
        <v>0</v>
      </c>
      <c r="J60" s="1220"/>
      <c r="K60" s="1219">
        <f>K61+K62+K63</f>
        <v>0</v>
      </c>
      <c r="L60" s="1219">
        <f>L61+L62+L63</f>
        <v>0</v>
      </c>
      <c r="M60" s="1219">
        <f>M61+M62+M63</f>
        <v>0</v>
      </c>
      <c r="N60" s="1222"/>
      <c r="O60" s="1210"/>
      <c r="P60" s="1209"/>
      <c r="Q60" s="1074"/>
      <c r="R60" s="1220"/>
      <c r="S60" s="1219">
        <f>S61+S62+S63</f>
        <v>0</v>
      </c>
      <c r="T60" s="1219">
        <f>T61+T62+T63</f>
        <v>0</v>
      </c>
      <c r="U60" s="1219">
        <f>U61+U62+U63</f>
        <v>0</v>
      </c>
      <c r="V60" s="1222"/>
      <c r="W60" s="1210"/>
      <c r="X60" s="1209"/>
      <c r="Y60" s="1074"/>
      <c r="Z60" s="1220"/>
      <c r="AA60" s="1219">
        <f>AA61+AA62+AA63</f>
        <v>0</v>
      </c>
      <c r="AB60" s="1219">
        <f>AB61+AB62+AB63</f>
        <v>0</v>
      </c>
      <c r="AC60" s="1219">
        <f>AC61+AC62+AC63</f>
        <v>0</v>
      </c>
      <c r="AD60" s="1222"/>
      <c r="AE60" s="1221">
        <f>SUM(AE61:AE63)</f>
        <v>0</v>
      </c>
      <c r="AF60" s="1218">
        <f>SUM(AF61:AF63)</f>
        <v>0</v>
      </c>
      <c r="AG60" s="1217">
        <f>SUM(AG61:AG63)</f>
        <v>0</v>
      </c>
      <c r="AH60" s="1220"/>
      <c r="AI60" s="1219">
        <f>SUM(AI61:AI63)</f>
        <v>0</v>
      </c>
      <c r="AJ60" s="1217">
        <f>SUM(AJ61:AJ63)</f>
        <v>0</v>
      </c>
      <c r="AK60" s="1217">
        <f>SUM(AK61:AK63)</f>
        <v>0</v>
      </c>
      <c r="AL60" s="1222"/>
      <c r="AM60" s="1221">
        <f>SUM(AM61:AM63)</f>
        <v>0</v>
      </c>
      <c r="AN60" s="1218">
        <f>SUM(AN61:AN63)</f>
        <v>0</v>
      </c>
      <c r="AO60" s="1217">
        <f>SUM(AO61:AO63)</f>
        <v>0</v>
      </c>
      <c r="AP60" s="1220"/>
      <c r="AQ60" s="1219">
        <f>SUM(AQ61:AQ63)</f>
        <v>0</v>
      </c>
      <c r="AR60" s="1217">
        <f>SUM(AR61:AR63)</f>
        <v>0</v>
      </c>
      <c r="AS60" s="1217">
        <f>SUM(AS61:AS63)</f>
        <v>0</v>
      </c>
      <c r="AT60" s="1222"/>
      <c r="AU60" s="1221">
        <f>SUM(AU61:AU63)</f>
        <v>0</v>
      </c>
      <c r="AV60" s="1218">
        <f>SUM(AV61:AV63)</f>
        <v>0</v>
      </c>
      <c r="AW60" s="1217">
        <f>SUM(AW61:AW63)</f>
        <v>0</v>
      </c>
      <c r="AX60" s="1220"/>
      <c r="AY60" s="1219">
        <f>SUM(AY61:AY63)</f>
        <v>0</v>
      </c>
      <c r="AZ60" s="1217">
        <f>SUM(AZ61:AZ63)</f>
        <v>0</v>
      </c>
      <c r="BA60" s="1217">
        <f>SUM(BA61:BA63)</f>
        <v>0</v>
      </c>
      <c r="BB60" s="1222"/>
      <c r="BC60" s="1221">
        <f>SUM(BC61:BC63)</f>
        <v>0</v>
      </c>
      <c r="BD60" s="1218">
        <f>SUM(BD61:BD63)</f>
        <v>0</v>
      </c>
      <c r="BE60" s="1217">
        <f>SUM(BE61:BE63)</f>
        <v>0</v>
      </c>
      <c r="BF60" s="1220"/>
      <c r="BG60" s="1197"/>
      <c r="BH60" s="1218">
        <f>D60+H60+L60+P60+T60+X60+AB60+AF60+AJ60+AN60+AR60+AV60+AZ60+BD60</f>
        <v>0</v>
      </c>
      <c r="BI60" s="1217">
        <f>E60+I60+M60+Q60+U60+Y60+AC60+AG60+AK60+AO60+AS60+AW60+BA60+BE60</f>
        <v>0</v>
      </c>
      <c r="BJ60" s="1220"/>
    </row>
    <row r="61" spans="1:62" s="153" customFormat="1" ht="15" hidden="1" customHeight="1" x14ac:dyDescent="0.2">
      <c r="A61" s="987"/>
      <c r="B61" s="991" t="s">
        <v>839</v>
      </c>
      <c r="C61" s="1070"/>
      <c r="D61" s="1070"/>
      <c r="E61" s="1070"/>
      <c r="F61" s="1204"/>
      <c r="G61" s="1203"/>
      <c r="H61" s="1202"/>
      <c r="I61" s="1070"/>
      <c r="J61" s="988"/>
      <c r="K61" s="1205"/>
      <c r="L61" s="1070"/>
      <c r="M61" s="1070"/>
      <c r="N61" s="1204"/>
      <c r="O61" s="1203"/>
      <c r="P61" s="1202"/>
      <c r="Q61" s="1070"/>
      <c r="R61" s="988"/>
      <c r="S61" s="1205"/>
      <c r="T61" s="1070"/>
      <c r="U61" s="1070"/>
      <c r="V61" s="1204"/>
      <c r="W61" s="1203"/>
      <c r="X61" s="1202"/>
      <c r="Y61" s="1070"/>
      <c r="Z61" s="988"/>
      <c r="AA61" s="1205"/>
      <c r="AB61" s="1070"/>
      <c r="AC61" s="1070"/>
      <c r="AD61" s="1204"/>
      <c r="AE61" s="1203"/>
      <c r="AF61" s="1202"/>
      <c r="AG61" s="1070"/>
      <c r="AH61" s="988"/>
      <c r="AI61" s="1205"/>
      <c r="AJ61" s="1070"/>
      <c r="AK61" s="1070"/>
      <c r="AL61" s="1204"/>
      <c r="AM61" s="1203"/>
      <c r="AN61" s="1202"/>
      <c r="AO61" s="1070"/>
      <c r="AP61" s="988"/>
      <c r="AQ61" s="1205"/>
      <c r="AR61" s="1070"/>
      <c r="AS61" s="1070"/>
      <c r="AT61" s="1204"/>
      <c r="AU61" s="1203"/>
      <c r="AV61" s="1202"/>
      <c r="AW61" s="1070"/>
      <c r="AX61" s="988"/>
      <c r="AY61" s="1205"/>
      <c r="AZ61" s="1070"/>
      <c r="BA61" s="1070"/>
      <c r="BB61" s="1204"/>
      <c r="BC61" s="1203"/>
      <c r="BD61" s="1202"/>
      <c r="BE61" s="1070"/>
      <c r="BF61" s="988"/>
      <c r="BG61" s="1197"/>
      <c r="BH61" s="1196"/>
      <c r="BI61" s="1080"/>
      <c r="BJ61" s="988"/>
    </row>
    <row r="62" spans="1:62" s="153" customFormat="1" ht="15" hidden="1" customHeight="1" x14ac:dyDescent="0.2">
      <c r="A62" s="987"/>
      <c r="B62" s="991" t="s">
        <v>838</v>
      </c>
      <c r="C62" s="1070"/>
      <c r="D62" s="1070"/>
      <c r="E62" s="1070"/>
      <c r="F62" s="1204"/>
      <c r="G62" s="1203"/>
      <c r="H62" s="1202"/>
      <c r="I62" s="1070"/>
      <c r="J62" s="988"/>
      <c r="K62" s="1205"/>
      <c r="L62" s="1070"/>
      <c r="M62" s="1070"/>
      <c r="N62" s="1204"/>
      <c r="O62" s="1203"/>
      <c r="P62" s="1202"/>
      <c r="Q62" s="1070"/>
      <c r="R62" s="988"/>
      <c r="S62" s="1205"/>
      <c r="T62" s="1070"/>
      <c r="U62" s="1070"/>
      <c r="V62" s="1204"/>
      <c r="W62" s="1203"/>
      <c r="X62" s="1202"/>
      <c r="Y62" s="1070"/>
      <c r="Z62" s="988"/>
      <c r="AA62" s="1205"/>
      <c r="AB62" s="1070"/>
      <c r="AC62" s="1070"/>
      <c r="AD62" s="1204"/>
      <c r="AE62" s="1203"/>
      <c r="AF62" s="1202"/>
      <c r="AG62" s="1070"/>
      <c r="AH62" s="988"/>
      <c r="AI62" s="1205"/>
      <c r="AJ62" s="1070"/>
      <c r="AK62" s="1070"/>
      <c r="AL62" s="1204"/>
      <c r="AM62" s="1203"/>
      <c r="AN62" s="1202"/>
      <c r="AO62" s="1070"/>
      <c r="AP62" s="988"/>
      <c r="AQ62" s="1205"/>
      <c r="AR62" s="1070"/>
      <c r="AS62" s="1070"/>
      <c r="AT62" s="1204"/>
      <c r="AU62" s="1203"/>
      <c r="AV62" s="1202"/>
      <c r="AW62" s="1070"/>
      <c r="AX62" s="988"/>
      <c r="AY62" s="1205"/>
      <c r="AZ62" s="1070"/>
      <c r="BA62" s="1070"/>
      <c r="BB62" s="1204"/>
      <c r="BC62" s="1203"/>
      <c r="BD62" s="1202"/>
      <c r="BE62" s="1070"/>
      <c r="BF62" s="988"/>
      <c r="BG62" s="1197"/>
      <c r="BH62" s="1216">
        <f>D62+H62+L62+P62+T62+X62+AB62+AF62+AJ62+AN62+AR62+AV62+AZ62+BD62</f>
        <v>0</v>
      </c>
      <c r="BI62" s="990">
        <f>E62+I62+M62+Q62+U62+Y62+AC62+AG62+AK62+AO62+AS62+AW62+BA62+BE62</f>
        <v>0</v>
      </c>
      <c r="BJ62" s="988"/>
    </row>
    <row r="63" spans="1:62" s="153" customFormat="1" ht="15" hidden="1" customHeight="1" x14ac:dyDescent="0.2">
      <c r="A63" s="987"/>
      <c r="B63" s="991" t="s">
        <v>837</v>
      </c>
      <c r="C63" s="1070"/>
      <c r="D63" s="1070"/>
      <c r="E63" s="1070"/>
      <c r="F63" s="1204"/>
      <c r="G63" s="1203"/>
      <c r="H63" s="1202"/>
      <c r="I63" s="1070"/>
      <c r="J63" s="988"/>
      <c r="K63" s="1205"/>
      <c r="L63" s="1070"/>
      <c r="M63" s="1070"/>
      <c r="N63" s="1204"/>
      <c r="O63" s="1203"/>
      <c r="P63" s="1202"/>
      <c r="Q63" s="1070"/>
      <c r="R63" s="988"/>
      <c r="S63" s="1205"/>
      <c r="T63" s="1070"/>
      <c r="U63" s="1070"/>
      <c r="V63" s="1204"/>
      <c r="W63" s="1203"/>
      <c r="X63" s="1202"/>
      <c r="Y63" s="1070"/>
      <c r="Z63" s="988"/>
      <c r="AA63" s="1205"/>
      <c r="AB63" s="1070"/>
      <c r="AC63" s="1070"/>
      <c r="AD63" s="1204"/>
      <c r="AE63" s="1203"/>
      <c r="AF63" s="1202"/>
      <c r="AG63" s="1070"/>
      <c r="AH63" s="988"/>
      <c r="AI63" s="1205"/>
      <c r="AJ63" s="1070"/>
      <c r="AK63" s="1070"/>
      <c r="AL63" s="1204"/>
      <c r="AM63" s="1203"/>
      <c r="AN63" s="1202"/>
      <c r="AO63" s="1070"/>
      <c r="AP63" s="988"/>
      <c r="AQ63" s="1205"/>
      <c r="AR63" s="1070"/>
      <c r="AS63" s="1070"/>
      <c r="AT63" s="1204"/>
      <c r="AU63" s="1203"/>
      <c r="AV63" s="1202"/>
      <c r="AW63" s="1070"/>
      <c r="AX63" s="988"/>
      <c r="AY63" s="1205"/>
      <c r="AZ63" s="1070"/>
      <c r="BA63" s="1070"/>
      <c r="BB63" s="1204"/>
      <c r="BC63" s="1203"/>
      <c r="BD63" s="1202"/>
      <c r="BE63" s="1070"/>
      <c r="BF63" s="988"/>
      <c r="BG63" s="1197"/>
      <c r="BH63" s="1196"/>
      <c r="BI63" s="1080"/>
      <c r="BJ63" s="988"/>
    </row>
    <row r="64" spans="1:62" s="1143" customFormat="1" ht="20.25" customHeight="1" x14ac:dyDescent="0.25">
      <c r="A64" s="1006" t="s">
        <v>420</v>
      </c>
      <c r="B64" s="996" t="s">
        <v>35</v>
      </c>
      <c r="C64" s="1074"/>
      <c r="D64" s="1074"/>
      <c r="E64" s="1074"/>
      <c r="F64" s="1211"/>
      <c r="G64" s="1210"/>
      <c r="H64" s="1209"/>
      <c r="I64" s="1074"/>
      <c r="J64" s="1072"/>
      <c r="K64" s="1212"/>
      <c r="L64" s="1074"/>
      <c r="M64" s="1074"/>
      <c r="N64" s="1211"/>
      <c r="O64" s="1210"/>
      <c r="P64" s="1209"/>
      <c r="Q64" s="1074"/>
      <c r="R64" s="1072"/>
      <c r="S64" s="1212"/>
      <c r="T64" s="1074"/>
      <c r="U64" s="1074"/>
      <c r="V64" s="1211"/>
      <c r="W64" s="1210"/>
      <c r="X64" s="1209"/>
      <c r="Y64" s="1074"/>
      <c r="Z64" s="1072"/>
      <c r="AA64" s="1212"/>
      <c r="AB64" s="1074"/>
      <c r="AC64" s="1074"/>
      <c r="AD64" s="1211"/>
      <c r="AE64" s="1210"/>
      <c r="AF64" s="1209"/>
      <c r="AG64" s="1074"/>
      <c r="AH64" s="1072"/>
      <c r="AI64" s="1212"/>
      <c r="AJ64" s="1074"/>
      <c r="AK64" s="1074"/>
      <c r="AL64" s="1211"/>
      <c r="AM64" s="1210"/>
      <c r="AN64" s="1209"/>
      <c r="AO64" s="1074"/>
      <c r="AP64" s="1072"/>
      <c r="AQ64" s="1212"/>
      <c r="AR64" s="1074"/>
      <c r="AS64" s="1074"/>
      <c r="AT64" s="1211"/>
      <c r="AU64" s="1210"/>
      <c r="AV64" s="1209"/>
      <c r="AW64" s="1074"/>
      <c r="AX64" s="1072"/>
      <c r="AY64" s="1212"/>
      <c r="AZ64" s="1074"/>
      <c r="BA64" s="1074"/>
      <c r="BB64" s="1211"/>
      <c r="BC64" s="1210"/>
      <c r="BD64" s="1209"/>
      <c r="BE64" s="1074"/>
      <c r="BF64" s="1072"/>
      <c r="BG64" s="1197"/>
      <c r="BH64" s="1196"/>
      <c r="BI64" s="1080"/>
      <c r="BJ64" s="1072"/>
    </row>
    <row r="65" spans="1:66" s="153" customFormat="1" ht="15" hidden="1" customHeight="1" x14ac:dyDescent="0.2">
      <c r="A65" s="987"/>
      <c r="B65" s="991" t="s">
        <v>839</v>
      </c>
      <c r="C65" s="1070"/>
      <c r="D65" s="1070"/>
      <c r="E65" s="1070"/>
      <c r="F65" s="1204"/>
      <c r="G65" s="1203"/>
      <c r="H65" s="1202"/>
      <c r="I65" s="1070"/>
      <c r="J65" s="988"/>
      <c r="K65" s="1205"/>
      <c r="L65" s="1070"/>
      <c r="M65" s="1070"/>
      <c r="N65" s="1204"/>
      <c r="O65" s="1203"/>
      <c r="P65" s="1202"/>
      <c r="Q65" s="1070"/>
      <c r="R65" s="988"/>
      <c r="S65" s="1205"/>
      <c r="T65" s="1070"/>
      <c r="U65" s="1070"/>
      <c r="V65" s="1204"/>
      <c r="W65" s="1203"/>
      <c r="X65" s="1202"/>
      <c r="Y65" s="1070"/>
      <c r="Z65" s="988"/>
      <c r="AA65" s="1205"/>
      <c r="AB65" s="1070"/>
      <c r="AC65" s="1070"/>
      <c r="AD65" s="1204"/>
      <c r="AE65" s="1203"/>
      <c r="AF65" s="1202"/>
      <c r="AG65" s="1070"/>
      <c r="AH65" s="988"/>
      <c r="AI65" s="1205"/>
      <c r="AJ65" s="1070"/>
      <c r="AK65" s="1070"/>
      <c r="AL65" s="1204"/>
      <c r="AM65" s="1203"/>
      <c r="AN65" s="1202"/>
      <c r="AO65" s="1070"/>
      <c r="AP65" s="988"/>
      <c r="AQ65" s="1205"/>
      <c r="AR65" s="1070"/>
      <c r="AS65" s="1070"/>
      <c r="AT65" s="1204"/>
      <c r="AU65" s="1203"/>
      <c r="AV65" s="1202"/>
      <c r="AW65" s="1070"/>
      <c r="AX65" s="988"/>
      <c r="AY65" s="1205"/>
      <c r="AZ65" s="1070"/>
      <c r="BA65" s="1070"/>
      <c r="BB65" s="1204"/>
      <c r="BC65" s="1203"/>
      <c r="BD65" s="1202"/>
      <c r="BE65" s="1070"/>
      <c r="BF65" s="988"/>
      <c r="BG65" s="1197"/>
      <c r="BH65" s="1196"/>
      <c r="BI65" s="1080"/>
      <c r="BJ65" s="988"/>
    </row>
    <row r="66" spans="1:66" s="153" customFormat="1" ht="15" hidden="1" customHeight="1" x14ac:dyDescent="0.2">
      <c r="A66" s="987"/>
      <c r="B66" s="991" t="s">
        <v>838</v>
      </c>
      <c r="C66" s="1070"/>
      <c r="D66" s="1070"/>
      <c r="E66" s="1070"/>
      <c r="F66" s="1204"/>
      <c r="G66" s="1203"/>
      <c r="H66" s="1202"/>
      <c r="I66" s="1070"/>
      <c r="J66" s="988"/>
      <c r="K66" s="1205"/>
      <c r="L66" s="1070"/>
      <c r="M66" s="1070"/>
      <c r="N66" s="1204"/>
      <c r="O66" s="1203"/>
      <c r="P66" s="1202"/>
      <c r="Q66" s="1070"/>
      <c r="R66" s="988"/>
      <c r="S66" s="1205"/>
      <c r="T66" s="1070"/>
      <c r="U66" s="1070"/>
      <c r="V66" s="1204"/>
      <c r="W66" s="1203"/>
      <c r="X66" s="1202"/>
      <c r="Y66" s="1070"/>
      <c r="Z66" s="988"/>
      <c r="AA66" s="1205"/>
      <c r="AB66" s="1070"/>
      <c r="AC66" s="1070"/>
      <c r="AD66" s="1204"/>
      <c r="AE66" s="1203"/>
      <c r="AF66" s="1202"/>
      <c r="AG66" s="1070"/>
      <c r="AH66" s="988"/>
      <c r="AI66" s="1205"/>
      <c r="AJ66" s="1070"/>
      <c r="AK66" s="1070"/>
      <c r="AL66" s="1204"/>
      <c r="AM66" s="1203"/>
      <c r="AN66" s="1202"/>
      <c r="AO66" s="1070"/>
      <c r="AP66" s="988"/>
      <c r="AQ66" s="1205"/>
      <c r="AR66" s="1070"/>
      <c r="AS66" s="1070"/>
      <c r="AT66" s="1204"/>
      <c r="AU66" s="1203"/>
      <c r="AV66" s="1202"/>
      <c r="AW66" s="1070"/>
      <c r="AX66" s="988"/>
      <c r="AY66" s="1205"/>
      <c r="AZ66" s="1070"/>
      <c r="BA66" s="1070"/>
      <c r="BB66" s="1204"/>
      <c r="BC66" s="1203"/>
      <c r="BD66" s="1202"/>
      <c r="BE66" s="1070"/>
      <c r="BF66" s="988"/>
      <c r="BG66" s="1197"/>
      <c r="BH66" s="1196"/>
      <c r="BI66" s="1080"/>
      <c r="BJ66" s="988"/>
    </row>
    <row r="67" spans="1:66" s="153" customFormat="1" ht="15" hidden="1" customHeight="1" x14ac:dyDescent="0.2">
      <c r="A67" s="987"/>
      <c r="B67" s="991" t="s">
        <v>837</v>
      </c>
      <c r="C67" s="1070"/>
      <c r="D67" s="1070"/>
      <c r="E67" s="1070"/>
      <c r="F67" s="1204"/>
      <c r="G67" s="1203"/>
      <c r="H67" s="1202"/>
      <c r="I67" s="1070"/>
      <c r="J67" s="988"/>
      <c r="K67" s="1205"/>
      <c r="L67" s="1070"/>
      <c r="M67" s="1070"/>
      <c r="N67" s="1204"/>
      <c r="O67" s="1203"/>
      <c r="P67" s="1202"/>
      <c r="Q67" s="1070"/>
      <c r="R67" s="988"/>
      <c r="S67" s="1205"/>
      <c r="T67" s="1070"/>
      <c r="U67" s="1070"/>
      <c r="V67" s="1204"/>
      <c r="W67" s="1203"/>
      <c r="X67" s="1202"/>
      <c r="Y67" s="1070"/>
      <c r="Z67" s="988"/>
      <c r="AA67" s="1205"/>
      <c r="AB67" s="1070"/>
      <c r="AC67" s="1070"/>
      <c r="AD67" s="1204"/>
      <c r="AE67" s="1203"/>
      <c r="AF67" s="1202"/>
      <c r="AG67" s="1070"/>
      <c r="AH67" s="988"/>
      <c r="AI67" s="1205"/>
      <c r="AJ67" s="1070"/>
      <c r="AK67" s="1070"/>
      <c r="AL67" s="1204"/>
      <c r="AM67" s="1203"/>
      <c r="AN67" s="1202"/>
      <c r="AO67" s="1070"/>
      <c r="AP67" s="988"/>
      <c r="AQ67" s="1205"/>
      <c r="AR67" s="1070"/>
      <c r="AS67" s="1070"/>
      <c r="AT67" s="1204"/>
      <c r="AU67" s="1203"/>
      <c r="AV67" s="1202"/>
      <c r="AW67" s="1070"/>
      <c r="AX67" s="988"/>
      <c r="AY67" s="1205"/>
      <c r="AZ67" s="1070"/>
      <c r="BA67" s="1070"/>
      <c r="BB67" s="1204"/>
      <c r="BC67" s="1203"/>
      <c r="BD67" s="1202"/>
      <c r="BE67" s="1070"/>
      <c r="BF67" s="988"/>
      <c r="BG67" s="1197"/>
      <c r="BH67" s="1196"/>
      <c r="BI67" s="1080"/>
      <c r="BJ67" s="988"/>
    </row>
    <row r="68" spans="1:66" s="1143" customFormat="1" ht="20.25" customHeight="1" x14ac:dyDescent="0.25">
      <c r="A68" s="1001" t="s">
        <v>419</v>
      </c>
      <c r="B68" s="996" t="s">
        <v>32</v>
      </c>
      <c r="C68" s="1074"/>
      <c r="D68" s="1074"/>
      <c r="E68" s="1074"/>
      <c r="F68" s="1211"/>
      <c r="G68" s="1210"/>
      <c r="H68" s="1209"/>
      <c r="I68" s="1074"/>
      <c r="J68" s="1072"/>
      <c r="K68" s="1219">
        <f>K69+K70+K71</f>
        <v>0</v>
      </c>
      <c r="L68" s="1219">
        <f>L69+L70+L71</f>
        <v>0</v>
      </c>
      <c r="M68" s="1219">
        <f>M69+M70+M71</f>
        <v>0</v>
      </c>
      <c r="N68" s="1211"/>
      <c r="O68" s="1210"/>
      <c r="P68" s="1209"/>
      <c r="Q68" s="1074"/>
      <c r="R68" s="1072"/>
      <c r="S68" s="1212"/>
      <c r="T68" s="1074"/>
      <c r="U68" s="1074"/>
      <c r="V68" s="1211"/>
      <c r="W68" s="1210"/>
      <c r="X68" s="1209"/>
      <c r="Y68" s="1074"/>
      <c r="Z68" s="1072"/>
      <c r="AA68" s="1212"/>
      <c r="AB68" s="1074"/>
      <c r="AC68" s="1074"/>
      <c r="AD68" s="1211"/>
      <c r="AE68" s="1210"/>
      <c r="AF68" s="1209"/>
      <c r="AG68" s="1074"/>
      <c r="AH68" s="1072"/>
      <c r="AI68" s="1212"/>
      <c r="AJ68" s="1074"/>
      <c r="AK68" s="1074"/>
      <c r="AL68" s="1211"/>
      <c r="AM68" s="1210"/>
      <c r="AN68" s="1209"/>
      <c r="AO68" s="1074"/>
      <c r="AP68" s="1072"/>
      <c r="AQ68" s="1212"/>
      <c r="AR68" s="1074"/>
      <c r="AS68" s="1074"/>
      <c r="AT68" s="1211"/>
      <c r="AU68" s="1210"/>
      <c r="AV68" s="1209"/>
      <c r="AW68" s="1074"/>
      <c r="AX68" s="1072"/>
      <c r="AY68" s="1212"/>
      <c r="AZ68" s="1074"/>
      <c r="BA68" s="1074"/>
      <c r="BB68" s="1211"/>
      <c r="BC68" s="1210"/>
      <c r="BD68" s="1209"/>
      <c r="BE68" s="1074"/>
      <c r="BF68" s="1072"/>
      <c r="BG68" s="1197"/>
      <c r="BH68" s="1218">
        <f>D68+H68+L68+P68+T68+X68+AB68+AF68+AJ68+AN68+AR68+AV68+AZ68+BD68</f>
        <v>0</v>
      </c>
      <c r="BI68" s="1217">
        <f>E68+I68+M68+Q68+U68+Y68+AC68+AG68+AK68+AO68+AS68+AW68+BA68+BE68</f>
        <v>0</v>
      </c>
      <c r="BJ68" s="1072"/>
      <c r="BK68" s="1326"/>
      <c r="BL68" s="1326"/>
      <c r="BM68" s="1326"/>
    </row>
    <row r="69" spans="1:66" s="153" customFormat="1" ht="15" hidden="1" customHeight="1" x14ac:dyDescent="0.2">
      <c r="A69" s="992"/>
      <c r="B69" s="991" t="s">
        <v>839</v>
      </c>
      <c r="C69" s="1070"/>
      <c r="D69" s="1070"/>
      <c r="E69" s="1070"/>
      <c r="F69" s="1204"/>
      <c r="G69" s="1203"/>
      <c r="H69" s="1202"/>
      <c r="I69" s="1070"/>
      <c r="J69" s="988"/>
      <c r="K69" s="1205"/>
      <c r="L69" s="1070"/>
      <c r="M69" s="1070"/>
      <c r="N69" s="1204"/>
      <c r="O69" s="1203"/>
      <c r="P69" s="1202"/>
      <c r="Q69" s="1070"/>
      <c r="R69" s="988"/>
      <c r="S69" s="1205"/>
      <c r="T69" s="1070"/>
      <c r="U69" s="1070"/>
      <c r="V69" s="1204"/>
      <c r="W69" s="1203"/>
      <c r="X69" s="1202"/>
      <c r="Y69" s="1070"/>
      <c r="Z69" s="988"/>
      <c r="AA69" s="1205"/>
      <c r="AB69" s="1070"/>
      <c r="AC69" s="1070"/>
      <c r="AD69" s="1204"/>
      <c r="AE69" s="1203"/>
      <c r="AF69" s="1202"/>
      <c r="AG69" s="1070"/>
      <c r="AH69" s="988"/>
      <c r="AI69" s="1205"/>
      <c r="AJ69" s="1070"/>
      <c r="AK69" s="1070"/>
      <c r="AL69" s="1204"/>
      <c r="AM69" s="1203"/>
      <c r="AN69" s="1202"/>
      <c r="AO69" s="1070"/>
      <c r="AP69" s="988"/>
      <c r="AQ69" s="1205"/>
      <c r="AR69" s="1070"/>
      <c r="AS69" s="1070"/>
      <c r="AT69" s="1204"/>
      <c r="AU69" s="1203"/>
      <c r="AV69" s="1202"/>
      <c r="AW69" s="1070"/>
      <c r="AX69" s="988"/>
      <c r="AY69" s="1205"/>
      <c r="AZ69" s="1070"/>
      <c r="BA69" s="1070"/>
      <c r="BB69" s="1204"/>
      <c r="BC69" s="1203"/>
      <c r="BD69" s="1202"/>
      <c r="BE69" s="1070"/>
      <c r="BF69" s="988"/>
      <c r="BG69" s="1197"/>
      <c r="BH69" s="1196"/>
      <c r="BI69" s="1080"/>
      <c r="BJ69" s="988"/>
      <c r="BK69" s="1327"/>
      <c r="BL69" s="1327"/>
      <c r="BM69" s="1318"/>
    </row>
    <row r="70" spans="1:66" s="153" customFormat="1" ht="15" hidden="1" customHeight="1" x14ac:dyDescent="0.2">
      <c r="A70" s="992"/>
      <c r="B70" s="991" t="s">
        <v>838</v>
      </c>
      <c r="C70" s="1070"/>
      <c r="D70" s="1070"/>
      <c r="E70" s="1070"/>
      <c r="F70" s="1204"/>
      <c r="G70" s="1203"/>
      <c r="H70" s="1202"/>
      <c r="I70" s="1070"/>
      <c r="J70" s="988"/>
      <c r="K70" s="1205"/>
      <c r="L70" s="1070"/>
      <c r="M70" s="1070"/>
      <c r="N70" s="1204"/>
      <c r="O70" s="1203"/>
      <c r="P70" s="1202"/>
      <c r="Q70" s="1070"/>
      <c r="R70" s="988"/>
      <c r="S70" s="1205"/>
      <c r="T70" s="1070"/>
      <c r="U70" s="1070"/>
      <c r="V70" s="1204"/>
      <c r="W70" s="1203"/>
      <c r="X70" s="1202"/>
      <c r="Y70" s="1070"/>
      <c r="Z70" s="988"/>
      <c r="AA70" s="1205"/>
      <c r="AB70" s="1070"/>
      <c r="AC70" s="1070"/>
      <c r="AD70" s="1204"/>
      <c r="AE70" s="1203"/>
      <c r="AF70" s="1202"/>
      <c r="AG70" s="1070"/>
      <c r="AH70" s="988"/>
      <c r="AI70" s="1205"/>
      <c r="AJ70" s="1070"/>
      <c r="AK70" s="1070"/>
      <c r="AL70" s="1204"/>
      <c r="AM70" s="1203"/>
      <c r="AN70" s="1202"/>
      <c r="AO70" s="1070"/>
      <c r="AP70" s="988"/>
      <c r="AQ70" s="1205"/>
      <c r="AR70" s="1070"/>
      <c r="AS70" s="1070"/>
      <c r="AT70" s="1204"/>
      <c r="AU70" s="1203"/>
      <c r="AV70" s="1202"/>
      <c r="AW70" s="1070"/>
      <c r="AX70" s="988"/>
      <c r="AY70" s="1205"/>
      <c r="AZ70" s="1070"/>
      <c r="BA70" s="1070"/>
      <c r="BB70" s="1204"/>
      <c r="BC70" s="1203"/>
      <c r="BD70" s="1202"/>
      <c r="BE70" s="1070"/>
      <c r="BF70" s="988"/>
      <c r="BG70" s="1197"/>
      <c r="BH70" s="1216">
        <f>D70+H70+L70+P70+T70+X70+AB70+AF70+AJ70+AN70+AR70+AV70+AZ70+BD70</f>
        <v>0</v>
      </c>
      <c r="BI70" s="990">
        <f>E70+I70+M70+Q70+U70+Y70+AC70+AG70+AK70+AO70+AS70+AW70+BA70+BE70</f>
        <v>0</v>
      </c>
      <c r="BJ70" s="988"/>
      <c r="BK70" s="1327"/>
      <c r="BL70" s="1327"/>
      <c r="BM70" s="1319"/>
    </row>
    <row r="71" spans="1:66" s="153" customFormat="1" ht="15" hidden="1" customHeight="1" x14ac:dyDescent="0.2">
      <c r="A71" s="992"/>
      <c r="B71" s="991" t="s">
        <v>837</v>
      </c>
      <c r="C71" s="1070"/>
      <c r="D71" s="1070"/>
      <c r="E71" s="1070"/>
      <c r="F71" s="1204"/>
      <c r="G71" s="1203"/>
      <c r="H71" s="1202"/>
      <c r="I71" s="1070"/>
      <c r="J71" s="988"/>
      <c r="K71" s="1205"/>
      <c r="L71" s="1070"/>
      <c r="M71" s="1070"/>
      <c r="N71" s="1204"/>
      <c r="O71" s="1203"/>
      <c r="P71" s="1202"/>
      <c r="Q71" s="1070"/>
      <c r="R71" s="988"/>
      <c r="S71" s="1205"/>
      <c r="T71" s="1070"/>
      <c r="U71" s="1070"/>
      <c r="V71" s="1204"/>
      <c r="W71" s="1203"/>
      <c r="X71" s="1202"/>
      <c r="Y71" s="1070"/>
      <c r="Z71" s="988"/>
      <c r="AA71" s="1205"/>
      <c r="AB71" s="1070"/>
      <c r="AC71" s="1070"/>
      <c r="AD71" s="1204"/>
      <c r="AE71" s="1203"/>
      <c r="AF71" s="1202"/>
      <c r="AG71" s="1070"/>
      <c r="AH71" s="988"/>
      <c r="AI71" s="1205"/>
      <c r="AJ71" s="1070"/>
      <c r="AK71" s="1070"/>
      <c r="AL71" s="1204"/>
      <c r="AM71" s="1203"/>
      <c r="AN71" s="1202"/>
      <c r="AO71" s="1070"/>
      <c r="AP71" s="988"/>
      <c r="AQ71" s="1205"/>
      <c r="AR71" s="1070"/>
      <c r="AS71" s="1070"/>
      <c r="AT71" s="1204"/>
      <c r="AU71" s="1203"/>
      <c r="AV71" s="1202"/>
      <c r="AW71" s="1070"/>
      <c r="AX71" s="988"/>
      <c r="AY71" s="1205"/>
      <c r="AZ71" s="1070"/>
      <c r="BA71" s="1070"/>
      <c r="BB71" s="1204"/>
      <c r="BC71" s="1203"/>
      <c r="BD71" s="1202"/>
      <c r="BE71" s="1070"/>
      <c r="BF71" s="988"/>
      <c r="BG71" s="1197"/>
      <c r="BH71" s="1196"/>
      <c r="BI71" s="1080"/>
      <c r="BJ71" s="988"/>
      <c r="BK71" s="1215"/>
      <c r="BL71" s="1215"/>
      <c r="BM71" s="1214"/>
    </row>
    <row r="72" spans="1:66" s="1143" customFormat="1" ht="20.25" customHeight="1" x14ac:dyDescent="0.25">
      <c r="A72" s="1006" t="s">
        <v>418</v>
      </c>
      <c r="B72" s="1005" t="s">
        <v>29</v>
      </c>
      <c r="C72" s="1074"/>
      <c r="D72" s="1074"/>
      <c r="E72" s="1074"/>
      <c r="F72" s="1211"/>
      <c r="G72" s="1210"/>
      <c r="H72" s="1209"/>
      <c r="I72" s="1074"/>
      <c r="J72" s="1072"/>
      <c r="K72" s="1212"/>
      <c r="L72" s="1074"/>
      <c r="M72" s="1074"/>
      <c r="N72" s="1211"/>
      <c r="O72" s="1210"/>
      <c r="P72" s="1209"/>
      <c r="Q72" s="1074"/>
      <c r="R72" s="1072"/>
      <c r="S72" s="1212"/>
      <c r="T72" s="1074"/>
      <c r="U72" s="1074"/>
      <c r="V72" s="1211"/>
      <c r="W72" s="1210"/>
      <c r="X72" s="1209"/>
      <c r="Y72" s="1074"/>
      <c r="Z72" s="1072"/>
      <c r="AA72" s="1212"/>
      <c r="AB72" s="1074"/>
      <c r="AC72" s="1074"/>
      <c r="AD72" s="1211"/>
      <c r="AE72" s="1210"/>
      <c r="AF72" s="1209"/>
      <c r="AG72" s="1074"/>
      <c r="AH72" s="1072"/>
      <c r="AI72" s="1212"/>
      <c r="AJ72" s="1074"/>
      <c r="AK72" s="1074"/>
      <c r="AL72" s="1211"/>
      <c r="AM72" s="1210"/>
      <c r="AN72" s="1209"/>
      <c r="AO72" s="1074"/>
      <c r="AP72" s="1072"/>
      <c r="AQ72" s="1212"/>
      <c r="AR72" s="1074"/>
      <c r="AS72" s="1074"/>
      <c r="AT72" s="1211"/>
      <c r="AU72" s="1210"/>
      <c r="AV72" s="1209"/>
      <c r="AW72" s="1074"/>
      <c r="AX72" s="1072"/>
      <c r="AY72" s="1212"/>
      <c r="AZ72" s="1074"/>
      <c r="BA72" s="1074"/>
      <c r="BB72" s="1211"/>
      <c r="BC72" s="1210"/>
      <c r="BD72" s="1209"/>
      <c r="BE72" s="1074"/>
      <c r="BF72" s="1072"/>
      <c r="BG72" s="1197"/>
      <c r="BH72" s="1196"/>
      <c r="BI72" s="1080"/>
      <c r="BJ72" s="1072"/>
      <c r="BK72" s="1208"/>
      <c r="BL72" s="1208"/>
      <c r="BM72" s="1207"/>
    </row>
    <row r="73" spans="1:66" s="153" customFormat="1" ht="15" hidden="1" customHeight="1" x14ac:dyDescent="0.2">
      <c r="A73" s="992"/>
      <c r="B73" s="991" t="s">
        <v>839</v>
      </c>
      <c r="C73" s="1070"/>
      <c r="D73" s="1070"/>
      <c r="E73" s="1070"/>
      <c r="F73" s="1204"/>
      <c r="G73" s="1203"/>
      <c r="H73" s="1202"/>
      <c r="I73" s="1070"/>
      <c r="J73" s="988"/>
      <c r="K73" s="1205"/>
      <c r="L73" s="1070"/>
      <c r="M73" s="1070"/>
      <c r="N73" s="1204"/>
      <c r="O73" s="1203"/>
      <c r="P73" s="1202"/>
      <c r="Q73" s="1070"/>
      <c r="R73" s="988"/>
      <c r="S73" s="1205"/>
      <c r="T73" s="1070"/>
      <c r="U73" s="1070"/>
      <c r="V73" s="1204"/>
      <c r="W73" s="1203"/>
      <c r="X73" s="1202"/>
      <c r="Y73" s="1070"/>
      <c r="Z73" s="988"/>
      <c r="AA73" s="1205"/>
      <c r="AB73" s="1070"/>
      <c r="AC73" s="1070"/>
      <c r="AD73" s="1204"/>
      <c r="AE73" s="1203"/>
      <c r="AF73" s="1202"/>
      <c r="AG73" s="1070"/>
      <c r="AH73" s="988"/>
      <c r="AI73" s="1205"/>
      <c r="AJ73" s="1070"/>
      <c r="AK73" s="1070"/>
      <c r="AL73" s="1204"/>
      <c r="AM73" s="1203"/>
      <c r="AN73" s="1202"/>
      <c r="AO73" s="1070"/>
      <c r="AP73" s="988"/>
      <c r="AQ73" s="1205"/>
      <c r="AR73" s="1070"/>
      <c r="AS73" s="1070"/>
      <c r="AT73" s="1204"/>
      <c r="AU73" s="1203"/>
      <c r="AV73" s="1202"/>
      <c r="AW73" s="1070"/>
      <c r="AX73" s="988"/>
      <c r="AY73" s="1205"/>
      <c r="AZ73" s="1070"/>
      <c r="BA73" s="1070"/>
      <c r="BB73" s="1204"/>
      <c r="BC73" s="1203"/>
      <c r="BD73" s="1202"/>
      <c r="BE73" s="1070"/>
      <c r="BF73" s="988"/>
      <c r="BG73" s="1197"/>
      <c r="BH73" s="1196"/>
      <c r="BI73" s="1080"/>
      <c r="BJ73" s="988"/>
      <c r="BK73" s="1170"/>
      <c r="BL73" s="1170"/>
      <c r="BM73" s="1166"/>
    </row>
    <row r="74" spans="1:66" s="153" customFormat="1" ht="15" hidden="1" customHeight="1" x14ac:dyDescent="0.2">
      <c r="A74" s="992"/>
      <c r="B74" s="991" t="s">
        <v>838</v>
      </c>
      <c r="C74" s="1070"/>
      <c r="D74" s="1070"/>
      <c r="E74" s="1070"/>
      <c r="F74" s="1204"/>
      <c r="G74" s="1203"/>
      <c r="H74" s="1202"/>
      <c r="I74" s="1070"/>
      <c r="J74" s="988"/>
      <c r="K74" s="1205"/>
      <c r="L74" s="1070"/>
      <c r="M74" s="1070"/>
      <c r="N74" s="1204"/>
      <c r="O74" s="1203"/>
      <c r="P74" s="1202"/>
      <c r="Q74" s="1070"/>
      <c r="R74" s="988"/>
      <c r="S74" s="1205"/>
      <c r="T74" s="1070"/>
      <c r="U74" s="1070"/>
      <c r="V74" s="1204"/>
      <c r="W74" s="1203"/>
      <c r="X74" s="1202"/>
      <c r="Y74" s="1070"/>
      <c r="Z74" s="988"/>
      <c r="AA74" s="1205"/>
      <c r="AB74" s="1070"/>
      <c r="AC74" s="1070"/>
      <c r="AD74" s="1204"/>
      <c r="AE74" s="1203"/>
      <c r="AF74" s="1202"/>
      <c r="AG74" s="1070"/>
      <c r="AH74" s="988"/>
      <c r="AI74" s="1205"/>
      <c r="AJ74" s="1070"/>
      <c r="AK74" s="1070"/>
      <c r="AL74" s="1204"/>
      <c r="AM74" s="1203"/>
      <c r="AN74" s="1202"/>
      <c r="AO74" s="1070"/>
      <c r="AP74" s="988"/>
      <c r="AQ74" s="1205"/>
      <c r="AR74" s="1070"/>
      <c r="AS74" s="1070"/>
      <c r="AT74" s="1204"/>
      <c r="AU74" s="1203"/>
      <c r="AV74" s="1202"/>
      <c r="AW74" s="1070"/>
      <c r="AX74" s="988"/>
      <c r="AY74" s="1205"/>
      <c r="AZ74" s="1070"/>
      <c r="BA74" s="1070"/>
      <c r="BB74" s="1204"/>
      <c r="BC74" s="1203"/>
      <c r="BD74" s="1202"/>
      <c r="BE74" s="1070"/>
      <c r="BF74" s="988"/>
      <c r="BG74" s="1197"/>
      <c r="BH74" s="1196"/>
      <c r="BI74" s="1080"/>
      <c r="BJ74" s="988"/>
      <c r="BK74" s="1170"/>
      <c r="BL74" s="1170"/>
      <c r="BM74" s="1166"/>
    </row>
    <row r="75" spans="1:66" s="153" customFormat="1" ht="15" hidden="1" customHeight="1" x14ac:dyDescent="0.2">
      <c r="A75" s="992"/>
      <c r="B75" s="991" t="s">
        <v>837</v>
      </c>
      <c r="C75" s="1070"/>
      <c r="D75" s="1070"/>
      <c r="E75" s="1070"/>
      <c r="F75" s="1204"/>
      <c r="G75" s="1203"/>
      <c r="H75" s="1202"/>
      <c r="I75" s="1070"/>
      <c r="J75" s="988"/>
      <c r="K75" s="1205"/>
      <c r="L75" s="1070"/>
      <c r="M75" s="1070"/>
      <c r="N75" s="1204"/>
      <c r="O75" s="1203"/>
      <c r="P75" s="1202"/>
      <c r="Q75" s="1070"/>
      <c r="R75" s="988"/>
      <c r="S75" s="1205"/>
      <c r="T75" s="1070"/>
      <c r="U75" s="1070"/>
      <c r="V75" s="1204"/>
      <c r="W75" s="1203"/>
      <c r="X75" s="1202"/>
      <c r="Y75" s="1070"/>
      <c r="Z75" s="988"/>
      <c r="AA75" s="1205"/>
      <c r="AB75" s="1070"/>
      <c r="AC75" s="1070"/>
      <c r="AD75" s="1204"/>
      <c r="AE75" s="1203"/>
      <c r="AF75" s="1202"/>
      <c r="AG75" s="1070"/>
      <c r="AH75" s="988"/>
      <c r="AI75" s="1205"/>
      <c r="AJ75" s="1070"/>
      <c r="AK75" s="1070"/>
      <c r="AL75" s="1204"/>
      <c r="AM75" s="1203"/>
      <c r="AN75" s="1202"/>
      <c r="AO75" s="1070"/>
      <c r="AP75" s="988"/>
      <c r="AQ75" s="1205"/>
      <c r="AR75" s="1070"/>
      <c r="AS75" s="1070"/>
      <c r="AT75" s="1204"/>
      <c r="AU75" s="1203"/>
      <c r="AV75" s="1202"/>
      <c r="AW75" s="1070"/>
      <c r="AX75" s="988"/>
      <c r="AY75" s="1205"/>
      <c r="AZ75" s="1070"/>
      <c r="BA75" s="1070"/>
      <c r="BB75" s="1204"/>
      <c r="BC75" s="1203"/>
      <c r="BD75" s="1202"/>
      <c r="BE75" s="1070"/>
      <c r="BF75" s="988"/>
      <c r="BG75" s="1197"/>
      <c r="BH75" s="1196"/>
      <c r="BI75" s="1080"/>
      <c r="BJ75" s="988"/>
      <c r="BK75" s="1170"/>
      <c r="BL75" s="1170"/>
      <c r="BM75" s="1166"/>
    </row>
    <row r="76" spans="1:66" s="1213" customFormat="1" ht="20.25" customHeight="1" x14ac:dyDescent="0.25">
      <c r="A76" s="1001" t="s">
        <v>417</v>
      </c>
      <c r="B76" s="1000" t="s">
        <v>26</v>
      </c>
      <c r="C76" s="1074"/>
      <c r="D76" s="1074"/>
      <c r="E76" s="1074"/>
      <c r="F76" s="1211"/>
      <c r="G76" s="1210"/>
      <c r="H76" s="1209"/>
      <c r="I76" s="1074"/>
      <c r="J76" s="1072"/>
      <c r="K76" s="1212"/>
      <c r="L76" s="1074"/>
      <c r="M76" s="1074"/>
      <c r="N76" s="1211"/>
      <c r="O76" s="1210"/>
      <c r="P76" s="1209"/>
      <c r="Q76" s="1074"/>
      <c r="R76" s="1072"/>
      <c r="S76" s="1212"/>
      <c r="T76" s="1074"/>
      <c r="U76" s="1074"/>
      <c r="V76" s="1211"/>
      <c r="W76" s="1210"/>
      <c r="X76" s="1209"/>
      <c r="Y76" s="1074"/>
      <c r="Z76" s="1072"/>
      <c r="AA76" s="1212"/>
      <c r="AB76" s="1074"/>
      <c r="AC76" s="1074"/>
      <c r="AD76" s="1211"/>
      <c r="AE76" s="1210"/>
      <c r="AF76" s="1209"/>
      <c r="AG76" s="1074"/>
      <c r="AH76" s="1072"/>
      <c r="AI76" s="1212"/>
      <c r="AJ76" s="1074"/>
      <c r="AK76" s="1074"/>
      <c r="AL76" s="1211"/>
      <c r="AM76" s="1210"/>
      <c r="AN76" s="1209"/>
      <c r="AO76" s="1074"/>
      <c r="AP76" s="1072"/>
      <c r="AQ76" s="1212"/>
      <c r="AR76" s="1074"/>
      <c r="AS76" s="1074"/>
      <c r="AT76" s="1211"/>
      <c r="AU76" s="1210"/>
      <c r="AV76" s="1209"/>
      <c r="AW76" s="1074"/>
      <c r="AX76" s="1072"/>
      <c r="AY76" s="1212"/>
      <c r="AZ76" s="1074"/>
      <c r="BA76" s="1074"/>
      <c r="BB76" s="1211"/>
      <c r="BC76" s="1210"/>
      <c r="BD76" s="1209"/>
      <c r="BE76" s="1074"/>
      <c r="BF76" s="1072"/>
      <c r="BG76" s="1197"/>
      <c r="BH76" s="1196"/>
      <c r="BI76" s="1080"/>
      <c r="BJ76" s="1072"/>
      <c r="BK76" s="1208"/>
      <c r="BL76" s="1208"/>
      <c r="BM76" s="1207"/>
      <c r="BN76" s="1206"/>
    </row>
    <row r="77" spans="1:66" s="153" customFormat="1" ht="15" hidden="1" customHeight="1" x14ac:dyDescent="0.2">
      <c r="A77" s="992"/>
      <c r="B77" s="991" t="s">
        <v>839</v>
      </c>
      <c r="C77" s="1070"/>
      <c r="D77" s="1070"/>
      <c r="E77" s="1070"/>
      <c r="F77" s="1204"/>
      <c r="G77" s="1203"/>
      <c r="H77" s="1202"/>
      <c r="I77" s="1070"/>
      <c r="J77" s="988"/>
      <c r="K77" s="1205"/>
      <c r="L77" s="1070"/>
      <c r="M77" s="1070"/>
      <c r="N77" s="1204"/>
      <c r="O77" s="1203"/>
      <c r="P77" s="1202"/>
      <c r="Q77" s="1070"/>
      <c r="R77" s="988"/>
      <c r="S77" s="1205"/>
      <c r="T77" s="1070"/>
      <c r="U77" s="1070"/>
      <c r="V77" s="1204"/>
      <c r="W77" s="1203"/>
      <c r="X77" s="1202"/>
      <c r="Y77" s="1070"/>
      <c r="Z77" s="988"/>
      <c r="AA77" s="1205"/>
      <c r="AB77" s="1070"/>
      <c r="AC77" s="1070"/>
      <c r="AD77" s="1204"/>
      <c r="AE77" s="1203"/>
      <c r="AF77" s="1202"/>
      <c r="AG77" s="1070"/>
      <c r="AH77" s="988"/>
      <c r="AI77" s="1205"/>
      <c r="AJ77" s="1070"/>
      <c r="AK77" s="1070"/>
      <c r="AL77" s="1204"/>
      <c r="AM77" s="1203"/>
      <c r="AN77" s="1202"/>
      <c r="AO77" s="1070"/>
      <c r="AP77" s="988"/>
      <c r="AQ77" s="1205"/>
      <c r="AR77" s="1070"/>
      <c r="AS77" s="1070"/>
      <c r="AT77" s="1204"/>
      <c r="AU77" s="1203"/>
      <c r="AV77" s="1202"/>
      <c r="AW77" s="1070"/>
      <c r="AX77" s="988"/>
      <c r="AY77" s="1205"/>
      <c r="AZ77" s="1070"/>
      <c r="BA77" s="1070"/>
      <c r="BB77" s="1204"/>
      <c r="BC77" s="1203"/>
      <c r="BD77" s="1202"/>
      <c r="BE77" s="1070"/>
      <c r="BF77" s="988"/>
      <c r="BG77" s="1197"/>
      <c r="BH77" s="1196"/>
      <c r="BI77" s="1080"/>
      <c r="BJ77" s="988"/>
      <c r="BK77" s="1170"/>
      <c r="BL77" s="1170"/>
      <c r="BM77" s="1166"/>
    </row>
    <row r="78" spans="1:66" s="153" customFormat="1" ht="15" hidden="1" customHeight="1" x14ac:dyDescent="0.2">
      <c r="A78" s="992"/>
      <c r="B78" s="991" t="s">
        <v>838</v>
      </c>
      <c r="C78" s="1070"/>
      <c r="D78" s="1070"/>
      <c r="E78" s="1070"/>
      <c r="F78" s="1204"/>
      <c r="G78" s="1203"/>
      <c r="H78" s="1202"/>
      <c r="I78" s="1070"/>
      <c r="J78" s="988"/>
      <c r="K78" s="1205"/>
      <c r="L78" s="1070"/>
      <c r="M78" s="1070"/>
      <c r="N78" s="1204"/>
      <c r="O78" s="1203"/>
      <c r="P78" s="1202"/>
      <c r="Q78" s="1070"/>
      <c r="R78" s="988"/>
      <c r="S78" s="1205"/>
      <c r="T78" s="1070"/>
      <c r="U78" s="1070"/>
      <c r="V78" s="1204"/>
      <c r="W78" s="1203"/>
      <c r="X78" s="1202"/>
      <c r="Y78" s="1070"/>
      <c r="Z78" s="988"/>
      <c r="AA78" s="1205"/>
      <c r="AB78" s="1070"/>
      <c r="AC78" s="1070"/>
      <c r="AD78" s="1204"/>
      <c r="AE78" s="1203"/>
      <c r="AF78" s="1202"/>
      <c r="AG78" s="1070"/>
      <c r="AH78" s="988"/>
      <c r="AI78" s="1205"/>
      <c r="AJ78" s="1070"/>
      <c r="AK78" s="1070"/>
      <c r="AL78" s="1204"/>
      <c r="AM78" s="1203"/>
      <c r="AN78" s="1202"/>
      <c r="AO78" s="1070"/>
      <c r="AP78" s="988"/>
      <c r="AQ78" s="1205"/>
      <c r="AR78" s="1070"/>
      <c r="AS78" s="1070"/>
      <c r="AT78" s="1204"/>
      <c r="AU78" s="1203"/>
      <c r="AV78" s="1202"/>
      <c r="AW78" s="1070"/>
      <c r="AX78" s="988"/>
      <c r="AY78" s="1205"/>
      <c r="AZ78" s="1070"/>
      <c r="BA78" s="1070"/>
      <c r="BB78" s="1204"/>
      <c r="BC78" s="1203"/>
      <c r="BD78" s="1202"/>
      <c r="BE78" s="1070"/>
      <c r="BF78" s="988"/>
      <c r="BG78" s="1197"/>
      <c r="BH78" s="1196"/>
      <c r="BI78" s="1080"/>
      <c r="BJ78" s="988"/>
      <c r="BK78" s="1170"/>
      <c r="BL78" s="1170"/>
      <c r="BM78" s="1166"/>
    </row>
    <row r="79" spans="1:66" s="153" customFormat="1" ht="15" hidden="1" customHeight="1" x14ac:dyDescent="0.2">
      <c r="A79" s="992"/>
      <c r="B79" s="991" t="s">
        <v>837</v>
      </c>
      <c r="C79" s="1070"/>
      <c r="D79" s="1070"/>
      <c r="E79" s="1070"/>
      <c r="F79" s="1204"/>
      <c r="G79" s="1203"/>
      <c r="H79" s="1202"/>
      <c r="I79" s="1070"/>
      <c r="J79" s="988"/>
      <c r="K79" s="1205"/>
      <c r="L79" s="1070"/>
      <c r="M79" s="1070"/>
      <c r="N79" s="1204"/>
      <c r="O79" s="1203"/>
      <c r="P79" s="1202"/>
      <c r="Q79" s="1070"/>
      <c r="R79" s="988"/>
      <c r="S79" s="1205"/>
      <c r="T79" s="1070"/>
      <c r="U79" s="1070"/>
      <c r="V79" s="1204"/>
      <c r="W79" s="1203"/>
      <c r="X79" s="1202"/>
      <c r="Y79" s="1070"/>
      <c r="Z79" s="988"/>
      <c r="AA79" s="1205"/>
      <c r="AB79" s="1070"/>
      <c r="AC79" s="1070"/>
      <c r="AD79" s="1204"/>
      <c r="AE79" s="1203"/>
      <c r="AF79" s="1202"/>
      <c r="AG79" s="1070"/>
      <c r="AH79" s="988"/>
      <c r="AI79" s="1205"/>
      <c r="AJ79" s="1070"/>
      <c r="AK79" s="1070"/>
      <c r="AL79" s="1204"/>
      <c r="AM79" s="1203"/>
      <c r="AN79" s="1202"/>
      <c r="AO79" s="1070"/>
      <c r="AP79" s="988"/>
      <c r="AQ79" s="1205"/>
      <c r="AR79" s="1070"/>
      <c r="AS79" s="1070"/>
      <c r="AT79" s="1204"/>
      <c r="AU79" s="1203"/>
      <c r="AV79" s="1202"/>
      <c r="AW79" s="1070"/>
      <c r="AX79" s="988"/>
      <c r="AY79" s="1205"/>
      <c r="AZ79" s="1070"/>
      <c r="BA79" s="1070"/>
      <c r="BB79" s="1204"/>
      <c r="BC79" s="1203"/>
      <c r="BD79" s="1202"/>
      <c r="BE79" s="1070"/>
      <c r="BF79" s="988"/>
      <c r="BG79" s="1197"/>
      <c r="BH79" s="1196"/>
      <c r="BI79" s="1080"/>
      <c r="BJ79" s="988"/>
      <c r="BK79" s="1170"/>
      <c r="BL79" s="1170"/>
      <c r="BM79" s="1166"/>
    </row>
    <row r="80" spans="1:66" s="1143" customFormat="1" ht="20.25" customHeight="1" thickBot="1" x14ac:dyDescent="0.3">
      <c r="A80" s="997" t="s">
        <v>416</v>
      </c>
      <c r="B80" s="996" t="s">
        <v>415</v>
      </c>
      <c r="C80" s="1074"/>
      <c r="D80" s="1074"/>
      <c r="E80" s="1074"/>
      <c r="F80" s="1211"/>
      <c r="G80" s="1210"/>
      <c r="H80" s="1209"/>
      <c r="I80" s="1074"/>
      <c r="J80" s="1072"/>
      <c r="K80" s="1212"/>
      <c r="L80" s="1074"/>
      <c r="M80" s="1074"/>
      <c r="N80" s="1211"/>
      <c r="O80" s="1210"/>
      <c r="P80" s="1209"/>
      <c r="Q80" s="1074"/>
      <c r="R80" s="1072"/>
      <c r="S80" s="1212"/>
      <c r="T80" s="1074"/>
      <c r="U80" s="1074"/>
      <c r="V80" s="1211"/>
      <c r="W80" s="1210"/>
      <c r="X80" s="1209"/>
      <c r="Y80" s="1074"/>
      <c r="Z80" s="1072"/>
      <c r="AA80" s="1212"/>
      <c r="AB80" s="1074"/>
      <c r="AC80" s="1074"/>
      <c r="AD80" s="1211"/>
      <c r="AE80" s="1210"/>
      <c r="AF80" s="1209"/>
      <c r="AG80" s="1074"/>
      <c r="AH80" s="1072"/>
      <c r="AI80" s="1212"/>
      <c r="AJ80" s="1074"/>
      <c r="AK80" s="1074"/>
      <c r="AL80" s="1211"/>
      <c r="AM80" s="1210"/>
      <c r="AN80" s="1209"/>
      <c r="AO80" s="1074"/>
      <c r="AP80" s="1072"/>
      <c r="AQ80" s="1212"/>
      <c r="AR80" s="1074"/>
      <c r="AS80" s="1074"/>
      <c r="AT80" s="1211"/>
      <c r="AU80" s="1210"/>
      <c r="AV80" s="1209"/>
      <c r="AW80" s="1074"/>
      <c r="AX80" s="1072"/>
      <c r="AY80" s="1212"/>
      <c r="AZ80" s="1074"/>
      <c r="BA80" s="1074"/>
      <c r="BB80" s="1211"/>
      <c r="BC80" s="1210"/>
      <c r="BD80" s="1209"/>
      <c r="BE80" s="1074"/>
      <c r="BF80" s="1072"/>
      <c r="BG80" s="1197"/>
      <c r="BH80" s="1196"/>
      <c r="BI80" s="1080"/>
      <c r="BJ80" s="1072"/>
      <c r="BK80" s="1208"/>
      <c r="BL80" s="1208"/>
      <c r="BM80" s="1207"/>
      <c r="BN80" s="1206"/>
    </row>
    <row r="81" spans="1:65" s="153" customFormat="1" ht="15" hidden="1" customHeight="1" x14ac:dyDescent="0.2">
      <c r="A81" s="992"/>
      <c r="B81" s="991" t="s">
        <v>839</v>
      </c>
      <c r="C81" s="1070"/>
      <c r="D81" s="1070"/>
      <c r="E81" s="1070"/>
      <c r="F81" s="1204" t="e">
        <f t="shared" ref="F81:F87" si="17">E81/D81</f>
        <v>#DIV/0!</v>
      </c>
      <c r="G81" s="1203"/>
      <c r="H81" s="1202"/>
      <c r="I81" s="1070"/>
      <c r="J81" s="988" t="e">
        <f t="shared" ref="J81:J87" si="18">I81/H81</f>
        <v>#DIV/0!</v>
      </c>
      <c r="K81" s="1205"/>
      <c r="L81" s="1070"/>
      <c r="M81" s="1070"/>
      <c r="N81" s="1204" t="e">
        <f t="shared" ref="N81:N87" si="19">M81/L81</f>
        <v>#DIV/0!</v>
      </c>
      <c r="O81" s="1203"/>
      <c r="P81" s="1202"/>
      <c r="Q81" s="1070"/>
      <c r="R81" s="988" t="e">
        <f t="shared" ref="R81:R87" si="20">Q81/P81</f>
        <v>#DIV/0!</v>
      </c>
      <c r="S81" s="1205"/>
      <c r="T81" s="1070"/>
      <c r="U81" s="1070"/>
      <c r="V81" s="1204" t="e">
        <f t="shared" ref="V81:V87" si="21">U81/T81</f>
        <v>#DIV/0!</v>
      </c>
      <c r="W81" s="1203"/>
      <c r="X81" s="1202"/>
      <c r="Y81" s="1070"/>
      <c r="Z81" s="988" t="e">
        <f t="shared" ref="Z81:Z87" si="22">Y81/X81</f>
        <v>#DIV/0!</v>
      </c>
      <c r="AA81" s="1205"/>
      <c r="AB81" s="1070"/>
      <c r="AC81" s="1070"/>
      <c r="AD81" s="1204" t="e">
        <f t="shared" ref="AD81:AD87" si="23">AC81/AB81</f>
        <v>#DIV/0!</v>
      </c>
      <c r="AE81" s="1203"/>
      <c r="AF81" s="1202"/>
      <c r="AG81" s="1070"/>
      <c r="AH81" s="988" t="e">
        <f t="shared" ref="AH81:AH87" si="24">AG81/AF81</f>
        <v>#DIV/0!</v>
      </c>
      <c r="AI81" s="1205"/>
      <c r="AJ81" s="1070"/>
      <c r="AK81" s="1070"/>
      <c r="AL81" s="1204" t="e">
        <f t="shared" ref="AL81:AL87" si="25">AK81/AJ81</f>
        <v>#DIV/0!</v>
      </c>
      <c r="AM81" s="1203"/>
      <c r="AN81" s="1202"/>
      <c r="AO81" s="1070"/>
      <c r="AP81" s="988" t="e">
        <f t="shared" ref="AP81:AP87" si="26">AO81/AN81</f>
        <v>#DIV/0!</v>
      </c>
      <c r="AQ81" s="1205"/>
      <c r="AR81" s="1070"/>
      <c r="AS81" s="1070"/>
      <c r="AT81" s="1204" t="e">
        <f t="shared" ref="AT81:AT87" si="27">AS81/AR81</f>
        <v>#DIV/0!</v>
      </c>
      <c r="AU81" s="1203"/>
      <c r="AV81" s="1202"/>
      <c r="AW81" s="1070"/>
      <c r="AX81" s="988" t="e">
        <f t="shared" ref="AX81:AX87" si="28">AW81/AV81</f>
        <v>#DIV/0!</v>
      </c>
      <c r="AY81" s="1205"/>
      <c r="AZ81" s="1070"/>
      <c r="BA81" s="1070"/>
      <c r="BB81" s="1204" t="e">
        <f t="shared" ref="BB81:BB87" si="29">BA81/AZ81</f>
        <v>#DIV/0!</v>
      </c>
      <c r="BC81" s="1203"/>
      <c r="BD81" s="1202"/>
      <c r="BE81" s="1070"/>
      <c r="BF81" s="988" t="e">
        <f t="shared" ref="BF81:BF87" si="30">BE81/BD81</f>
        <v>#DIV/0!</v>
      </c>
      <c r="BG81" s="1197"/>
      <c r="BH81" s="1196"/>
      <c r="BI81" s="1080"/>
      <c r="BJ81" s="988" t="e">
        <f t="shared" ref="BJ81:BJ87" si="31">BI81/BH81</f>
        <v>#DIV/0!</v>
      </c>
      <c r="BK81" s="1170"/>
      <c r="BL81" s="1170"/>
      <c r="BM81" s="1166"/>
    </row>
    <row r="82" spans="1:65" s="153" customFormat="1" ht="15" hidden="1" customHeight="1" x14ac:dyDescent="0.2">
      <c r="A82" s="992"/>
      <c r="B82" s="991" t="s">
        <v>838</v>
      </c>
      <c r="C82" s="1070"/>
      <c r="D82" s="1070"/>
      <c r="E82" s="1070"/>
      <c r="F82" s="1204" t="e">
        <f t="shared" si="17"/>
        <v>#DIV/0!</v>
      </c>
      <c r="G82" s="1203"/>
      <c r="H82" s="1202"/>
      <c r="I82" s="1070"/>
      <c r="J82" s="988" t="e">
        <f t="shared" si="18"/>
        <v>#DIV/0!</v>
      </c>
      <c r="K82" s="1205"/>
      <c r="L82" s="1070"/>
      <c r="M82" s="1070"/>
      <c r="N82" s="1204" t="e">
        <f t="shared" si="19"/>
        <v>#DIV/0!</v>
      </c>
      <c r="O82" s="1203"/>
      <c r="P82" s="1202"/>
      <c r="Q82" s="1070"/>
      <c r="R82" s="988" t="e">
        <f t="shared" si="20"/>
        <v>#DIV/0!</v>
      </c>
      <c r="S82" s="1205"/>
      <c r="T82" s="1070"/>
      <c r="U82" s="1070"/>
      <c r="V82" s="1204" t="e">
        <f t="shared" si="21"/>
        <v>#DIV/0!</v>
      </c>
      <c r="W82" s="1203"/>
      <c r="X82" s="1202"/>
      <c r="Y82" s="1070"/>
      <c r="Z82" s="988" t="e">
        <f t="shared" si="22"/>
        <v>#DIV/0!</v>
      </c>
      <c r="AA82" s="1205"/>
      <c r="AB82" s="1070"/>
      <c r="AC82" s="1070"/>
      <c r="AD82" s="1204" t="e">
        <f t="shared" si="23"/>
        <v>#DIV/0!</v>
      </c>
      <c r="AE82" s="1203"/>
      <c r="AF82" s="1202"/>
      <c r="AG82" s="1070"/>
      <c r="AH82" s="988" t="e">
        <f t="shared" si="24"/>
        <v>#DIV/0!</v>
      </c>
      <c r="AI82" s="1205"/>
      <c r="AJ82" s="1070"/>
      <c r="AK82" s="1070"/>
      <c r="AL82" s="1204" t="e">
        <f t="shared" si="25"/>
        <v>#DIV/0!</v>
      </c>
      <c r="AM82" s="1203"/>
      <c r="AN82" s="1202"/>
      <c r="AO82" s="1070"/>
      <c r="AP82" s="988" t="e">
        <f t="shared" si="26"/>
        <v>#DIV/0!</v>
      </c>
      <c r="AQ82" s="1205"/>
      <c r="AR82" s="1070"/>
      <c r="AS82" s="1070"/>
      <c r="AT82" s="1204" t="e">
        <f t="shared" si="27"/>
        <v>#DIV/0!</v>
      </c>
      <c r="AU82" s="1203"/>
      <c r="AV82" s="1202"/>
      <c r="AW82" s="1070"/>
      <c r="AX82" s="988" t="e">
        <f t="shared" si="28"/>
        <v>#DIV/0!</v>
      </c>
      <c r="AY82" s="1205"/>
      <c r="AZ82" s="1070"/>
      <c r="BA82" s="1070"/>
      <c r="BB82" s="1204" t="e">
        <f t="shared" si="29"/>
        <v>#DIV/0!</v>
      </c>
      <c r="BC82" s="1203"/>
      <c r="BD82" s="1202"/>
      <c r="BE82" s="1070"/>
      <c r="BF82" s="988" t="e">
        <f t="shared" si="30"/>
        <v>#DIV/0!</v>
      </c>
      <c r="BG82" s="1197"/>
      <c r="BH82" s="1196"/>
      <c r="BI82" s="1080"/>
      <c r="BJ82" s="988" t="e">
        <f t="shared" si="31"/>
        <v>#DIV/0!</v>
      </c>
      <c r="BK82" s="1170"/>
      <c r="BL82" s="1170"/>
      <c r="BM82" s="1166"/>
    </row>
    <row r="83" spans="1:65" s="153" customFormat="1" ht="15" hidden="1" customHeight="1" thickBot="1" x14ac:dyDescent="0.25">
      <c r="A83" s="987"/>
      <c r="B83" s="986" t="s">
        <v>837</v>
      </c>
      <c r="C83" s="1067"/>
      <c r="D83" s="1067"/>
      <c r="E83" s="1067"/>
      <c r="F83" s="1200" t="e">
        <f t="shared" si="17"/>
        <v>#DIV/0!</v>
      </c>
      <c r="G83" s="1199"/>
      <c r="H83" s="1198"/>
      <c r="I83" s="1067"/>
      <c r="J83" s="982" t="e">
        <f t="shared" si="18"/>
        <v>#DIV/0!</v>
      </c>
      <c r="K83" s="1201"/>
      <c r="L83" s="1067"/>
      <c r="M83" s="1067"/>
      <c r="N83" s="1200" t="e">
        <f t="shared" si="19"/>
        <v>#DIV/0!</v>
      </c>
      <c r="O83" s="1199"/>
      <c r="P83" s="1198"/>
      <c r="Q83" s="1067"/>
      <c r="R83" s="982" t="e">
        <f t="shared" si="20"/>
        <v>#DIV/0!</v>
      </c>
      <c r="S83" s="1201"/>
      <c r="T83" s="1067"/>
      <c r="U83" s="1067"/>
      <c r="V83" s="1200" t="e">
        <f t="shared" si="21"/>
        <v>#DIV/0!</v>
      </c>
      <c r="W83" s="1199"/>
      <c r="X83" s="1198"/>
      <c r="Y83" s="1067"/>
      <c r="Z83" s="982" t="e">
        <f t="shared" si="22"/>
        <v>#DIV/0!</v>
      </c>
      <c r="AA83" s="1201"/>
      <c r="AB83" s="1067"/>
      <c r="AC83" s="1067"/>
      <c r="AD83" s="1200" t="e">
        <f t="shared" si="23"/>
        <v>#DIV/0!</v>
      </c>
      <c r="AE83" s="1199"/>
      <c r="AF83" s="1198"/>
      <c r="AG83" s="1067"/>
      <c r="AH83" s="982" t="e">
        <f t="shared" si="24"/>
        <v>#DIV/0!</v>
      </c>
      <c r="AI83" s="1201"/>
      <c r="AJ83" s="1067"/>
      <c r="AK83" s="1067"/>
      <c r="AL83" s="1200" t="e">
        <f t="shared" si="25"/>
        <v>#DIV/0!</v>
      </c>
      <c r="AM83" s="1199"/>
      <c r="AN83" s="1198"/>
      <c r="AO83" s="1067"/>
      <c r="AP83" s="982" t="e">
        <f t="shared" si="26"/>
        <v>#DIV/0!</v>
      </c>
      <c r="AQ83" s="1201"/>
      <c r="AR83" s="1067"/>
      <c r="AS83" s="1067"/>
      <c r="AT83" s="1200" t="e">
        <f t="shared" si="27"/>
        <v>#DIV/0!</v>
      </c>
      <c r="AU83" s="1199"/>
      <c r="AV83" s="1198"/>
      <c r="AW83" s="1067"/>
      <c r="AX83" s="982" t="e">
        <f t="shared" si="28"/>
        <v>#DIV/0!</v>
      </c>
      <c r="AY83" s="1201"/>
      <c r="AZ83" s="1067"/>
      <c r="BA83" s="1067"/>
      <c r="BB83" s="1200" t="e">
        <f t="shared" si="29"/>
        <v>#DIV/0!</v>
      </c>
      <c r="BC83" s="1199"/>
      <c r="BD83" s="1198"/>
      <c r="BE83" s="1067"/>
      <c r="BF83" s="982" t="e">
        <f t="shared" si="30"/>
        <v>#DIV/0!</v>
      </c>
      <c r="BG83" s="1197"/>
      <c r="BH83" s="1196"/>
      <c r="BI83" s="1080"/>
      <c r="BJ83" s="982" t="e">
        <f t="shared" si="31"/>
        <v>#DIV/0!</v>
      </c>
      <c r="BK83" s="1170"/>
      <c r="BL83" s="1170"/>
      <c r="BM83" s="1166"/>
    </row>
    <row r="84" spans="1:65" s="1189" customFormat="1" ht="20.25" customHeight="1" thickTop="1" thickBot="1" x14ac:dyDescent="0.25">
      <c r="A84" s="981"/>
      <c r="B84" s="980" t="s">
        <v>414</v>
      </c>
      <c r="C84" s="979">
        <f>C44+C48+C52+C56+C60+C64+C68+C72+C80</f>
        <v>143595</v>
      </c>
      <c r="D84" s="979">
        <f>D44+D48+D52+D56+D60+D64+D68+D72+D80</f>
        <v>152764</v>
      </c>
      <c r="E84" s="979">
        <f>E44+E48+E52+E56+E60+E64+E68+E72+E80</f>
        <v>152764</v>
      </c>
      <c r="F84" s="1195">
        <f t="shared" si="17"/>
        <v>1</v>
      </c>
      <c r="G84" s="1194">
        <f>G44+G48+G52+G56+G60+G64+G68+G72+G80</f>
        <v>233837</v>
      </c>
      <c r="H84" s="1193">
        <f>H44+H48+H52+H56+H60+H64+H68+H72+H80</f>
        <v>246857</v>
      </c>
      <c r="I84" s="979">
        <f>I44+I48+I52+I56+I60+I64+I68+I72+I80</f>
        <v>246857</v>
      </c>
      <c r="J84" s="1192">
        <f t="shared" si="18"/>
        <v>1</v>
      </c>
      <c r="K84" s="979">
        <f>K44+K48+K52+K56+K60+K64+K68+K72+K80</f>
        <v>151072</v>
      </c>
      <c r="L84" s="979">
        <f>L44+L48+L52+L56+L60+L64+L68+L72+L80</f>
        <v>162108</v>
      </c>
      <c r="M84" s="979">
        <f>M44+M48+M52+M56+M60+M64+M68+M72+M80</f>
        <v>162108</v>
      </c>
      <c r="N84" s="1195">
        <f t="shared" si="19"/>
        <v>1</v>
      </c>
      <c r="O84" s="1194">
        <f>O44+O48+O52+O56+O60+O64+O68+O72+O80</f>
        <v>260824</v>
      </c>
      <c r="P84" s="1193">
        <f>P44+P48+P52+P56+P60+P64+P68+P72+P80</f>
        <v>273466</v>
      </c>
      <c r="Q84" s="979">
        <f>Q44+Q48+Q52+Q56+Q60+Q64+Q68+Q72+Q80</f>
        <v>273466</v>
      </c>
      <c r="R84" s="1192">
        <f t="shared" si="20"/>
        <v>1</v>
      </c>
      <c r="S84" s="979">
        <f>S44+S48+S52+S56+S60+S64+S68+S72+S80</f>
        <v>134047</v>
      </c>
      <c r="T84" s="979">
        <f>T44+T48+T52+T56+T60+T64+T68+T72+T80</f>
        <v>140231</v>
      </c>
      <c r="U84" s="979">
        <f>U44+U48+U52+U56+U60+U64+U68+U72+U80</f>
        <v>140231</v>
      </c>
      <c r="V84" s="1195">
        <f t="shared" si="21"/>
        <v>1</v>
      </c>
      <c r="W84" s="1194">
        <f>W44+W48+W52+W56+W60+W64+W68+W72+W80</f>
        <v>126659</v>
      </c>
      <c r="X84" s="1193">
        <f>X44+X48+X52+X56+X60+X64+X68+X72+X80</f>
        <v>133367</v>
      </c>
      <c r="Y84" s="979">
        <f>Y44+Y48+Y52+Y56+Y60+Y64+Y68+Y72+Y80</f>
        <v>133367</v>
      </c>
      <c r="Z84" s="1192">
        <f t="shared" si="22"/>
        <v>1</v>
      </c>
      <c r="AA84" s="979">
        <f>AA44+AA48+AA52+AA56+AA60+AA64+AA68+AA72+AA80</f>
        <v>127408</v>
      </c>
      <c r="AB84" s="979">
        <f>AB44+AB48+AB52+AB56+AB60+AB64+AB68+AB72+AB80</f>
        <v>131545</v>
      </c>
      <c r="AC84" s="979">
        <f>AC44+AC48+AC52+AC56+AC60+AC64+AC68+AC72+AC80</f>
        <v>131545</v>
      </c>
      <c r="AD84" s="1195">
        <f t="shared" si="23"/>
        <v>1</v>
      </c>
      <c r="AE84" s="1194">
        <f>AE44+AE48+AE52+AE56+AE60+AE64+AE68+AE72+AE80</f>
        <v>135720</v>
      </c>
      <c r="AF84" s="1193">
        <f>AF44+AF48+AF52+AF56+AF60+AF64+AF68+AF72+AF80</f>
        <v>144416</v>
      </c>
      <c r="AG84" s="979">
        <f>AG44+AG48+AG52+AG56+AG60+AG64+AG68+AG72+AG80</f>
        <v>144416</v>
      </c>
      <c r="AH84" s="1192">
        <f t="shared" si="24"/>
        <v>1</v>
      </c>
      <c r="AI84" s="979">
        <f>AI44+AI48+AI52+AI56+AI60+AI64+AI68+AI72+AI80</f>
        <v>129440</v>
      </c>
      <c r="AJ84" s="979">
        <f>AJ44+AJ48+AJ52+AJ56+AJ60+AJ64+AJ68+AJ72+AJ80</f>
        <v>132630</v>
      </c>
      <c r="AK84" s="979">
        <f>AK44+AK48+AK52+AK56+AK60+AK64+AK68+AK72+AK80</f>
        <v>132630</v>
      </c>
      <c r="AL84" s="1195">
        <f t="shared" si="25"/>
        <v>1</v>
      </c>
      <c r="AM84" s="1194">
        <f>AM44+AM48+AM52+AM56+AM60+AM64+AM68+AM72+AM80</f>
        <v>191505</v>
      </c>
      <c r="AN84" s="1193">
        <f>AN44+AN48+AN52+AN56+AN60+AN64+AN68+AN72+AN80</f>
        <v>182704</v>
      </c>
      <c r="AO84" s="979">
        <f>AO44+AO48+AO52+AO56+AO60+AO64+AO68+AO72+AO80</f>
        <v>182704</v>
      </c>
      <c r="AP84" s="1192">
        <f t="shared" si="26"/>
        <v>1</v>
      </c>
      <c r="AQ84" s="979">
        <f>AQ44+AQ48+AQ52+AQ56+AQ60+AQ64+AQ68+AQ72+AQ80</f>
        <v>88061</v>
      </c>
      <c r="AR84" s="979">
        <f>AR44+AR48+AR52+AR56+AR60+AR64+AR68+AR72+AR80</f>
        <v>122602</v>
      </c>
      <c r="AS84" s="979">
        <f>AS44+AS48+AS52+AS56+AS60+AS64+AS68+AS72+AS80</f>
        <v>122602</v>
      </c>
      <c r="AT84" s="1195">
        <f t="shared" si="27"/>
        <v>1</v>
      </c>
      <c r="AU84" s="1194">
        <f>AU44+AU48+AU52+AU56+AU60+AU64+AU68+AU72+AU80</f>
        <v>210790</v>
      </c>
      <c r="AV84" s="1193">
        <f>AV44+AV48+AV52+AV56+AV60+AV64+AV68+AV72+AV80</f>
        <v>201750</v>
      </c>
      <c r="AW84" s="979">
        <f>AW44+AW48+AW52+AW56+AW60+AW64+AW68+AW72+AW80</f>
        <v>201750</v>
      </c>
      <c r="AX84" s="1192">
        <f t="shared" si="28"/>
        <v>1</v>
      </c>
      <c r="AY84" s="979">
        <f>AY44+AY48+AY52+AY56+AY60+AY64+AY68+AY72+AY80</f>
        <v>126952</v>
      </c>
      <c r="AZ84" s="979">
        <f>AZ44+AZ48+AZ52+AZ56+AZ60+AZ64+AZ68+AZ72+AZ80</f>
        <v>99565</v>
      </c>
      <c r="BA84" s="979">
        <f>BA44+BA48+BA52+BA56+BA60+BA64+BA68+BA72+BA80</f>
        <v>99565</v>
      </c>
      <c r="BB84" s="1195">
        <f t="shared" si="29"/>
        <v>1</v>
      </c>
      <c r="BC84" s="1194">
        <f>BC44+BC48+BC52+BC56+BC60+BC64+BC68+BC72+BC80</f>
        <v>127646</v>
      </c>
      <c r="BD84" s="1193">
        <f>BD44+BD48+BD52+BD56+BD60+BD64+BD68+BD72+BD80</f>
        <v>129146</v>
      </c>
      <c r="BE84" s="979">
        <f>BE44+BE48+BE52+BE56+BE60+BE64+BE68+BE72+BE80</f>
        <v>129146</v>
      </c>
      <c r="BF84" s="1192">
        <f t="shared" si="30"/>
        <v>1</v>
      </c>
      <c r="BG84" s="1194">
        <f t="shared" ref="BG84:BI87" si="32">C84+G84+K84+O84+S84+W84+AA84+AE84+AI84+AM84+AQ84+AU84+AY84+BC84</f>
        <v>2187556</v>
      </c>
      <c r="BH84" s="1193">
        <f t="shared" si="32"/>
        <v>2253151</v>
      </c>
      <c r="BI84" s="979">
        <f t="shared" si="32"/>
        <v>2253151</v>
      </c>
      <c r="BJ84" s="1192">
        <f t="shared" si="31"/>
        <v>1</v>
      </c>
      <c r="BK84" s="1191"/>
      <c r="BL84" s="1191"/>
      <c r="BM84" s="1190"/>
    </row>
    <row r="85" spans="1:65" ht="14.25" thickTop="1" thickBot="1" x14ac:dyDescent="0.25">
      <c r="A85" s="1130"/>
      <c r="B85" s="1129" t="s">
        <v>764</v>
      </c>
      <c r="C85" s="1179">
        <f>C86+C87</f>
        <v>36.5</v>
      </c>
      <c r="D85" s="1179">
        <f>D86+D87</f>
        <v>36.5</v>
      </c>
      <c r="E85" s="1179">
        <f>E86+E87</f>
        <v>36.5</v>
      </c>
      <c r="F85" s="1178">
        <f t="shared" si="17"/>
        <v>1</v>
      </c>
      <c r="G85" s="1176">
        <f>G86+G87</f>
        <v>57</v>
      </c>
      <c r="H85" s="1175">
        <f>H86+H87</f>
        <v>58</v>
      </c>
      <c r="I85" s="1179">
        <f>I86+I87</f>
        <v>58</v>
      </c>
      <c r="J85" s="1173">
        <f t="shared" si="18"/>
        <v>1</v>
      </c>
      <c r="K85" s="1179">
        <f>K86+K87</f>
        <v>38</v>
      </c>
      <c r="L85" s="1179">
        <f>L86+L87</f>
        <v>38</v>
      </c>
      <c r="M85" s="1179">
        <f>M86+M87</f>
        <v>38</v>
      </c>
      <c r="N85" s="1178">
        <f t="shared" si="19"/>
        <v>1</v>
      </c>
      <c r="O85" s="1176">
        <f>O86+O87</f>
        <v>65</v>
      </c>
      <c r="P85" s="1175">
        <f>P86+P87</f>
        <v>66</v>
      </c>
      <c r="Q85" s="1179">
        <f>Q86+Q87</f>
        <v>66</v>
      </c>
      <c r="R85" s="1173">
        <f t="shared" si="20"/>
        <v>1</v>
      </c>
      <c r="S85" s="1179">
        <f>S86+S87</f>
        <v>34</v>
      </c>
      <c r="T85" s="1179">
        <f>T86+T87</f>
        <v>34</v>
      </c>
      <c r="U85" s="1179">
        <f>U86+U87</f>
        <v>34</v>
      </c>
      <c r="V85" s="1178">
        <f t="shared" si="21"/>
        <v>1</v>
      </c>
      <c r="W85" s="1176">
        <f>W86+W87</f>
        <v>31</v>
      </c>
      <c r="X85" s="1175">
        <f>X86+X87</f>
        <v>32</v>
      </c>
      <c r="Y85" s="1179">
        <f>Y86+Y87</f>
        <v>32</v>
      </c>
      <c r="Z85" s="1173">
        <f t="shared" si="22"/>
        <v>1</v>
      </c>
      <c r="AA85" s="1179">
        <f>AA86+AA87</f>
        <v>32</v>
      </c>
      <c r="AB85" s="1179">
        <f>AB86+AB87</f>
        <v>32</v>
      </c>
      <c r="AC85" s="1179">
        <f>AC86+AC87</f>
        <v>32</v>
      </c>
      <c r="AD85" s="1178">
        <f t="shared" si="23"/>
        <v>1</v>
      </c>
      <c r="AE85" s="1176">
        <f>AE86+AE87</f>
        <v>33.5</v>
      </c>
      <c r="AF85" s="1175">
        <f>AF86+AF87</f>
        <v>34.5</v>
      </c>
      <c r="AG85" s="1179">
        <f>AG86+AG87</f>
        <v>34.5</v>
      </c>
      <c r="AH85" s="1173">
        <f t="shared" si="24"/>
        <v>1</v>
      </c>
      <c r="AI85" s="1179">
        <f>AI86+AI87</f>
        <v>32</v>
      </c>
      <c r="AJ85" s="1179">
        <f>AJ86+AJ87</f>
        <v>32</v>
      </c>
      <c r="AK85" s="1179">
        <f>AK86+AK87</f>
        <v>32</v>
      </c>
      <c r="AL85" s="1178">
        <f t="shared" si="25"/>
        <v>1</v>
      </c>
      <c r="AM85" s="1176">
        <f>AM86+AM87</f>
        <v>47</v>
      </c>
      <c r="AN85" s="1175">
        <f>AN86+AN87</f>
        <v>44</v>
      </c>
      <c r="AO85" s="1179">
        <f>AO86+AO87</f>
        <v>44</v>
      </c>
      <c r="AP85" s="1173">
        <f t="shared" si="26"/>
        <v>1</v>
      </c>
      <c r="AQ85" s="1179">
        <f>AQ86+AQ87</f>
        <v>32</v>
      </c>
      <c r="AR85" s="1179">
        <f>AR86+AR87</f>
        <v>30</v>
      </c>
      <c r="AS85" s="1179">
        <f>AS86+AS87</f>
        <v>30</v>
      </c>
      <c r="AT85" s="1178">
        <f t="shared" si="27"/>
        <v>1</v>
      </c>
      <c r="AU85" s="1176">
        <f>AU86+AU87</f>
        <v>53</v>
      </c>
      <c r="AV85" s="1175">
        <f>AV86+AV87</f>
        <v>50</v>
      </c>
      <c r="AW85" s="1179">
        <f>AW86+AW87</f>
        <v>50</v>
      </c>
      <c r="AX85" s="1173">
        <f t="shared" si="28"/>
        <v>1</v>
      </c>
      <c r="AY85" s="1179">
        <f>AY86+AY87</f>
        <v>27</v>
      </c>
      <c r="AZ85" s="1179">
        <f>AZ86+AZ87</f>
        <v>25</v>
      </c>
      <c r="BA85" s="1179">
        <f>BA86+BA87</f>
        <v>25</v>
      </c>
      <c r="BB85" s="1178">
        <f t="shared" si="29"/>
        <v>1</v>
      </c>
      <c r="BC85" s="1176">
        <f>BC86+BC87</f>
        <v>32</v>
      </c>
      <c r="BD85" s="1175">
        <f>BD86+BD87</f>
        <v>32</v>
      </c>
      <c r="BE85" s="1179">
        <f>BE86+BE87</f>
        <v>32</v>
      </c>
      <c r="BF85" s="1173">
        <f t="shared" si="30"/>
        <v>1</v>
      </c>
      <c r="BG85" s="1176">
        <f t="shared" si="32"/>
        <v>550</v>
      </c>
      <c r="BH85" s="1175">
        <f t="shared" si="32"/>
        <v>544</v>
      </c>
      <c r="BI85" s="1174">
        <f t="shared" si="32"/>
        <v>544</v>
      </c>
      <c r="BJ85" s="1173">
        <f t="shared" si="31"/>
        <v>1</v>
      </c>
      <c r="BK85" s="1170"/>
      <c r="BL85" s="1170"/>
      <c r="BM85" s="1166"/>
    </row>
    <row r="86" spans="1:65" s="408" customFormat="1" ht="14.25" thickTop="1" thickBot="1" x14ac:dyDescent="0.25">
      <c r="A86" s="1188"/>
      <c r="B86" s="1187" t="s">
        <v>856</v>
      </c>
      <c r="C86" s="1179">
        <v>19</v>
      </c>
      <c r="D86" s="1179">
        <v>19</v>
      </c>
      <c r="E86" s="1179">
        <v>19</v>
      </c>
      <c r="F86" s="1178">
        <f t="shared" si="17"/>
        <v>1</v>
      </c>
      <c r="G86" s="1176">
        <v>29</v>
      </c>
      <c r="H86" s="1175">
        <v>30</v>
      </c>
      <c r="I86" s="1179">
        <v>30</v>
      </c>
      <c r="J86" s="1173">
        <f t="shared" si="18"/>
        <v>1</v>
      </c>
      <c r="K86" s="1179">
        <v>19</v>
      </c>
      <c r="L86" s="1179">
        <v>19</v>
      </c>
      <c r="M86" s="1179">
        <v>19</v>
      </c>
      <c r="N86" s="1178">
        <f t="shared" si="19"/>
        <v>1</v>
      </c>
      <c r="O86" s="1176">
        <v>35</v>
      </c>
      <c r="P86" s="1175">
        <v>36</v>
      </c>
      <c r="Q86" s="1179">
        <v>36</v>
      </c>
      <c r="R86" s="1173">
        <f t="shared" si="20"/>
        <v>1</v>
      </c>
      <c r="S86" s="1179">
        <v>17</v>
      </c>
      <c r="T86" s="1174">
        <v>17</v>
      </c>
      <c r="U86" s="1174">
        <v>17</v>
      </c>
      <c r="V86" s="1178">
        <f t="shared" si="21"/>
        <v>1</v>
      </c>
      <c r="W86" s="1183">
        <v>15</v>
      </c>
      <c r="X86" s="1182">
        <v>16</v>
      </c>
      <c r="Y86" s="1180">
        <v>16</v>
      </c>
      <c r="Z86" s="1173">
        <f t="shared" si="22"/>
        <v>1</v>
      </c>
      <c r="AA86" s="1181">
        <v>17</v>
      </c>
      <c r="AB86" s="1180">
        <v>17</v>
      </c>
      <c r="AC86" s="1180">
        <v>17</v>
      </c>
      <c r="AD86" s="1178">
        <f t="shared" si="23"/>
        <v>1</v>
      </c>
      <c r="AE86" s="1183">
        <v>18</v>
      </c>
      <c r="AF86" s="1182">
        <v>18</v>
      </c>
      <c r="AG86" s="1180">
        <v>18</v>
      </c>
      <c r="AH86" s="1173">
        <f t="shared" si="24"/>
        <v>1</v>
      </c>
      <c r="AI86" s="1181">
        <v>17</v>
      </c>
      <c r="AJ86" s="1180">
        <v>17</v>
      </c>
      <c r="AK86" s="1180">
        <v>17</v>
      </c>
      <c r="AL86" s="1178">
        <f t="shared" si="25"/>
        <v>1</v>
      </c>
      <c r="AM86" s="1183">
        <v>23</v>
      </c>
      <c r="AN86" s="1182">
        <v>22</v>
      </c>
      <c r="AO86" s="1180">
        <v>22</v>
      </c>
      <c r="AP86" s="1173">
        <f t="shared" si="26"/>
        <v>1</v>
      </c>
      <c r="AQ86" s="1181">
        <v>17</v>
      </c>
      <c r="AR86" s="1180">
        <v>15</v>
      </c>
      <c r="AS86" s="1180">
        <v>15</v>
      </c>
      <c r="AT86" s="1178">
        <f t="shared" si="27"/>
        <v>1</v>
      </c>
      <c r="AU86" s="1177">
        <v>27</v>
      </c>
      <c r="AV86" s="1175">
        <v>25</v>
      </c>
      <c r="AW86" s="1174">
        <v>25</v>
      </c>
      <c r="AX86" s="1173">
        <f t="shared" si="28"/>
        <v>1</v>
      </c>
      <c r="AY86" s="1179">
        <v>13</v>
      </c>
      <c r="AZ86" s="1174">
        <v>13</v>
      </c>
      <c r="BA86" s="1174">
        <v>13</v>
      </c>
      <c r="BB86" s="1178">
        <f t="shared" si="29"/>
        <v>1</v>
      </c>
      <c r="BC86" s="1177">
        <v>17</v>
      </c>
      <c r="BD86" s="1175">
        <v>17</v>
      </c>
      <c r="BE86" s="1174">
        <v>17</v>
      </c>
      <c r="BF86" s="1173">
        <f t="shared" si="30"/>
        <v>1</v>
      </c>
      <c r="BG86" s="1176">
        <f t="shared" si="32"/>
        <v>283</v>
      </c>
      <c r="BH86" s="1175">
        <f t="shared" si="32"/>
        <v>281</v>
      </c>
      <c r="BI86" s="1174">
        <f t="shared" si="32"/>
        <v>281</v>
      </c>
      <c r="BJ86" s="1173">
        <f t="shared" si="31"/>
        <v>1</v>
      </c>
      <c r="BK86" s="1167"/>
      <c r="BL86" s="1167"/>
      <c r="BM86" s="1186"/>
    </row>
    <row r="87" spans="1:65" s="408" customFormat="1" ht="14.25" thickTop="1" thickBot="1" x14ac:dyDescent="0.25">
      <c r="A87" s="1185"/>
      <c r="B87" s="1184" t="s">
        <v>855</v>
      </c>
      <c r="C87" s="1179">
        <v>17.5</v>
      </c>
      <c r="D87" s="1179">
        <v>17.5</v>
      </c>
      <c r="E87" s="1179">
        <v>17.5</v>
      </c>
      <c r="F87" s="1178">
        <f t="shared" si="17"/>
        <v>1</v>
      </c>
      <c r="G87" s="1176">
        <v>28</v>
      </c>
      <c r="H87" s="1175">
        <v>28</v>
      </c>
      <c r="I87" s="1179">
        <v>28</v>
      </c>
      <c r="J87" s="1173">
        <f t="shared" si="18"/>
        <v>1</v>
      </c>
      <c r="K87" s="1179">
        <v>19</v>
      </c>
      <c r="L87" s="1179">
        <v>19</v>
      </c>
      <c r="M87" s="1179">
        <v>19</v>
      </c>
      <c r="N87" s="1178">
        <f t="shared" si="19"/>
        <v>1</v>
      </c>
      <c r="O87" s="1176">
        <v>30</v>
      </c>
      <c r="P87" s="1175">
        <v>30</v>
      </c>
      <c r="Q87" s="1179">
        <v>30</v>
      </c>
      <c r="R87" s="1173">
        <f t="shared" si="20"/>
        <v>1</v>
      </c>
      <c r="S87" s="1179">
        <v>17</v>
      </c>
      <c r="T87" s="1174">
        <v>17</v>
      </c>
      <c r="U87" s="1174">
        <v>17</v>
      </c>
      <c r="V87" s="1178">
        <f t="shared" si="21"/>
        <v>1</v>
      </c>
      <c r="W87" s="1183">
        <v>16</v>
      </c>
      <c r="X87" s="1182">
        <v>16</v>
      </c>
      <c r="Y87" s="1180">
        <v>16</v>
      </c>
      <c r="Z87" s="1173">
        <f t="shared" si="22"/>
        <v>1</v>
      </c>
      <c r="AA87" s="1181">
        <v>15</v>
      </c>
      <c r="AB87" s="1180">
        <v>15</v>
      </c>
      <c r="AC87" s="1180">
        <v>15</v>
      </c>
      <c r="AD87" s="1178">
        <f t="shared" si="23"/>
        <v>1</v>
      </c>
      <c r="AE87" s="1183">
        <v>15.5</v>
      </c>
      <c r="AF87" s="1182">
        <v>16.5</v>
      </c>
      <c r="AG87" s="1180">
        <v>16.5</v>
      </c>
      <c r="AH87" s="1173">
        <f t="shared" si="24"/>
        <v>1</v>
      </c>
      <c r="AI87" s="1181">
        <v>15</v>
      </c>
      <c r="AJ87" s="1180">
        <v>15</v>
      </c>
      <c r="AK87" s="1180">
        <v>15</v>
      </c>
      <c r="AL87" s="1178">
        <f t="shared" si="25"/>
        <v>1</v>
      </c>
      <c r="AM87" s="1183">
        <v>24</v>
      </c>
      <c r="AN87" s="1182">
        <v>22</v>
      </c>
      <c r="AO87" s="1180">
        <v>22</v>
      </c>
      <c r="AP87" s="1173">
        <f t="shared" si="26"/>
        <v>1</v>
      </c>
      <c r="AQ87" s="1181">
        <v>15</v>
      </c>
      <c r="AR87" s="1180">
        <v>15</v>
      </c>
      <c r="AS87" s="1180">
        <v>15</v>
      </c>
      <c r="AT87" s="1178">
        <f t="shared" si="27"/>
        <v>1</v>
      </c>
      <c r="AU87" s="1177">
        <v>26</v>
      </c>
      <c r="AV87" s="1175">
        <v>25</v>
      </c>
      <c r="AW87" s="1174">
        <v>25</v>
      </c>
      <c r="AX87" s="1173">
        <f t="shared" si="28"/>
        <v>1</v>
      </c>
      <c r="AY87" s="1179">
        <v>14</v>
      </c>
      <c r="AZ87" s="1174">
        <v>12</v>
      </c>
      <c r="BA87" s="1174">
        <v>12</v>
      </c>
      <c r="BB87" s="1178">
        <f t="shared" si="29"/>
        <v>1</v>
      </c>
      <c r="BC87" s="1177">
        <v>15</v>
      </c>
      <c r="BD87" s="1175">
        <v>15</v>
      </c>
      <c r="BE87" s="1174">
        <v>15</v>
      </c>
      <c r="BF87" s="1173">
        <f t="shared" si="30"/>
        <v>1</v>
      </c>
      <c r="BG87" s="1176">
        <f t="shared" si="32"/>
        <v>267</v>
      </c>
      <c r="BH87" s="1175">
        <f t="shared" si="32"/>
        <v>263</v>
      </c>
      <c r="BI87" s="1174">
        <f t="shared" si="32"/>
        <v>263</v>
      </c>
      <c r="BJ87" s="1173">
        <f t="shared" si="31"/>
        <v>1</v>
      </c>
      <c r="BK87" s="1170"/>
      <c r="BL87" s="1170"/>
      <c r="BM87" s="1166"/>
    </row>
    <row r="88" spans="1:65" s="408" customFormat="1" ht="15" thickTop="1" x14ac:dyDescent="0.2">
      <c r="A88" s="1155"/>
      <c r="F88" s="976"/>
      <c r="J88" s="976"/>
      <c r="N88" s="976"/>
      <c r="R88" s="976"/>
      <c r="V88" s="976"/>
      <c r="Z88" s="976"/>
      <c r="AD88" s="976"/>
      <c r="AH88" s="976"/>
      <c r="AL88" s="976"/>
      <c r="AP88" s="976"/>
      <c r="AT88" s="976"/>
      <c r="AX88" s="976"/>
      <c r="BB88" s="976"/>
      <c r="BF88" s="976"/>
      <c r="BJ88" s="976"/>
      <c r="BK88" s="1171"/>
      <c r="BL88" s="1171"/>
      <c r="BM88" s="1168"/>
    </row>
    <row r="89" spans="1:65" s="408" customFormat="1" x14ac:dyDescent="0.2">
      <c r="A89" s="1155"/>
      <c r="F89" s="976"/>
      <c r="J89" s="976"/>
      <c r="N89" s="976"/>
      <c r="R89" s="976"/>
      <c r="S89" s="1172"/>
      <c r="T89" s="1172"/>
      <c r="U89" s="1172"/>
      <c r="V89" s="1172"/>
      <c r="W89" s="1172"/>
      <c r="X89" s="1172"/>
      <c r="Y89" s="1172"/>
      <c r="Z89" s="1172"/>
      <c r="AD89" s="976"/>
      <c r="AH89" s="976"/>
      <c r="AL89" s="976"/>
      <c r="AP89" s="976"/>
      <c r="AT89" s="976"/>
      <c r="AX89" s="976"/>
      <c r="BB89" s="976"/>
      <c r="BF89" s="976"/>
      <c r="BJ89" s="976"/>
      <c r="BK89" s="1170"/>
      <c r="BL89" s="1170"/>
      <c r="BM89" s="1166"/>
    </row>
    <row r="90" spans="1:65" s="408" customFormat="1" x14ac:dyDescent="0.2">
      <c r="A90" s="1155"/>
      <c r="F90" s="976"/>
      <c r="J90" s="976"/>
      <c r="N90" s="976"/>
      <c r="R90" s="976"/>
      <c r="S90" s="1172"/>
      <c r="T90" s="1172"/>
      <c r="U90" s="1172"/>
      <c r="V90" s="1172"/>
      <c r="W90" s="1172"/>
      <c r="X90" s="1172"/>
      <c r="Y90" s="1172"/>
      <c r="Z90" s="1172"/>
      <c r="AD90" s="976"/>
      <c r="AH90" s="976"/>
      <c r="AL90" s="976"/>
      <c r="AP90" s="976"/>
      <c r="AT90" s="976"/>
      <c r="AX90" s="976"/>
      <c r="BB90" s="976"/>
      <c r="BF90" s="976"/>
      <c r="BJ90" s="976"/>
      <c r="BK90" s="1170"/>
      <c r="BL90" s="1170"/>
      <c r="BM90" s="1166"/>
    </row>
    <row r="91" spans="1:65" s="408" customFormat="1" x14ac:dyDescent="0.2">
      <c r="A91" s="1155"/>
      <c r="F91" s="976"/>
      <c r="J91" s="976"/>
      <c r="N91" s="976"/>
      <c r="R91" s="976"/>
      <c r="S91" s="1172"/>
      <c r="T91" s="1172"/>
      <c r="U91" s="1172"/>
      <c r="V91" s="1172"/>
      <c r="W91" s="1172"/>
      <c r="X91" s="1172"/>
      <c r="Y91" s="1172"/>
      <c r="Z91" s="1172"/>
      <c r="AD91" s="976"/>
      <c r="AH91" s="976"/>
      <c r="AL91" s="976"/>
      <c r="AP91" s="976"/>
      <c r="AT91" s="976"/>
      <c r="AX91" s="976"/>
      <c r="BB91" s="976"/>
      <c r="BF91" s="976"/>
      <c r="BJ91" s="976"/>
      <c r="BK91" s="1170"/>
      <c r="BL91" s="1170"/>
      <c r="BM91" s="1166"/>
    </row>
    <row r="92" spans="1:65" s="408" customFormat="1" ht="14.25" x14ac:dyDescent="0.2">
      <c r="A92" s="1155"/>
      <c r="F92" s="976"/>
      <c r="J92" s="976"/>
      <c r="N92" s="976"/>
      <c r="R92" s="976"/>
      <c r="S92" s="1172"/>
      <c r="T92" s="1172"/>
      <c r="U92" s="1172"/>
      <c r="V92" s="1172"/>
      <c r="W92" s="1172"/>
      <c r="X92" s="1172"/>
      <c r="Y92" s="1172"/>
      <c r="Z92" s="1172"/>
      <c r="AD92" s="976"/>
      <c r="AH92" s="976"/>
      <c r="AL92" s="976"/>
      <c r="AP92" s="976"/>
      <c r="AT92" s="976"/>
      <c r="AX92" s="976"/>
      <c r="BB92" s="976"/>
      <c r="BF92" s="976"/>
      <c r="BJ92" s="976"/>
      <c r="BK92" s="1171"/>
      <c r="BL92" s="1171"/>
      <c r="BM92" s="1168"/>
    </row>
    <row r="93" spans="1:65" s="408" customFormat="1" x14ac:dyDescent="0.2">
      <c r="A93" s="1155"/>
      <c r="F93" s="976"/>
      <c r="J93" s="976"/>
      <c r="N93" s="976"/>
      <c r="R93" s="976"/>
      <c r="S93" s="1172"/>
      <c r="T93" s="1172"/>
      <c r="U93" s="1172"/>
      <c r="V93" s="1172"/>
      <c r="W93" s="1172"/>
      <c r="X93" s="1172"/>
      <c r="Y93" s="1172"/>
      <c r="Z93" s="1172"/>
      <c r="AD93" s="976"/>
      <c r="AH93" s="976"/>
      <c r="AL93" s="976"/>
      <c r="AP93" s="976"/>
      <c r="AT93" s="976"/>
      <c r="AX93" s="976"/>
      <c r="BB93" s="976"/>
      <c r="BF93" s="976"/>
      <c r="BJ93" s="976"/>
      <c r="BK93" s="1170"/>
      <c r="BL93" s="1170"/>
      <c r="BM93" s="1166"/>
    </row>
    <row r="94" spans="1:65" s="408" customFormat="1" x14ac:dyDescent="0.2">
      <c r="A94" s="1155"/>
      <c r="F94" s="976"/>
      <c r="J94" s="976"/>
      <c r="N94" s="976"/>
      <c r="R94" s="976"/>
      <c r="S94" s="1172"/>
      <c r="T94" s="1172"/>
      <c r="U94" s="1172"/>
      <c r="V94" s="1172"/>
      <c r="W94" s="1172"/>
      <c r="X94" s="1172"/>
      <c r="Y94" s="1172"/>
      <c r="Z94" s="1172"/>
      <c r="AD94" s="976"/>
      <c r="AH94" s="976"/>
      <c r="AL94" s="976"/>
      <c r="AP94" s="976"/>
      <c r="AT94" s="976"/>
      <c r="AX94" s="976"/>
      <c r="BB94" s="976"/>
      <c r="BF94" s="976"/>
      <c r="BJ94" s="976"/>
      <c r="BK94" s="1170"/>
      <c r="BL94" s="1170"/>
      <c r="BM94" s="1166"/>
    </row>
    <row r="95" spans="1:65" s="408" customFormat="1" x14ac:dyDescent="0.2">
      <c r="A95" s="1155"/>
      <c r="F95" s="976"/>
      <c r="J95" s="976"/>
      <c r="N95" s="976"/>
      <c r="R95" s="976"/>
      <c r="S95" s="1172"/>
      <c r="T95" s="1172"/>
      <c r="U95" s="1172"/>
      <c r="V95" s="1172"/>
      <c r="W95" s="1172"/>
      <c r="X95" s="1172"/>
      <c r="Y95" s="1172"/>
      <c r="Z95" s="1172"/>
      <c r="AD95" s="976"/>
      <c r="AH95" s="976"/>
      <c r="AL95" s="976"/>
      <c r="AP95" s="976"/>
      <c r="AT95" s="976"/>
      <c r="AX95" s="976"/>
      <c r="BB95" s="976"/>
      <c r="BF95" s="976"/>
      <c r="BJ95" s="976"/>
      <c r="BK95" s="1170"/>
      <c r="BL95" s="1170"/>
      <c r="BM95" s="1166"/>
    </row>
    <row r="96" spans="1:65" s="408" customFormat="1" ht="14.25" x14ac:dyDescent="0.2">
      <c r="A96" s="1155"/>
      <c r="F96" s="976"/>
      <c r="J96" s="976"/>
      <c r="N96" s="976"/>
      <c r="R96" s="976"/>
      <c r="S96" s="1172"/>
      <c r="T96" s="1172"/>
      <c r="U96" s="1172"/>
      <c r="V96" s="1172"/>
      <c r="W96" s="1172"/>
      <c r="X96" s="1172"/>
      <c r="Y96" s="1172"/>
      <c r="Z96" s="1172"/>
      <c r="AD96" s="976"/>
      <c r="AH96" s="976"/>
      <c r="AL96" s="976"/>
      <c r="AP96" s="976"/>
      <c r="AT96" s="976"/>
      <c r="AX96" s="976"/>
      <c r="BB96" s="976"/>
      <c r="BF96" s="976"/>
      <c r="BJ96" s="976"/>
      <c r="BK96" s="1171"/>
      <c r="BL96" s="1171"/>
      <c r="BM96" s="1168"/>
    </row>
    <row r="97" spans="1:65" s="408" customFormat="1" x14ac:dyDescent="0.2">
      <c r="A97" s="1155"/>
      <c r="F97" s="976"/>
      <c r="J97" s="976"/>
      <c r="N97" s="976"/>
      <c r="R97" s="976"/>
      <c r="V97" s="976"/>
      <c r="Z97" s="976"/>
      <c r="AD97" s="976"/>
      <c r="AH97" s="976"/>
      <c r="AL97" s="976"/>
      <c r="AP97" s="976"/>
      <c r="AT97" s="976"/>
      <c r="AX97" s="976"/>
      <c r="BB97" s="976"/>
      <c r="BF97" s="976"/>
      <c r="BJ97" s="976"/>
      <c r="BK97" s="1170"/>
      <c r="BL97" s="1170"/>
      <c r="BM97" s="1166"/>
    </row>
    <row r="98" spans="1:65" s="408" customFormat="1" x14ac:dyDescent="0.2">
      <c r="A98" s="1155"/>
      <c r="F98" s="976"/>
      <c r="J98" s="976"/>
      <c r="N98" s="976"/>
      <c r="R98" s="976"/>
      <c r="V98" s="976"/>
      <c r="Z98" s="976"/>
      <c r="AD98" s="976"/>
      <c r="AH98" s="976"/>
      <c r="AL98" s="976"/>
      <c r="AP98" s="976"/>
      <c r="AT98" s="976"/>
      <c r="AX98" s="976"/>
      <c r="BB98" s="976"/>
      <c r="BF98" s="976"/>
      <c r="BJ98" s="976"/>
      <c r="BK98" s="1170"/>
      <c r="BL98" s="1170"/>
      <c r="BM98" s="1166"/>
    </row>
    <row r="99" spans="1:65" s="408" customFormat="1" x14ac:dyDescent="0.2">
      <c r="A99" s="1155"/>
      <c r="F99" s="976"/>
      <c r="J99" s="976"/>
      <c r="N99" s="976"/>
      <c r="R99" s="976"/>
      <c r="V99" s="976"/>
      <c r="Z99" s="976"/>
      <c r="AD99" s="976"/>
      <c r="AH99" s="976"/>
      <c r="AL99" s="976"/>
      <c r="AP99" s="976"/>
      <c r="AT99" s="976"/>
      <c r="AX99" s="976"/>
      <c r="BB99" s="976"/>
      <c r="BF99" s="976"/>
      <c r="BJ99" s="976"/>
      <c r="BK99" s="1170"/>
      <c r="BL99" s="1170"/>
      <c r="BM99" s="1166"/>
    </row>
    <row r="100" spans="1:65" s="408" customFormat="1" ht="14.25" x14ac:dyDescent="0.2">
      <c r="A100" s="1155"/>
      <c r="F100" s="976"/>
      <c r="J100" s="976"/>
      <c r="N100" s="976"/>
      <c r="R100" s="976"/>
      <c r="V100" s="976"/>
      <c r="Z100" s="976"/>
      <c r="AD100" s="976"/>
      <c r="AH100" s="976"/>
      <c r="AL100" s="976"/>
      <c r="AP100" s="976"/>
      <c r="AT100" s="976"/>
      <c r="AX100" s="976"/>
      <c r="BB100" s="976"/>
      <c r="BF100" s="976"/>
      <c r="BJ100" s="976"/>
      <c r="BK100" s="1169"/>
      <c r="BL100" s="1169"/>
      <c r="BM100" s="1168"/>
    </row>
    <row r="101" spans="1:65" s="408" customFormat="1" x14ac:dyDescent="0.2">
      <c r="A101" s="1155"/>
      <c r="F101" s="976"/>
      <c r="J101" s="976"/>
      <c r="N101" s="976"/>
      <c r="R101" s="976"/>
      <c r="V101" s="976"/>
      <c r="Z101" s="976"/>
      <c r="AD101" s="976"/>
      <c r="AH101" s="976"/>
      <c r="AL101" s="976"/>
      <c r="AP101" s="976"/>
      <c r="AT101" s="976"/>
      <c r="AX101" s="976"/>
      <c r="BB101" s="976"/>
      <c r="BF101" s="976"/>
      <c r="BJ101" s="976"/>
      <c r="BK101" s="1167"/>
      <c r="BL101" s="1167"/>
      <c r="BM101" s="1166"/>
    </row>
    <row r="102" spans="1:65" s="408" customFormat="1" x14ac:dyDescent="0.2">
      <c r="A102" s="1155"/>
      <c r="F102" s="976"/>
      <c r="J102" s="976"/>
      <c r="N102" s="976"/>
      <c r="R102" s="976"/>
      <c r="V102" s="976"/>
      <c r="Z102" s="976"/>
      <c r="AD102" s="976"/>
      <c r="AH102" s="976"/>
      <c r="AL102" s="976"/>
      <c r="AP102" s="976"/>
      <c r="AT102" s="976"/>
      <c r="AX102" s="976"/>
      <c r="BB102" s="976"/>
      <c r="BF102" s="976"/>
      <c r="BJ102" s="976"/>
      <c r="BK102" s="1167"/>
      <c r="BL102" s="1167"/>
      <c r="BM102" s="1166"/>
    </row>
    <row r="103" spans="1:65" s="408" customFormat="1" x14ac:dyDescent="0.2">
      <c r="A103" s="1155"/>
      <c r="F103" s="976"/>
      <c r="J103" s="976"/>
      <c r="N103" s="976"/>
      <c r="R103" s="976"/>
      <c r="V103" s="976"/>
      <c r="Z103" s="976"/>
      <c r="AD103" s="976"/>
      <c r="AH103" s="976"/>
      <c r="AL103" s="976"/>
      <c r="AP103" s="976"/>
      <c r="AT103" s="976"/>
      <c r="AX103" s="976"/>
      <c r="BB103" s="976"/>
      <c r="BF103" s="976"/>
      <c r="BJ103" s="976"/>
      <c r="BK103" s="1167"/>
      <c r="BL103" s="1167"/>
      <c r="BM103" s="1166"/>
    </row>
    <row r="104" spans="1:65" s="408" customFormat="1" x14ac:dyDescent="0.2">
      <c r="A104" s="1155"/>
      <c r="F104" s="976"/>
      <c r="J104" s="976"/>
      <c r="N104" s="976"/>
      <c r="R104" s="976"/>
      <c r="V104" s="976"/>
      <c r="Z104" s="976"/>
      <c r="AD104" s="976"/>
      <c r="AH104" s="976"/>
      <c r="AL104" s="976"/>
      <c r="AP104" s="976"/>
      <c r="AT104" s="976"/>
      <c r="AX104" s="976"/>
      <c r="BB104" s="976"/>
      <c r="BF104" s="976"/>
      <c r="BJ104" s="976"/>
      <c r="BK104" s="1159"/>
      <c r="BL104" s="1159"/>
      <c r="BM104" s="1158"/>
    </row>
    <row r="105" spans="1:65" s="408" customFormat="1" x14ac:dyDescent="0.2">
      <c r="A105" s="1155"/>
      <c r="F105" s="976"/>
      <c r="J105" s="976"/>
      <c r="N105" s="976"/>
      <c r="R105" s="976"/>
      <c r="V105" s="976"/>
      <c r="Z105" s="976"/>
      <c r="AD105" s="976"/>
      <c r="AH105" s="976"/>
      <c r="AL105" s="976"/>
      <c r="AP105" s="976"/>
      <c r="AT105" s="976"/>
      <c r="AX105" s="976"/>
      <c r="BB105" s="976"/>
      <c r="BF105" s="976"/>
      <c r="BJ105" s="976"/>
      <c r="BK105" s="1165"/>
      <c r="BL105" s="1165"/>
      <c r="BM105" s="1164"/>
    </row>
    <row r="106" spans="1:65" s="408" customFormat="1" ht="15" x14ac:dyDescent="0.25">
      <c r="A106" s="1155"/>
      <c r="F106" s="976"/>
      <c r="J106" s="976"/>
      <c r="N106" s="976"/>
      <c r="R106" s="976"/>
      <c r="V106" s="976"/>
      <c r="Z106" s="976"/>
      <c r="AD106" s="976"/>
      <c r="AH106" s="976"/>
      <c r="AL106" s="976"/>
      <c r="AP106" s="976"/>
      <c r="AT106" s="976"/>
      <c r="AX106" s="976"/>
      <c r="BB106" s="976"/>
      <c r="BF106" s="976"/>
      <c r="BJ106" s="976"/>
      <c r="BK106" s="1163"/>
      <c r="BL106" s="1163"/>
      <c r="BM106" s="1162"/>
    </row>
    <row r="107" spans="1:65" s="408" customFormat="1" ht="13.5" x14ac:dyDescent="0.25">
      <c r="A107" s="1155"/>
      <c r="F107" s="976"/>
      <c r="J107" s="976"/>
      <c r="N107" s="976"/>
      <c r="R107" s="976"/>
      <c r="V107" s="976"/>
      <c r="Z107" s="976"/>
      <c r="AD107" s="976"/>
      <c r="AH107" s="976"/>
      <c r="AL107" s="976"/>
      <c r="AP107" s="976"/>
      <c r="AT107" s="976"/>
      <c r="AX107" s="976"/>
      <c r="BB107" s="976"/>
      <c r="BF107" s="976"/>
      <c r="BJ107" s="976"/>
      <c r="BK107" s="1161"/>
      <c r="BL107" s="1161"/>
      <c r="BM107" s="1160"/>
    </row>
    <row r="108" spans="1:65" s="408" customFormat="1" ht="13.5" x14ac:dyDescent="0.25">
      <c r="A108" s="1155"/>
      <c r="F108" s="976"/>
      <c r="J108" s="976"/>
      <c r="N108" s="976"/>
      <c r="R108" s="976"/>
      <c r="V108" s="976"/>
      <c r="Z108" s="976"/>
      <c r="AD108" s="976"/>
      <c r="AH108" s="976"/>
      <c r="AL108" s="976"/>
      <c r="AP108" s="976"/>
      <c r="AT108" s="976"/>
      <c r="AX108" s="976"/>
      <c r="BB108" s="976"/>
      <c r="BF108" s="976"/>
      <c r="BJ108" s="976"/>
      <c r="BK108" s="1161"/>
      <c r="BL108" s="1161"/>
      <c r="BM108" s="1160"/>
    </row>
    <row r="109" spans="1:65" s="408" customFormat="1" ht="13.5" x14ac:dyDescent="0.25">
      <c r="A109" s="1155"/>
      <c r="F109" s="976"/>
      <c r="J109" s="976"/>
      <c r="N109" s="976"/>
      <c r="R109" s="976"/>
      <c r="V109" s="976"/>
      <c r="Z109" s="976"/>
      <c r="AD109" s="976"/>
      <c r="AH109" s="976"/>
      <c r="AL109" s="976"/>
      <c r="AP109" s="976"/>
      <c r="AT109" s="976"/>
      <c r="AX109" s="976"/>
      <c r="BB109" s="976"/>
      <c r="BF109" s="976"/>
      <c r="BJ109" s="976"/>
      <c r="BK109" s="1161"/>
      <c r="BL109" s="1161"/>
      <c r="BM109" s="1160"/>
    </row>
    <row r="110" spans="1:65" s="408" customFormat="1" ht="15" x14ac:dyDescent="0.25">
      <c r="A110" s="1155"/>
      <c r="F110" s="976"/>
      <c r="J110" s="976"/>
      <c r="N110" s="976"/>
      <c r="R110" s="976"/>
      <c r="V110" s="976"/>
      <c r="Z110" s="976"/>
      <c r="AD110" s="976"/>
      <c r="AH110" s="976"/>
      <c r="AL110" s="976"/>
      <c r="AP110" s="976"/>
      <c r="AT110" s="976"/>
      <c r="AX110" s="976"/>
      <c r="BB110" s="976"/>
      <c r="BF110" s="976"/>
      <c r="BJ110" s="976"/>
      <c r="BK110" s="1163"/>
      <c r="BL110" s="1163"/>
      <c r="BM110" s="1162"/>
    </row>
    <row r="111" spans="1:65" s="408" customFormat="1" ht="13.5" x14ac:dyDescent="0.25">
      <c r="A111" s="1155"/>
      <c r="F111" s="976"/>
      <c r="J111" s="976"/>
      <c r="N111" s="976"/>
      <c r="R111" s="976"/>
      <c r="V111" s="976"/>
      <c r="Z111" s="976"/>
      <c r="AD111" s="976"/>
      <c r="AH111" s="976"/>
      <c r="AL111" s="976"/>
      <c r="AP111" s="976"/>
      <c r="AT111" s="976"/>
      <c r="AX111" s="976"/>
      <c r="BB111" s="976"/>
      <c r="BF111" s="976"/>
      <c r="BJ111" s="976"/>
      <c r="BK111" s="1161"/>
      <c r="BL111" s="1161"/>
      <c r="BM111" s="1160"/>
    </row>
    <row r="112" spans="1:65" s="408" customFormat="1" ht="13.5" x14ac:dyDescent="0.25">
      <c r="A112" s="1155"/>
      <c r="F112" s="976"/>
      <c r="J112" s="976"/>
      <c r="N112" s="976"/>
      <c r="R112" s="976"/>
      <c r="V112" s="976"/>
      <c r="Z112" s="976"/>
      <c r="AD112" s="976"/>
      <c r="AH112" s="976"/>
      <c r="AL112" s="976"/>
      <c r="AP112" s="976"/>
      <c r="AT112" s="976"/>
      <c r="AX112" s="976"/>
      <c r="BB112" s="976"/>
      <c r="BF112" s="976"/>
      <c r="BJ112" s="976"/>
      <c r="BK112" s="1161"/>
      <c r="BL112" s="1161"/>
      <c r="BM112" s="1160"/>
    </row>
    <row r="113" spans="1:65" s="408" customFormat="1" ht="13.5" x14ac:dyDescent="0.25">
      <c r="A113" s="1155"/>
      <c r="F113" s="976"/>
      <c r="J113" s="976"/>
      <c r="N113" s="976"/>
      <c r="R113" s="976"/>
      <c r="V113" s="976"/>
      <c r="Z113" s="976"/>
      <c r="AD113" s="976"/>
      <c r="AH113" s="976"/>
      <c r="AL113" s="976"/>
      <c r="AP113" s="976"/>
      <c r="AT113" s="976"/>
      <c r="AX113" s="976"/>
      <c r="BB113" s="976"/>
      <c r="BF113" s="976"/>
      <c r="BJ113" s="976"/>
      <c r="BK113" s="1161"/>
      <c r="BL113" s="1161"/>
      <c r="BM113" s="1160"/>
    </row>
    <row r="114" spans="1:65" s="408" customFormat="1" ht="15" x14ac:dyDescent="0.25">
      <c r="A114" s="1155"/>
      <c r="F114" s="976"/>
      <c r="J114" s="976"/>
      <c r="N114" s="976"/>
      <c r="R114" s="976"/>
      <c r="V114" s="976"/>
      <c r="Z114" s="976"/>
      <c r="AD114" s="976"/>
      <c r="AH114" s="976"/>
      <c r="AL114" s="976"/>
      <c r="AP114" s="976"/>
      <c r="AT114" s="976"/>
      <c r="AX114" s="976"/>
      <c r="BB114" s="976"/>
      <c r="BF114" s="976"/>
      <c r="BJ114" s="976"/>
      <c r="BK114" s="1163"/>
      <c r="BL114" s="1163"/>
      <c r="BM114" s="1162"/>
    </row>
    <row r="115" spans="1:65" s="408" customFormat="1" ht="13.5" x14ac:dyDescent="0.25">
      <c r="A115" s="1155"/>
      <c r="F115" s="976"/>
      <c r="J115" s="976"/>
      <c r="N115" s="976"/>
      <c r="R115" s="976"/>
      <c r="V115" s="976"/>
      <c r="Z115" s="976"/>
      <c r="AD115" s="976"/>
      <c r="AH115" s="976"/>
      <c r="AL115" s="976"/>
      <c r="AP115" s="976"/>
      <c r="AT115" s="976"/>
      <c r="AX115" s="976"/>
      <c r="BB115" s="976"/>
      <c r="BF115" s="976"/>
      <c r="BJ115" s="976"/>
      <c r="BK115" s="1161"/>
      <c r="BL115" s="1161"/>
      <c r="BM115" s="1160"/>
    </row>
    <row r="116" spans="1:65" s="408" customFormat="1" ht="13.5" x14ac:dyDescent="0.25">
      <c r="A116" s="1155"/>
      <c r="F116" s="976"/>
      <c r="J116" s="976"/>
      <c r="N116" s="976"/>
      <c r="R116" s="976"/>
      <c r="V116" s="976"/>
      <c r="Z116" s="976"/>
      <c r="AD116" s="976"/>
      <c r="AH116" s="976"/>
      <c r="AL116" s="976"/>
      <c r="AP116" s="976"/>
      <c r="AT116" s="976"/>
      <c r="AX116" s="976"/>
      <c r="BB116" s="976"/>
      <c r="BF116" s="976"/>
      <c r="BJ116" s="976"/>
      <c r="BK116" s="1161"/>
      <c r="BL116" s="1161"/>
      <c r="BM116" s="1160"/>
    </row>
    <row r="117" spans="1:65" s="408" customFormat="1" ht="13.5" x14ac:dyDescent="0.25">
      <c r="A117" s="1155"/>
      <c r="F117" s="976"/>
      <c r="J117" s="976"/>
      <c r="N117" s="976"/>
      <c r="R117" s="976"/>
      <c r="V117" s="976"/>
      <c r="Z117" s="976"/>
      <c r="AD117" s="976"/>
      <c r="AH117" s="976"/>
      <c r="AL117" s="976"/>
      <c r="AP117" s="976"/>
      <c r="AT117" s="976"/>
      <c r="AX117" s="976"/>
      <c r="BB117" s="976"/>
      <c r="BF117" s="976"/>
      <c r="BJ117" s="976"/>
      <c r="BK117" s="1161"/>
      <c r="BL117" s="1161"/>
      <c r="BM117" s="1160"/>
    </row>
    <row r="118" spans="1:65" s="408" customFormat="1" ht="15" x14ac:dyDescent="0.25">
      <c r="A118" s="1155"/>
      <c r="F118" s="976"/>
      <c r="J118" s="976"/>
      <c r="N118" s="976"/>
      <c r="R118" s="976"/>
      <c r="V118" s="976"/>
      <c r="Z118" s="976"/>
      <c r="AD118" s="976"/>
      <c r="AH118" s="976"/>
      <c r="AL118" s="976"/>
      <c r="AP118" s="976"/>
      <c r="AT118" s="976"/>
      <c r="AX118" s="976"/>
      <c r="BB118" s="976"/>
      <c r="BF118" s="976"/>
      <c r="BJ118" s="976"/>
      <c r="BK118" s="1163"/>
      <c r="BL118" s="1163"/>
      <c r="BM118" s="1162"/>
    </row>
    <row r="119" spans="1:65" s="408" customFormat="1" ht="13.5" x14ac:dyDescent="0.25">
      <c r="A119" s="1155"/>
      <c r="F119" s="976"/>
      <c r="J119" s="976"/>
      <c r="N119" s="976"/>
      <c r="R119" s="976"/>
      <c r="V119" s="976"/>
      <c r="Z119" s="976"/>
      <c r="AD119" s="976"/>
      <c r="AH119" s="976"/>
      <c r="AL119" s="976"/>
      <c r="AP119" s="976"/>
      <c r="AT119" s="976"/>
      <c r="AX119" s="976"/>
      <c r="BB119" s="976"/>
      <c r="BF119" s="976"/>
      <c r="BJ119" s="976"/>
      <c r="BK119" s="1161"/>
      <c r="BL119" s="1161"/>
      <c r="BM119" s="1160"/>
    </row>
    <row r="120" spans="1:65" s="408" customFormat="1" ht="13.5" x14ac:dyDescent="0.25">
      <c r="A120" s="1155"/>
      <c r="F120" s="976"/>
      <c r="J120" s="976"/>
      <c r="N120" s="976"/>
      <c r="R120" s="976"/>
      <c r="V120" s="976"/>
      <c r="Z120" s="976"/>
      <c r="AD120" s="976"/>
      <c r="AH120" s="976"/>
      <c r="AL120" s="976"/>
      <c r="AP120" s="976"/>
      <c r="AT120" s="976"/>
      <c r="AX120" s="976"/>
      <c r="BB120" s="976"/>
      <c r="BF120" s="976"/>
      <c r="BJ120" s="976"/>
      <c r="BK120" s="1161"/>
      <c r="BL120" s="1161"/>
      <c r="BM120" s="1160"/>
    </row>
    <row r="121" spans="1:65" s="408" customFormat="1" ht="13.5" x14ac:dyDescent="0.25">
      <c r="A121" s="1155"/>
      <c r="F121" s="976"/>
      <c r="J121" s="976"/>
      <c r="N121" s="976"/>
      <c r="R121" s="976"/>
      <c r="V121" s="976"/>
      <c r="Z121" s="976"/>
      <c r="AD121" s="976"/>
      <c r="AH121" s="976"/>
      <c r="AL121" s="976"/>
      <c r="AP121" s="976"/>
      <c r="AT121" s="976"/>
      <c r="AX121" s="976"/>
      <c r="BB121" s="976"/>
      <c r="BF121" s="976"/>
      <c r="BJ121" s="976"/>
      <c r="BK121" s="1161"/>
      <c r="BL121" s="1161"/>
      <c r="BM121" s="1160"/>
    </row>
    <row r="122" spans="1:65" s="408" customFormat="1" ht="15" x14ac:dyDescent="0.25">
      <c r="A122" s="1155"/>
      <c r="F122" s="976"/>
      <c r="J122" s="976"/>
      <c r="N122" s="976"/>
      <c r="R122" s="976"/>
      <c r="V122" s="976"/>
      <c r="Z122" s="976"/>
      <c r="AD122" s="976"/>
      <c r="AH122" s="976"/>
      <c r="AL122" s="976"/>
      <c r="AP122" s="976"/>
      <c r="AT122" s="976"/>
      <c r="AX122" s="976"/>
      <c r="BB122" s="976"/>
      <c r="BF122" s="976"/>
      <c r="BJ122" s="976"/>
      <c r="BK122" s="1163"/>
      <c r="BL122" s="1163"/>
      <c r="BM122" s="1162"/>
    </row>
    <row r="123" spans="1:65" s="408" customFormat="1" ht="13.5" x14ac:dyDescent="0.25">
      <c r="A123" s="1155"/>
      <c r="F123" s="976"/>
      <c r="J123" s="976"/>
      <c r="N123" s="976"/>
      <c r="R123" s="976"/>
      <c r="V123" s="976"/>
      <c r="Z123" s="976"/>
      <c r="AD123" s="976"/>
      <c r="AH123" s="976"/>
      <c r="AL123" s="976"/>
      <c r="AP123" s="976"/>
      <c r="AT123" s="976"/>
      <c r="AX123" s="976"/>
      <c r="BB123" s="976"/>
      <c r="BF123" s="976"/>
      <c r="BJ123" s="976"/>
      <c r="BK123" s="1161"/>
      <c r="BL123" s="1161"/>
      <c r="BM123" s="1160"/>
    </row>
    <row r="124" spans="1:65" s="408" customFormat="1" ht="13.5" x14ac:dyDescent="0.25">
      <c r="A124" s="1155"/>
      <c r="F124" s="976"/>
      <c r="J124" s="976"/>
      <c r="N124" s="976"/>
      <c r="R124" s="976"/>
      <c r="V124" s="976"/>
      <c r="Z124" s="976"/>
      <c r="AD124" s="976"/>
      <c r="AH124" s="976"/>
      <c r="AL124" s="976"/>
      <c r="AP124" s="976"/>
      <c r="AT124" s="976"/>
      <c r="AX124" s="976"/>
      <c r="BB124" s="976"/>
      <c r="BF124" s="976"/>
      <c r="BJ124" s="976"/>
      <c r="BK124" s="1161"/>
      <c r="BL124" s="1161"/>
      <c r="BM124" s="1160"/>
    </row>
    <row r="125" spans="1:65" s="408" customFormat="1" ht="13.5" x14ac:dyDescent="0.25">
      <c r="A125" s="1155"/>
      <c r="F125" s="976"/>
      <c r="J125" s="976"/>
      <c r="N125" s="976"/>
      <c r="R125" s="976"/>
      <c r="V125" s="976"/>
      <c r="Z125" s="976"/>
      <c r="AD125" s="976"/>
      <c r="AH125" s="976"/>
      <c r="AL125" s="976"/>
      <c r="AP125" s="976"/>
      <c r="AT125" s="976"/>
      <c r="AX125" s="976"/>
      <c r="BB125" s="976"/>
      <c r="BF125" s="976"/>
      <c r="BJ125" s="976"/>
      <c r="BK125" s="1161"/>
      <c r="BL125" s="1161"/>
      <c r="BM125" s="1160"/>
    </row>
    <row r="126" spans="1:65" s="408" customFormat="1" ht="15" x14ac:dyDescent="0.25">
      <c r="A126" s="1155"/>
      <c r="F126" s="976"/>
      <c r="J126" s="976"/>
      <c r="N126" s="976"/>
      <c r="R126" s="976"/>
      <c r="V126" s="976"/>
      <c r="Z126" s="976"/>
      <c r="AD126" s="976"/>
      <c r="AH126" s="976"/>
      <c r="AL126" s="976"/>
      <c r="AP126" s="976"/>
      <c r="AT126" s="976"/>
      <c r="AX126" s="976"/>
      <c r="BB126" s="976"/>
      <c r="BF126" s="976"/>
      <c r="BJ126" s="976"/>
      <c r="BK126" s="1163"/>
      <c r="BL126" s="1163"/>
      <c r="BM126" s="1162"/>
    </row>
    <row r="127" spans="1:65" s="408" customFormat="1" ht="13.5" x14ac:dyDescent="0.25">
      <c r="A127" s="1155"/>
      <c r="F127" s="976"/>
      <c r="J127" s="976"/>
      <c r="N127" s="976"/>
      <c r="R127" s="976"/>
      <c r="V127" s="976"/>
      <c r="Z127" s="976"/>
      <c r="AD127" s="976"/>
      <c r="AH127" s="976"/>
      <c r="AL127" s="976"/>
      <c r="AP127" s="976"/>
      <c r="AT127" s="976"/>
      <c r="AX127" s="976"/>
      <c r="BB127" s="976"/>
      <c r="BF127" s="976"/>
      <c r="BJ127" s="976"/>
      <c r="BK127" s="1161"/>
      <c r="BL127" s="1161"/>
      <c r="BM127" s="1160"/>
    </row>
    <row r="128" spans="1:65" s="408" customFormat="1" ht="13.5" x14ac:dyDescent="0.25">
      <c r="A128" s="1155"/>
      <c r="F128" s="976"/>
      <c r="J128" s="976"/>
      <c r="N128" s="976"/>
      <c r="R128" s="976"/>
      <c r="V128" s="976"/>
      <c r="Z128" s="976"/>
      <c r="AD128" s="976"/>
      <c r="AH128" s="976"/>
      <c r="AL128" s="976"/>
      <c r="AP128" s="976"/>
      <c r="AT128" s="976"/>
      <c r="AX128" s="976"/>
      <c r="BB128" s="976"/>
      <c r="BF128" s="976"/>
      <c r="BJ128" s="976"/>
      <c r="BK128" s="1161"/>
      <c r="BL128" s="1161"/>
      <c r="BM128" s="1160"/>
    </row>
    <row r="129" spans="1:65" s="408" customFormat="1" ht="13.5" x14ac:dyDescent="0.25">
      <c r="A129" s="1155"/>
      <c r="F129" s="976"/>
      <c r="J129" s="976"/>
      <c r="N129" s="976"/>
      <c r="R129" s="976"/>
      <c r="V129" s="976"/>
      <c r="Z129" s="976"/>
      <c r="AD129" s="976"/>
      <c r="AH129" s="976"/>
      <c r="AL129" s="976"/>
      <c r="AP129" s="976"/>
      <c r="AT129" s="976"/>
      <c r="AX129" s="976"/>
      <c r="BB129" s="976"/>
      <c r="BF129" s="976"/>
      <c r="BJ129" s="976"/>
      <c r="BK129" s="1161"/>
      <c r="BL129" s="1161"/>
      <c r="BM129" s="1160"/>
    </row>
    <row r="130" spans="1:65" s="408" customFormat="1" ht="15" x14ac:dyDescent="0.25">
      <c r="A130" s="1155"/>
      <c r="F130" s="976"/>
      <c r="J130" s="976"/>
      <c r="N130" s="976"/>
      <c r="R130" s="976"/>
      <c r="V130" s="976"/>
      <c r="Z130" s="976"/>
      <c r="AD130" s="976"/>
      <c r="AH130" s="976"/>
      <c r="AL130" s="976"/>
      <c r="AP130" s="976"/>
      <c r="AT130" s="976"/>
      <c r="AX130" s="976"/>
      <c r="BB130" s="976"/>
      <c r="BF130" s="976"/>
      <c r="BJ130" s="976"/>
      <c r="BK130" s="1163"/>
      <c r="BL130" s="1163"/>
      <c r="BM130" s="1162"/>
    </row>
    <row r="131" spans="1:65" s="408" customFormat="1" ht="13.5" x14ac:dyDescent="0.25">
      <c r="A131" s="1155"/>
      <c r="F131" s="976"/>
      <c r="J131" s="976"/>
      <c r="N131" s="976"/>
      <c r="R131" s="976"/>
      <c r="V131" s="976"/>
      <c r="Z131" s="976"/>
      <c r="AD131" s="976"/>
      <c r="AH131" s="976"/>
      <c r="AL131" s="976"/>
      <c r="AP131" s="976"/>
      <c r="AT131" s="976"/>
      <c r="AX131" s="976"/>
      <c r="BB131" s="976"/>
      <c r="BF131" s="976"/>
      <c r="BJ131" s="976"/>
      <c r="BK131" s="1161"/>
      <c r="BL131" s="1161"/>
      <c r="BM131" s="1160"/>
    </row>
    <row r="132" spans="1:65" s="408" customFormat="1" ht="13.5" x14ac:dyDescent="0.25">
      <c r="A132" s="1155"/>
      <c r="F132" s="976"/>
      <c r="J132" s="976"/>
      <c r="N132" s="976"/>
      <c r="R132" s="976"/>
      <c r="V132" s="976"/>
      <c r="Z132" s="976"/>
      <c r="AD132" s="976"/>
      <c r="AH132" s="976"/>
      <c r="AL132" s="976"/>
      <c r="AP132" s="976"/>
      <c r="AT132" s="976"/>
      <c r="AX132" s="976"/>
      <c r="BB132" s="976"/>
      <c r="BF132" s="976"/>
      <c r="BJ132" s="976"/>
      <c r="BK132" s="1161"/>
      <c r="BL132" s="1161"/>
      <c r="BM132" s="1160"/>
    </row>
    <row r="133" spans="1:65" s="408" customFormat="1" ht="13.5" x14ac:dyDescent="0.25">
      <c r="A133" s="1155"/>
      <c r="F133" s="976"/>
      <c r="J133" s="976"/>
      <c r="N133" s="976"/>
      <c r="R133" s="976"/>
      <c r="V133" s="976"/>
      <c r="Z133" s="976"/>
      <c r="AD133" s="976"/>
      <c r="AH133" s="976"/>
      <c r="AL133" s="976"/>
      <c r="AP133" s="976"/>
      <c r="AT133" s="976"/>
      <c r="AX133" s="976"/>
      <c r="BB133" s="976"/>
      <c r="BF133" s="976"/>
      <c r="BJ133" s="976"/>
      <c r="BK133" s="1161"/>
      <c r="BL133" s="1161"/>
      <c r="BM133" s="1160"/>
    </row>
    <row r="134" spans="1:65" s="408" customFormat="1" ht="15" x14ac:dyDescent="0.25">
      <c r="A134" s="1155"/>
      <c r="F134" s="976"/>
      <c r="J134" s="976"/>
      <c r="N134" s="976"/>
      <c r="R134" s="976"/>
      <c r="V134" s="976"/>
      <c r="Z134" s="976"/>
      <c r="AD134" s="976"/>
      <c r="AH134" s="976"/>
      <c r="AL134" s="976"/>
      <c r="AP134" s="976"/>
      <c r="AT134" s="976"/>
      <c r="AX134" s="976"/>
      <c r="BB134" s="976"/>
      <c r="BF134" s="976"/>
      <c r="BJ134" s="976"/>
      <c r="BK134" s="1163"/>
      <c r="BL134" s="1163"/>
      <c r="BM134" s="1162"/>
    </row>
    <row r="135" spans="1:65" s="408" customFormat="1" ht="13.5" x14ac:dyDescent="0.25">
      <c r="A135" s="1155"/>
      <c r="F135" s="976"/>
      <c r="J135" s="976"/>
      <c r="N135" s="976"/>
      <c r="R135" s="976"/>
      <c r="V135" s="976"/>
      <c r="Z135" s="976"/>
      <c r="AD135" s="976"/>
      <c r="AH135" s="976"/>
      <c r="AL135" s="976"/>
      <c r="AP135" s="976"/>
      <c r="AT135" s="976"/>
      <c r="AX135" s="976"/>
      <c r="BB135" s="976"/>
      <c r="BF135" s="976"/>
      <c r="BJ135" s="976"/>
      <c r="BK135" s="1161"/>
      <c r="BL135" s="1161"/>
      <c r="BM135" s="1160"/>
    </row>
    <row r="136" spans="1:65" s="408" customFormat="1" ht="13.5" x14ac:dyDescent="0.25">
      <c r="A136" s="1155"/>
      <c r="F136" s="976"/>
      <c r="J136" s="976"/>
      <c r="N136" s="976"/>
      <c r="R136" s="976"/>
      <c r="V136" s="976"/>
      <c r="Z136" s="976"/>
      <c r="AD136" s="976"/>
      <c r="AH136" s="976"/>
      <c r="AL136" s="976"/>
      <c r="AP136" s="976"/>
      <c r="AT136" s="976"/>
      <c r="AX136" s="976"/>
      <c r="BB136" s="976"/>
      <c r="BF136" s="976"/>
      <c r="BJ136" s="976"/>
      <c r="BK136" s="1161"/>
      <c r="BL136" s="1161"/>
      <c r="BM136" s="1160"/>
    </row>
    <row r="137" spans="1:65" s="408" customFormat="1" ht="13.5" x14ac:dyDescent="0.25">
      <c r="A137" s="1155"/>
      <c r="F137" s="976"/>
      <c r="J137" s="976"/>
      <c r="N137" s="976"/>
      <c r="R137" s="976"/>
      <c r="V137" s="976"/>
      <c r="Z137" s="976"/>
      <c r="AD137" s="976"/>
      <c r="AH137" s="976"/>
      <c r="AL137" s="976"/>
      <c r="AP137" s="976"/>
      <c r="AT137" s="976"/>
      <c r="AX137" s="976"/>
      <c r="BB137" s="976"/>
      <c r="BF137" s="976"/>
      <c r="BJ137" s="976"/>
      <c r="BK137" s="1161"/>
      <c r="BL137" s="1161"/>
      <c r="BM137" s="1160"/>
    </row>
    <row r="138" spans="1:65" s="408" customFormat="1" ht="15" x14ac:dyDescent="0.25">
      <c r="A138" s="1155"/>
      <c r="F138" s="976"/>
      <c r="J138" s="976"/>
      <c r="N138" s="976"/>
      <c r="R138" s="976"/>
      <c r="V138" s="976"/>
      <c r="Z138" s="976"/>
      <c r="AD138" s="976"/>
      <c r="AH138" s="976"/>
      <c r="AL138" s="976"/>
      <c r="AP138" s="976"/>
      <c r="AT138" s="976"/>
      <c r="AX138" s="976"/>
      <c r="BB138" s="976"/>
      <c r="BF138" s="976"/>
      <c r="BJ138" s="976"/>
      <c r="BK138" s="1163"/>
      <c r="BL138" s="1163"/>
      <c r="BM138" s="1162"/>
    </row>
    <row r="139" spans="1:65" s="408" customFormat="1" ht="13.5" x14ac:dyDescent="0.25">
      <c r="A139" s="1155"/>
      <c r="F139" s="976"/>
      <c r="J139" s="976"/>
      <c r="N139" s="976"/>
      <c r="R139" s="976"/>
      <c r="V139" s="976"/>
      <c r="Z139" s="976"/>
      <c r="AD139" s="976"/>
      <c r="AH139" s="976"/>
      <c r="AL139" s="976"/>
      <c r="AP139" s="976"/>
      <c r="AT139" s="976"/>
      <c r="AX139" s="976"/>
      <c r="BB139" s="976"/>
      <c r="BF139" s="976"/>
      <c r="BJ139" s="976"/>
      <c r="BK139" s="1161"/>
      <c r="BL139" s="1161"/>
      <c r="BM139" s="1160"/>
    </row>
    <row r="140" spans="1:65" s="408" customFormat="1" ht="13.5" x14ac:dyDescent="0.25">
      <c r="A140" s="1155"/>
      <c r="F140" s="976"/>
      <c r="J140" s="976"/>
      <c r="N140" s="976"/>
      <c r="R140" s="976"/>
      <c r="V140" s="976"/>
      <c r="Z140" s="976"/>
      <c r="AD140" s="976"/>
      <c r="AH140" s="976"/>
      <c r="AL140" s="976"/>
      <c r="AP140" s="976"/>
      <c r="AT140" s="976"/>
      <c r="AX140" s="976"/>
      <c r="BB140" s="976"/>
      <c r="BF140" s="976"/>
      <c r="BJ140" s="976"/>
      <c r="BK140" s="1161"/>
      <c r="BL140" s="1161"/>
      <c r="BM140" s="1160"/>
    </row>
    <row r="141" spans="1:65" s="408" customFormat="1" ht="13.5" x14ac:dyDescent="0.25">
      <c r="A141" s="1155"/>
      <c r="F141" s="976"/>
      <c r="J141" s="976"/>
      <c r="N141" s="976"/>
      <c r="R141" s="976"/>
      <c r="V141" s="976"/>
      <c r="Z141" s="976"/>
      <c r="AD141" s="976"/>
      <c r="AH141" s="976"/>
      <c r="AL141" s="976"/>
      <c r="AP141" s="976"/>
      <c r="AT141" s="976"/>
      <c r="AX141" s="976"/>
      <c r="BB141" s="976"/>
      <c r="BF141" s="976"/>
      <c r="BJ141" s="976"/>
      <c r="BK141" s="1161"/>
      <c r="BL141" s="1161"/>
      <c r="BM141" s="1160"/>
    </row>
    <row r="142" spans="1:65" s="408" customFormat="1" ht="15" x14ac:dyDescent="0.25">
      <c r="A142" s="1155"/>
      <c r="F142" s="976"/>
      <c r="J142" s="976"/>
      <c r="N142" s="976"/>
      <c r="R142" s="976"/>
      <c r="V142" s="976"/>
      <c r="Z142" s="976"/>
      <c r="AD142" s="976"/>
      <c r="AH142" s="976"/>
      <c r="AL142" s="976"/>
      <c r="AP142" s="976"/>
      <c r="AT142" s="976"/>
      <c r="AX142" s="976"/>
      <c r="BB142" s="976"/>
      <c r="BF142" s="976"/>
      <c r="BJ142" s="976"/>
      <c r="BK142" s="1163"/>
      <c r="BL142" s="1163"/>
      <c r="BM142" s="1162"/>
    </row>
    <row r="143" spans="1:65" s="408" customFormat="1" ht="13.5" x14ac:dyDescent="0.25">
      <c r="A143" s="1155"/>
      <c r="F143" s="976"/>
      <c r="J143" s="976"/>
      <c r="N143" s="976"/>
      <c r="R143" s="976"/>
      <c r="V143" s="976"/>
      <c r="Z143" s="976"/>
      <c r="AD143" s="976"/>
      <c r="AH143" s="976"/>
      <c r="AL143" s="976"/>
      <c r="AP143" s="976"/>
      <c r="AT143" s="976"/>
      <c r="AX143" s="976"/>
      <c r="BB143" s="976"/>
      <c r="BF143" s="976"/>
      <c r="BJ143" s="976"/>
      <c r="BK143" s="1161"/>
      <c r="BL143" s="1161"/>
      <c r="BM143" s="1160"/>
    </row>
    <row r="144" spans="1:65" s="408" customFormat="1" ht="13.5" x14ac:dyDescent="0.25">
      <c r="A144" s="1155"/>
      <c r="F144" s="976"/>
      <c r="J144" s="976"/>
      <c r="N144" s="976"/>
      <c r="R144" s="976"/>
      <c r="V144" s="976"/>
      <c r="Z144" s="976"/>
      <c r="AD144" s="976"/>
      <c r="AH144" s="976"/>
      <c r="AL144" s="976"/>
      <c r="AP144" s="976"/>
      <c r="AT144" s="976"/>
      <c r="AX144" s="976"/>
      <c r="BB144" s="976"/>
      <c r="BF144" s="976"/>
      <c r="BJ144" s="976"/>
      <c r="BK144" s="1161"/>
      <c r="BL144" s="1161"/>
      <c r="BM144" s="1160"/>
    </row>
    <row r="145" spans="1:65" s="408" customFormat="1" ht="13.5" x14ac:dyDescent="0.25">
      <c r="A145" s="1155"/>
      <c r="F145" s="976"/>
      <c r="J145" s="976"/>
      <c r="N145" s="976"/>
      <c r="R145" s="976"/>
      <c r="V145" s="976"/>
      <c r="Z145" s="976"/>
      <c r="AD145" s="976"/>
      <c r="AH145" s="976"/>
      <c r="AL145" s="976"/>
      <c r="AP145" s="976"/>
      <c r="AT145" s="976"/>
      <c r="AX145" s="976"/>
      <c r="BB145" s="976"/>
      <c r="BF145" s="976"/>
      <c r="BJ145" s="976"/>
      <c r="BK145" s="1161"/>
      <c r="BL145" s="1161"/>
      <c r="BM145" s="1160"/>
    </row>
    <row r="146" spans="1:65" s="408" customFormat="1" x14ac:dyDescent="0.2">
      <c r="A146" s="1155"/>
      <c r="F146" s="976"/>
      <c r="J146" s="976"/>
      <c r="N146" s="976"/>
      <c r="R146" s="976"/>
      <c r="V146" s="976"/>
      <c r="Z146" s="976"/>
      <c r="AD146" s="976"/>
      <c r="AH146" s="976"/>
      <c r="AL146" s="976"/>
      <c r="AP146" s="976"/>
      <c r="AT146" s="976"/>
      <c r="AX146" s="976"/>
      <c r="BB146" s="976"/>
      <c r="BF146" s="976"/>
      <c r="BJ146" s="976"/>
      <c r="BK146" s="1159"/>
      <c r="BL146" s="1159"/>
      <c r="BM146" s="1158"/>
    </row>
    <row r="147" spans="1:65" s="408" customFormat="1" x14ac:dyDescent="0.2">
      <c r="A147" s="1155"/>
      <c r="F147" s="976"/>
      <c r="J147" s="976"/>
      <c r="N147" s="976"/>
      <c r="R147" s="976"/>
      <c r="V147" s="976"/>
      <c r="Z147" s="976"/>
      <c r="AD147" s="976"/>
      <c r="AH147" s="976"/>
      <c r="AL147" s="976"/>
      <c r="AP147" s="976"/>
      <c r="AT147" s="976"/>
      <c r="AX147" s="976"/>
      <c r="BB147" s="976"/>
      <c r="BF147" s="976"/>
      <c r="BJ147" s="976"/>
      <c r="BK147" s="1157"/>
      <c r="BL147" s="1157"/>
      <c r="BM147" s="1156"/>
    </row>
    <row r="148" spans="1:65" s="408" customFormat="1" x14ac:dyDescent="0.2">
      <c r="A148" s="1155"/>
      <c r="F148" s="976"/>
      <c r="J148" s="976"/>
      <c r="N148" s="976"/>
      <c r="R148" s="976"/>
      <c r="V148" s="976"/>
      <c r="Z148" s="976"/>
      <c r="AD148" s="976"/>
      <c r="AH148" s="976"/>
      <c r="AL148" s="976"/>
      <c r="AP148" s="976"/>
      <c r="AT148" s="976"/>
      <c r="AX148" s="976"/>
      <c r="BB148" s="976"/>
      <c r="BF148" s="976"/>
      <c r="BJ148" s="976"/>
    </row>
    <row r="149" spans="1:65" s="408" customFormat="1" x14ac:dyDescent="0.2">
      <c r="A149" s="1155"/>
      <c r="F149" s="976"/>
      <c r="J149" s="976"/>
      <c r="N149" s="976"/>
      <c r="R149" s="976"/>
      <c r="V149" s="976"/>
      <c r="Z149" s="976"/>
      <c r="AD149" s="976"/>
      <c r="AH149" s="976"/>
      <c r="AL149" s="976"/>
      <c r="AP149" s="976"/>
      <c r="AT149" s="976"/>
      <c r="AX149" s="976"/>
      <c r="BB149" s="976"/>
      <c r="BF149" s="976"/>
      <c r="BJ149" s="976"/>
    </row>
    <row r="150" spans="1:65" s="408" customFormat="1" x14ac:dyDescent="0.2">
      <c r="A150" s="1155"/>
      <c r="F150" s="976"/>
      <c r="J150" s="976"/>
      <c r="N150" s="976"/>
      <c r="R150" s="976"/>
      <c r="V150" s="976"/>
      <c r="Z150" s="976"/>
      <c r="AD150" s="976"/>
      <c r="AH150" s="976"/>
      <c r="AL150" s="976"/>
      <c r="AP150" s="976"/>
      <c r="AT150" s="976"/>
      <c r="AX150" s="976"/>
      <c r="BB150" s="976"/>
      <c r="BF150" s="976"/>
      <c r="BJ150" s="976"/>
    </row>
    <row r="151" spans="1:65" s="408" customFormat="1" x14ac:dyDescent="0.2">
      <c r="A151" s="1155"/>
      <c r="F151" s="976"/>
      <c r="J151" s="976"/>
      <c r="N151" s="976"/>
      <c r="R151" s="976"/>
      <c r="V151" s="976"/>
      <c r="Z151" s="976"/>
      <c r="AD151" s="976"/>
      <c r="AH151" s="976"/>
      <c r="AL151" s="976"/>
      <c r="AP151" s="976"/>
      <c r="AT151" s="976"/>
      <c r="AX151" s="976"/>
      <c r="BB151" s="976"/>
      <c r="BF151" s="976"/>
      <c r="BJ151" s="976"/>
    </row>
    <row r="152" spans="1:65" s="408" customFormat="1" x14ac:dyDescent="0.2">
      <c r="A152" s="1155"/>
      <c r="F152" s="976"/>
      <c r="J152" s="976"/>
      <c r="N152" s="976"/>
      <c r="R152" s="976"/>
      <c r="V152" s="976"/>
      <c r="Z152" s="976"/>
      <c r="AD152" s="976"/>
      <c r="AH152" s="976"/>
      <c r="AL152" s="976"/>
      <c r="AP152" s="976"/>
      <c r="AT152" s="976"/>
      <c r="AX152" s="976"/>
      <c r="BB152" s="976"/>
      <c r="BF152" s="976"/>
      <c r="BJ152" s="976"/>
    </row>
    <row r="153" spans="1:65" s="408" customFormat="1" x14ac:dyDescent="0.2">
      <c r="A153" s="1155"/>
      <c r="F153" s="976"/>
      <c r="J153" s="976"/>
      <c r="N153" s="976"/>
      <c r="R153" s="976"/>
      <c r="V153" s="976"/>
      <c r="Z153" s="976"/>
      <c r="AD153" s="976"/>
      <c r="AH153" s="976"/>
      <c r="AL153" s="976"/>
      <c r="AP153" s="976"/>
      <c r="AT153" s="976"/>
      <c r="AX153" s="976"/>
      <c r="BB153" s="976"/>
      <c r="BF153" s="976"/>
      <c r="BJ153" s="976"/>
    </row>
    <row r="154" spans="1:65" s="408" customFormat="1" x14ac:dyDescent="0.2">
      <c r="A154" s="1155"/>
      <c r="F154" s="976"/>
      <c r="J154" s="976"/>
      <c r="N154" s="976"/>
      <c r="R154" s="976"/>
      <c r="V154" s="976"/>
      <c r="Z154" s="976"/>
      <c r="AD154" s="976"/>
      <c r="AH154" s="976"/>
      <c r="AL154" s="976"/>
      <c r="AP154" s="976"/>
      <c r="AT154" s="976"/>
      <c r="AX154" s="976"/>
      <c r="BB154" s="976"/>
      <c r="BF154" s="976"/>
      <c r="BJ154" s="976"/>
    </row>
    <row r="155" spans="1:65" s="408" customFormat="1" x14ac:dyDescent="0.2">
      <c r="A155" s="1155"/>
      <c r="F155" s="976"/>
      <c r="J155" s="976"/>
      <c r="N155" s="976"/>
      <c r="R155" s="976"/>
      <c r="V155" s="976"/>
      <c r="Z155" s="976"/>
      <c r="AD155" s="976"/>
      <c r="AH155" s="976"/>
      <c r="AL155" s="976"/>
      <c r="AP155" s="976"/>
      <c r="AT155" s="976"/>
      <c r="AX155" s="976"/>
      <c r="BB155" s="976"/>
      <c r="BF155" s="976"/>
      <c r="BJ155" s="976"/>
    </row>
    <row r="156" spans="1:65" s="408" customFormat="1" x14ac:dyDescent="0.2">
      <c r="A156" s="1155"/>
      <c r="F156" s="976"/>
      <c r="J156" s="976"/>
      <c r="N156" s="976"/>
      <c r="R156" s="976"/>
      <c r="V156" s="976"/>
      <c r="Z156" s="976"/>
      <c r="AD156" s="976"/>
      <c r="AH156" s="976"/>
      <c r="AL156" s="976"/>
      <c r="AP156" s="976"/>
      <c r="AT156" s="976"/>
      <c r="AX156" s="976"/>
      <c r="BB156" s="976"/>
      <c r="BF156" s="976"/>
      <c r="BJ156" s="976"/>
    </row>
    <row r="157" spans="1:65" s="408" customFormat="1" x14ac:dyDescent="0.2">
      <c r="A157" s="1155"/>
      <c r="F157" s="976"/>
      <c r="J157" s="976"/>
      <c r="N157" s="976"/>
      <c r="R157" s="976"/>
      <c r="V157" s="976"/>
      <c r="Z157" s="976"/>
      <c r="AD157" s="976"/>
      <c r="AH157" s="976"/>
      <c r="AL157" s="976"/>
      <c r="AP157" s="976"/>
      <c r="AT157" s="976"/>
      <c r="AX157" s="976"/>
      <c r="BB157" s="976"/>
      <c r="BF157" s="976"/>
      <c r="BJ157" s="976"/>
    </row>
  </sheetData>
  <mergeCells count="84">
    <mergeCell ref="BG6:BJ6"/>
    <mergeCell ref="G7:G8"/>
    <mergeCell ref="BI5:BJ5"/>
    <mergeCell ref="BI3:BJ3"/>
    <mergeCell ref="X7:X8"/>
    <mergeCell ref="K7:K8"/>
    <mergeCell ref="M7:M8"/>
    <mergeCell ref="R7:R8"/>
    <mergeCell ref="N7:N8"/>
    <mergeCell ref="V7:V8"/>
    <mergeCell ref="AA6:AD6"/>
    <mergeCell ref="Z7:Z8"/>
    <mergeCell ref="AD7:AD8"/>
    <mergeCell ref="W7:W8"/>
    <mergeCell ref="Y7:Y8"/>
    <mergeCell ref="U7:U8"/>
    <mergeCell ref="BC6:BF6"/>
    <mergeCell ref="H7:H8"/>
    <mergeCell ref="L7:L8"/>
    <mergeCell ref="P7:P8"/>
    <mergeCell ref="T7:T8"/>
    <mergeCell ref="J7:J8"/>
    <mergeCell ref="I7:I8"/>
    <mergeCell ref="O7:O8"/>
    <mergeCell ref="S7:S8"/>
    <mergeCell ref="C2:V2"/>
    <mergeCell ref="C6:F6"/>
    <mergeCell ref="G6:J6"/>
    <mergeCell ref="K6:N6"/>
    <mergeCell ref="O6:R6"/>
    <mergeCell ref="S6:V6"/>
    <mergeCell ref="A7:A8"/>
    <mergeCell ref="B7:B8"/>
    <mergeCell ref="C7:C8"/>
    <mergeCell ref="E7:E8"/>
    <mergeCell ref="F7:F8"/>
    <mergeCell ref="D7:D8"/>
    <mergeCell ref="Q7:Q8"/>
    <mergeCell ref="AU6:AX6"/>
    <mergeCell ref="AW7:AW8"/>
    <mergeCell ref="AL7:AL8"/>
    <mergeCell ref="AE7:AE8"/>
    <mergeCell ref="AG7:AG8"/>
    <mergeCell ref="AK7:AK8"/>
    <mergeCell ref="AI7:AI8"/>
    <mergeCell ref="AF7:AF8"/>
    <mergeCell ref="AH7:AH8"/>
    <mergeCell ref="AM7:AM8"/>
    <mergeCell ref="AA7:AA8"/>
    <mergeCell ref="AC7:AC8"/>
    <mergeCell ref="AJ7:AJ8"/>
    <mergeCell ref="AB7:AB8"/>
    <mergeCell ref="AE6:AH6"/>
    <mergeCell ref="AI6:AL6"/>
    <mergeCell ref="AM6:AP6"/>
    <mergeCell ref="AQ6:AT6"/>
    <mergeCell ref="W6:Z6"/>
    <mergeCell ref="BD7:BD8"/>
    <mergeCell ref="BB7:BB8"/>
    <mergeCell ref="AQ7:AQ8"/>
    <mergeCell ref="AS7:AS8"/>
    <mergeCell ref="AY6:BB6"/>
    <mergeCell ref="BC7:BC8"/>
    <mergeCell ref="AO7:AO8"/>
    <mergeCell ref="AP7:AP8"/>
    <mergeCell ref="AT7:AT8"/>
    <mergeCell ref="AU7:AU8"/>
    <mergeCell ref="BM69:BM70"/>
    <mergeCell ref="BE7:BE8"/>
    <mergeCell ref="BF7:BF8"/>
    <mergeCell ref="BG7:BG8"/>
    <mergeCell ref="BI7:BI8"/>
    <mergeCell ref="BJ7:BJ8"/>
    <mergeCell ref="BH7:BH8"/>
    <mergeCell ref="BK68:BM68"/>
    <mergeCell ref="BL69:BL70"/>
    <mergeCell ref="BK69:BK70"/>
    <mergeCell ref="AN7:AN8"/>
    <mergeCell ref="AR7:AR8"/>
    <mergeCell ref="AV7:AV8"/>
    <mergeCell ref="AZ7:AZ8"/>
    <mergeCell ref="BA7:BA8"/>
    <mergeCell ref="AX7:AX8"/>
    <mergeCell ref="AY7:AY8"/>
  </mergeCells>
  <pageMargins left="0.70866141732283472" right="0.70866141732283472" top="0.74803149606299213" bottom="0.74803149606299213" header="0.31496062992125984" footer="0.31496062992125984"/>
  <pageSetup paperSize="9" scale="69" fitToWidth="0" orientation="landscape" r:id="rId1"/>
  <headerFooter alignWithMargins="0">
    <oddHeader>&amp;C&amp;"Times New Roman,Félkövér"&amp;12A   9/2021. (II.16.) önkormányzati rendelethez Budapest Főváros IV. kerület Újpest Önkormányzat Gazdasági Intézményéhez tartozó óvodák bevételei és kiadásai</oddHeader>
    <oddFooter>&amp;P. oldal</oddFooter>
  </headerFooter>
  <rowBreaks count="1" manualBreakCount="1">
    <brk id="42" max="46" man="1"/>
  </rowBreaks>
  <colBreaks count="4" manualBreakCount="4">
    <brk id="14" min="1" max="83" man="1"/>
    <brk id="26" min="1" max="83" man="1"/>
    <brk id="38" min="1" max="83" man="1"/>
    <brk id="50" min="1" max="8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155"/>
  <sheetViews>
    <sheetView view="pageLayout" topLeftCell="A5" zoomScaleNormal="100" workbookViewId="0">
      <selection activeCell="K2" sqref="K2"/>
    </sheetView>
  </sheetViews>
  <sheetFormatPr defaultColWidth="8.42578125" defaultRowHeight="12.75" x14ac:dyDescent="0.2"/>
  <cols>
    <col min="1" max="1" width="6.7109375" style="1" customWidth="1"/>
    <col min="2" max="2" width="37.5703125" style="1117" customWidth="1"/>
    <col min="3" max="3" width="12.5703125" style="1" hidden="1" customWidth="1"/>
    <col min="4" max="4" width="11.42578125" style="1" hidden="1" customWidth="1"/>
    <col min="5" max="5" width="9.42578125" style="1116" hidden="1" customWidth="1"/>
    <col min="6" max="6" width="12.5703125" style="1" hidden="1" customWidth="1"/>
    <col min="7" max="7" width="12.5703125" style="1" customWidth="1"/>
    <col min="8" max="8" width="12.7109375" style="1" bestFit="1" customWidth="1"/>
    <col min="9" max="9" width="9.42578125" style="1116" customWidth="1"/>
    <col min="10" max="10" width="11.7109375" style="1" hidden="1" customWidth="1"/>
    <col min="11" max="11" width="11.7109375" style="1" customWidth="1"/>
    <col min="12" max="12" width="12.7109375" style="1" bestFit="1" customWidth="1"/>
    <col min="13" max="13" width="14" style="1116" bestFit="1" customWidth="1"/>
    <col min="14" max="14" width="14.28515625" style="455" hidden="1" customWidth="1"/>
    <col min="15" max="16" width="14.28515625" style="455" customWidth="1"/>
    <col min="17" max="17" width="9.140625" style="1115" customWidth="1"/>
    <col min="18" max="18" width="14.42578125" style="455" hidden="1" customWidth="1"/>
    <col min="19" max="19" width="14.42578125" style="455" customWidth="1"/>
    <col min="20" max="20" width="12.7109375" style="455" customWidth="1"/>
    <col min="21" max="21" width="8.42578125" style="1115" customWidth="1"/>
    <col min="22" max="22" width="14.42578125" style="455" hidden="1" customWidth="1"/>
    <col min="23" max="23" width="14.42578125" style="455" customWidth="1"/>
    <col min="24" max="24" width="11.85546875" style="455" customWidth="1"/>
    <col min="25" max="25" width="9" style="1115" customWidth="1"/>
    <col min="26" max="26" width="16.42578125" style="1" customWidth="1"/>
    <col min="27" max="27" width="12.85546875" style="1" customWidth="1"/>
    <col min="28" max="207" width="9.140625" style="1" customWidth="1"/>
    <col min="208" max="208" width="6.7109375" style="1" customWidth="1"/>
    <col min="209" max="209" width="34.85546875" style="1" customWidth="1"/>
    <col min="210" max="210" width="37.42578125" style="1" customWidth="1"/>
    <col min="211" max="211" width="12.7109375" style="1" customWidth="1"/>
    <col min="212" max="212" width="11" style="1" customWidth="1"/>
    <col min="213" max="213" width="7.28515625" style="1" customWidth="1"/>
    <col min="214" max="214" width="12.7109375" style="1" customWidth="1"/>
    <col min="215" max="215" width="11.5703125" style="1" customWidth="1"/>
    <col min="216" max="216" width="9.140625" style="1" customWidth="1"/>
    <col min="217" max="218" width="12.7109375" style="1" customWidth="1"/>
    <col min="219" max="219" width="8.5703125" style="1" customWidth="1"/>
    <col min="220" max="221" width="12.7109375" style="1" customWidth="1"/>
    <col min="222" max="222" width="8" style="1" customWidth="1"/>
    <col min="223" max="223" width="10.5703125" style="1" customWidth="1"/>
    <col min="224" max="224" width="11.42578125" style="1" bestFit="1" customWidth="1"/>
    <col min="225" max="225" width="8.42578125" style="1" customWidth="1"/>
    <col min="226" max="227" width="12.7109375" style="1" customWidth="1"/>
    <col min="228" max="228" width="8.28515625" style="1" customWidth="1"/>
    <col min="229" max="230" width="12.7109375" style="1" customWidth="1"/>
    <col min="231" max="16384" width="8.42578125" style="1"/>
  </cols>
  <sheetData>
    <row r="1" spans="1:27" x14ac:dyDescent="0.2">
      <c r="X1" s="1355" t="s">
        <v>862</v>
      </c>
      <c r="Y1" s="1355"/>
    </row>
    <row r="3" spans="1:27" ht="19.149999999999999" customHeight="1" thickBot="1" x14ac:dyDescent="0.25">
      <c r="A3" s="1153"/>
      <c r="B3" s="1152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151"/>
      <c r="O3" s="1151"/>
      <c r="P3" s="1151"/>
      <c r="Q3" s="1150"/>
      <c r="X3" s="1354" t="s">
        <v>277</v>
      </c>
      <c r="Y3" s="1354"/>
    </row>
    <row r="4" spans="1:27" ht="21.75" customHeight="1" thickTop="1" x14ac:dyDescent="0.2">
      <c r="A4" s="1058"/>
      <c r="B4" s="1057" t="s">
        <v>438</v>
      </c>
      <c r="C4" s="1329" t="s">
        <v>845</v>
      </c>
      <c r="D4" s="1330"/>
      <c r="E4" s="1331"/>
      <c r="F4" s="1328" t="s">
        <v>815</v>
      </c>
      <c r="G4" s="1329"/>
      <c r="H4" s="1330"/>
      <c r="I4" s="1331"/>
      <c r="J4" s="1328" t="s">
        <v>844</v>
      </c>
      <c r="K4" s="1329"/>
      <c r="L4" s="1330"/>
      <c r="M4" s="1331"/>
      <c r="N4" s="1348" t="s">
        <v>843</v>
      </c>
      <c r="O4" s="1349"/>
      <c r="P4" s="1350"/>
      <c r="Q4" s="1351"/>
      <c r="R4" s="1348" t="s">
        <v>842</v>
      </c>
      <c r="S4" s="1349"/>
      <c r="T4" s="1350"/>
      <c r="U4" s="1351"/>
      <c r="V4" s="1348" t="s">
        <v>741</v>
      </c>
      <c r="W4" s="1349"/>
      <c r="X4" s="1350"/>
      <c r="Y4" s="1351"/>
    </row>
    <row r="5" spans="1:27" s="1149" customFormat="1" ht="12.75" customHeight="1" x14ac:dyDescent="0.25">
      <c r="A5" s="1332"/>
      <c r="B5" s="1334" t="s">
        <v>778</v>
      </c>
      <c r="C5" s="1346" t="s">
        <v>854</v>
      </c>
      <c r="D5" s="1314" t="s">
        <v>853</v>
      </c>
      <c r="E5" s="1344" t="s">
        <v>840</v>
      </c>
      <c r="F5" s="1346" t="s">
        <v>777</v>
      </c>
      <c r="G5" s="1314" t="s">
        <v>835</v>
      </c>
      <c r="H5" s="1346" t="s">
        <v>846</v>
      </c>
      <c r="I5" s="1344" t="s">
        <v>840</v>
      </c>
      <c r="J5" s="1346" t="s">
        <v>777</v>
      </c>
      <c r="K5" s="1314" t="s">
        <v>835</v>
      </c>
      <c r="L5" s="1346" t="s">
        <v>846</v>
      </c>
      <c r="M5" s="1344" t="s">
        <v>840</v>
      </c>
      <c r="N5" s="1346" t="s">
        <v>777</v>
      </c>
      <c r="O5" s="1314" t="s">
        <v>835</v>
      </c>
      <c r="P5" s="1346" t="s">
        <v>846</v>
      </c>
      <c r="Q5" s="1352" t="s">
        <v>840</v>
      </c>
      <c r="R5" s="1346" t="s">
        <v>777</v>
      </c>
      <c r="S5" s="1314" t="s">
        <v>835</v>
      </c>
      <c r="T5" s="1346" t="s">
        <v>846</v>
      </c>
      <c r="U5" s="1352" t="s">
        <v>840</v>
      </c>
      <c r="V5" s="1346" t="s">
        <v>777</v>
      </c>
      <c r="W5" s="1314" t="s">
        <v>835</v>
      </c>
      <c r="X5" s="1346" t="s">
        <v>846</v>
      </c>
      <c r="Y5" s="1352" t="s">
        <v>840</v>
      </c>
    </row>
    <row r="6" spans="1:27" s="854" customFormat="1" ht="13.5" customHeight="1" thickBot="1" x14ac:dyDescent="0.25">
      <c r="A6" s="1333"/>
      <c r="B6" s="1335" t="s">
        <v>778</v>
      </c>
      <c r="C6" s="1347"/>
      <c r="D6" s="1315"/>
      <c r="E6" s="1345"/>
      <c r="F6" s="1347"/>
      <c r="G6" s="1315"/>
      <c r="H6" s="1347"/>
      <c r="I6" s="1345"/>
      <c r="J6" s="1347"/>
      <c r="K6" s="1315"/>
      <c r="L6" s="1347"/>
      <c r="M6" s="1345"/>
      <c r="N6" s="1347"/>
      <c r="O6" s="1315"/>
      <c r="P6" s="1347"/>
      <c r="Q6" s="1353"/>
      <c r="R6" s="1347"/>
      <c r="S6" s="1315"/>
      <c r="T6" s="1347"/>
      <c r="U6" s="1353"/>
      <c r="V6" s="1347"/>
      <c r="W6" s="1315"/>
      <c r="X6" s="1347"/>
      <c r="Y6" s="1353"/>
    </row>
    <row r="7" spans="1:27" s="183" customFormat="1" ht="13.5" customHeight="1" x14ac:dyDescent="0.2">
      <c r="A7" s="1056" t="s">
        <v>64</v>
      </c>
      <c r="B7" s="1055" t="s">
        <v>424</v>
      </c>
      <c r="C7" s="1054"/>
      <c r="D7" s="1054"/>
      <c r="E7" s="1053"/>
      <c r="F7" s="1054"/>
      <c r="G7" s="1054"/>
      <c r="H7" s="1054"/>
      <c r="I7" s="1053"/>
      <c r="J7" s="1054"/>
      <c r="K7" s="1054"/>
      <c r="L7" s="1054"/>
      <c r="M7" s="1053"/>
      <c r="N7" s="1052"/>
      <c r="O7" s="1051"/>
      <c r="P7" s="1051"/>
      <c r="Q7" s="1050"/>
      <c r="R7" s="1052"/>
      <c r="S7" s="1051"/>
      <c r="T7" s="1051"/>
      <c r="U7" s="1050"/>
      <c r="V7" s="1052"/>
      <c r="W7" s="1051"/>
      <c r="X7" s="1051"/>
      <c r="Y7" s="1050"/>
    </row>
    <row r="8" spans="1:27" s="977" customFormat="1" ht="30" x14ac:dyDescent="0.25">
      <c r="A8" s="1001" t="s">
        <v>72</v>
      </c>
      <c r="B8" s="1025" t="s">
        <v>267</v>
      </c>
      <c r="C8" s="1039">
        <f>C9+C10+C11</f>
        <v>0</v>
      </c>
      <c r="D8" s="1039">
        <f>D9+D10+D11</f>
        <v>0</v>
      </c>
      <c r="E8" s="1008"/>
      <c r="F8" s="1039">
        <f>F9+F10+F11</f>
        <v>0</v>
      </c>
      <c r="G8" s="1039">
        <f>G9+G10+G11</f>
        <v>0</v>
      </c>
      <c r="H8" s="1039">
        <f>H9+H10+H11</f>
        <v>0</v>
      </c>
      <c r="I8" s="1048"/>
      <c r="J8" s="1039">
        <f>J9+J10+J11</f>
        <v>0</v>
      </c>
      <c r="K8" s="1039">
        <f>K9+K10+K11</f>
        <v>0</v>
      </c>
      <c r="L8" s="1039">
        <f>L9+L10+L11</f>
        <v>0</v>
      </c>
      <c r="M8" s="1008"/>
      <c r="N8" s="1136">
        <f>'2.a.2.1.ovik beépülő'!BG8+'2.a.2.2.egyéb beépülő'!R8</f>
        <v>0</v>
      </c>
      <c r="O8" s="983">
        <f>'2.a.2.1.ovik beépülő'!BH8+'2.a.2.2.egyéb beépülő'!S8</f>
        <v>0</v>
      </c>
      <c r="P8" s="983">
        <f>'2.a.2.1.ovik beépülő'!BI8+'2.a.2.2.egyéb beépülő'!T8</f>
        <v>0</v>
      </c>
      <c r="Q8" s="1046"/>
      <c r="R8" s="1136">
        <f t="shared" ref="R8:R40" si="0">C8+F8+J8+N8</f>
        <v>0</v>
      </c>
      <c r="S8" s="983">
        <f t="shared" ref="S8:S40" si="1">C8+G8+K8+O8</f>
        <v>0</v>
      </c>
      <c r="T8" s="983">
        <f t="shared" ref="T8:T40" si="2">D8+H8+L8+P8</f>
        <v>0</v>
      </c>
      <c r="U8" s="1008"/>
      <c r="V8" s="1136">
        <f>'2.a.1.óvodák'!BG10+'2.a.2.egyéb'!R8</f>
        <v>0</v>
      </c>
      <c r="W8" s="983">
        <f>'2.a.1.óvodák'!BH10+'2.a.2.egyéb'!S8</f>
        <v>0</v>
      </c>
      <c r="X8" s="983">
        <f>'2.a.1.óvodák'!BI10+'2.a.2.egyéb'!T8</f>
        <v>0</v>
      </c>
      <c r="Y8" s="1008"/>
      <c r="Z8" s="1121"/>
      <c r="AA8" s="1131"/>
    </row>
    <row r="9" spans="1:27" s="1134" customFormat="1" ht="14.25" hidden="1" customHeight="1" x14ac:dyDescent="0.2">
      <c r="A9" s="992"/>
      <c r="B9" s="991" t="s">
        <v>839</v>
      </c>
      <c r="C9" s="1027"/>
      <c r="D9" s="1027"/>
      <c r="E9" s="988"/>
      <c r="F9" s="1027"/>
      <c r="G9" s="1027"/>
      <c r="H9" s="1027"/>
      <c r="I9" s="988"/>
      <c r="J9" s="1027"/>
      <c r="K9" s="1027"/>
      <c r="L9" s="1027"/>
      <c r="M9" s="988"/>
      <c r="N9" s="1136">
        <f>'2.a.2.1.ovik beépülő'!BG9+'2.a.2.2.egyéb beépülő'!R9</f>
        <v>0</v>
      </c>
      <c r="O9" s="983">
        <f>'2.a.2.1.ovik beépülő'!BH9+'2.a.2.2.egyéb beépülő'!S9</f>
        <v>0</v>
      </c>
      <c r="P9" s="983">
        <f>'2.a.2.1.ovik beépülő'!BI9+'2.a.2.2.egyéb beépülő'!T9</f>
        <v>0</v>
      </c>
      <c r="Q9" s="1041"/>
      <c r="R9" s="1136">
        <f t="shared" si="0"/>
        <v>0</v>
      </c>
      <c r="S9" s="983">
        <f t="shared" si="1"/>
        <v>0</v>
      </c>
      <c r="T9" s="983">
        <f t="shared" si="2"/>
        <v>0</v>
      </c>
      <c r="U9" s="1041"/>
      <c r="V9" s="1136">
        <f>'2.a.1.óvodák'!BG11+'2.a.2.egyéb'!R9</f>
        <v>0</v>
      </c>
      <c r="W9" s="983">
        <f>'2.a.1.óvodák'!BH11+'2.a.2.egyéb'!S9</f>
        <v>0</v>
      </c>
      <c r="X9" s="983">
        <f>'2.a.1.óvodák'!BI11+'2.a.2.egyéb'!T9</f>
        <v>0</v>
      </c>
      <c r="Y9" s="1041"/>
      <c r="Z9" s="1121"/>
      <c r="AA9" s="1131"/>
    </row>
    <row r="10" spans="1:27" s="1134" customFormat="1" ht="14.25" hidden="1" customHeight="1" x14ac:dyDescent="0.2">
      <c r="A10" s="992"/>
      <c r="B10" s="991" t="s">
        <v>838</v>
      </c>
      <c r="C10" s="1034"/>
      <c r="D10" s="1034"/>
      <c r="E10" s="988"/>
      <c r="F10" s="1034"/>
      <c r="G10" s="1034"/>
      <c r="H10" s="1034"/>
      <c r="I10" s="988"/>
      <c r="J10" s="1034"/>
      <c r="K10" s="1034"/>
      <c r="L10" s="1034"/>
      <c r="M10" s="988"/>
      <c r="N10" s="1136">
        <f>'2.a.2.1.ovik beépülő'!BG10+'2.a.2.2.egyéb beépülő'!R10</f>
        <v>0</v>
      </c>
      <c r="O10" s="983">
        <f>'2.a.2.1.ovik beépülő'!BH10+'2.a.2.2.egyéb beépülő'!S10</f>
        <v>0</v>
      </c>
      <c r="P10" s="983">
        <f>'2.a.2.1.ovik beépülő'!BI10+'2.a.2.2.egyéb beépülő'!T10</f>
        <v>0</v>
      </c>
      <c r="Q10" s="1041"/>
      <c r="R10" s="1137">
        <f t="shared" si="0"/>
        <v>0</v>
      </c>
      <c r="S10" s="1002">
        <f t="shared" si="1"/>
        <v>0</v>
      </c>
      <c r="T10" s="1002">
        <f t="shared" si="2"/>
        <v>0</v>
      </c>
      <c r="U10" s="988"/>
      <c r="V10" s="1137">
        <f>'2.a.1.óvodák'!BG12+'2.a.2.egyéb'!R10</f>
        <v>0</v>
      </c>
      <c r="W10" s="1002">
        <f>'2.a.1.óvodák'!BH12+'2.a.2.egyéb'!S10</f>
        <v>0</v>
      </c>
      <c r="X10" s="1002">
        <f>'2.a.1.óvodák'!BI12+'2.a.2.egyéb'!T10</f>
        <v>0</v>
      </c>
      <c r="Y10" s="988"/>
      <c r="Z10" s="1121"/>
      <c r="AA10" s="1131"/>
    </row>
    <row r="11" spans="1:27" s="1134" customFormat="1" ht="14.25" hidden="1" customHeight="1" x14ac:dyDescent="0.2">
      <c r="A11" s="992"/>
      <c r="B11" s="991" t="s">
        <v>837</v>
      </c>
      <c r="C11" s="1027"/>
      <c r="D11" s="1027"/>
      <c r="E11" s="988"/>
      <c r="F11" s="1027"/>
      <c r="G11" s="1027"/>
      <c r="H11" s="1027"/>
      <c r="I11" s="988"/>
      <c r="J11" s="1027"/>
      <c r="K11" s="1027"/>
      <c r="L11" s="1027"/>
      <c r="M11" s="988"/>
      <c r="N11" s="1136">
        <f>'2.a.2.1.ovik beépülő'!BG11+'2.a.2.2.egyéb beépülő'!R11</f>
        <v>0</v>
      </c>
      <c r="O11" s="983">
        <f>'2.a.2.1.ovik beépülő'!BH11+'2.a.2.2.egyéb beépülő'!S11</f>
        <v>0</v>
      </c>
      <c r="P11" s="983">
        <f>'2.a.2.1.ovik beépülő'!BI11+'2.a.2.2.egyéb beépülő'!T11</f>
        <v>0</v>
      </c>
      <c r="Q11" s="1041"/>
      <c r="R11" s="1136">
        <f t="shared" si="0"/>
        <v>0</v>
      </c>
      <c r="S11" s="983">
        <f t="shared" si="1"/>
        <v>0</v>
      </c>
      <c r="T11" s="983">
        <f t="shared" si="2"/>
        <v>0</v>
      </c>
      <c r="U11" s="1041"/>
      <c r="V11" s="1136">
        <f>'2.a.1.óvodák'!BG13+'2.a.2.egyéb'!R11</f>
        <v>0</v>
      </c>
      <c r="W11" s="983">
        <f>'2.a.1.óvodák'!BH13+'2.a.2.egyéb'!S11</f>
        <v>0</v>
      </c>
      <c r="X11" s="983">
        <f>'2.a.1.óvodák'!BI13+'2.a.2.egyéb'!T11</f>
        <v>0</v>
      </c>
      <c r="Y11" s="1041"/>
      <c r="Z11" s="1121"/>
      <c r="AA11" s="1131"/>
    </row>
    <row r="12" spans="1:27" s="977" customFormat="1" ht="30" x14ac:dyDescent="0.25">
      <c r="A12" s="1010" t="s">
        <v>70</v>
      </c>
      <c r="B12" s="1025" t="s">
        <v>232</v>
      </c>
      <c r="C12" s="1045"/>
      <c r="D12" s="1045"/>
      <c r="E12" s="1044"/>
      <c r="F12" s="1045"/>
      <c r="G12" s="1045"/>
      <c r="H12" s="1045"/>
      <c r="I12" s="1044"/>
      <c r="J12" s="1045"/>
      <c r="K12" s="1045"/>
      <c r="L12" s="1045"/>
      <c r="M12" s="1044"/>
      <c r="N12" s="1136">
        <f>'2.a.2.1.ovik beépülő'!BG12+'2.a.2.2.egyéb beépülő'!R12</f>
        <v>0</v>
      </c>
      <c r="O12" s="983">
        <f>'2.a.2.1.ovik beépülő'!BH12+'2.a.2.2.egyéb beépülő'!S12</f>
        <v>0</v>
      </c>
      <c r="P12" s="983">
        <f>'2.a.2.1.ovik beépülő'!BI12+'2.a.2.2.egyéb beépülő'!T12</f>
        <v>0</v>
      </c>
      <c r="Q12" s="1042"/>
      <c r="R12" s="1136">
        <f t="shared" si="0"/>
        <v>0</v>
      </c>
      <c r="S12" s="983">
        <f t="shared" si="1"/>
        <v>0</v>
      </c>
      <c r="T12" s="983">
        <f t="shared" si="2"/>
        <v>0</v>
      </c>
      <c r="U12" s="1042"/>
      <c r="V12" s="1136">
        <f>'2.a.1.óvodák'!BG14+'2.a.2.egyéb'!R12</f>
        <v>0</v>
      </c>
      <c r="W12" s="983">
        <f>'2.a.1.óvodák'!BH14+'2.a.2.egyéb'!S12</f>
        <v>0</v>
      </c>
      <c r="X12" s="983">
        <f>'2.a.1.óvodák'!BI14+'2.a.2.egyéb'!T12</f>
        <v>0</v>
      </c>
      <c r="Y12" s="1042"/>
      <c r="Z12" s="1121"/>
      <c r="AA12" s="1131"/>
    </row>
    <row r="13" spans="1:27" s="1134" customFormat="1" ht="14.25" hidden="1" customHeight="1" x14ac:dyDescent="0.2">
      <c r="A13" s="992"/>
      <c r="B13" s="991" t="s">
        <v>839</v>
      </c>
      <c r="C13" s="1027"/>
      <c r="D13" s="1027"/>
      <c r="E13" s="988"/>
      <c r="F13" s="1027"/>
      <c r="G13" s="1027"/>
      <c r="H13" s="1027"/>
      <c r="I13" s="988"/>
      <c r="J13" s="1027"/>
      <c r="K13" s="1027"/>
      <c r="L13" s="1027"/>
      <c r="M13" s="988"/>
      <c r="N13" s="1136">
        <f>'2.a.2.1.ovik beépülő'!BG13+'2.a.2.2.egyéb beépülő'!R13</f>
        <v>0</v>
      </c>
      <c r="O13" s="983">
        <f>'2.a.2.1.ovik beépülő'!BH13+'2.a.2.2.egyéb beépülő'!S13</f>
        <v>0</v>
      </c>
      <c r="P13" s="983">
        <f>'2.a.2.1.ovik beépülő'!BI13+'2.a.2.2.egyéb beépülő'!T13</f>
        <v>0</v>
      </c>
      <c r="Q13" s="1041"/>
      <c r="R13" s="1136">
        <f t="shared" si="0"/>
        <v>0</v>
      </c>
      <c r="S13" s="983">
        <f t="shared" si="1"/>
        <v>0</v>
      </c>
      <c r="T13" s="983">
        <f t="shared" si="2"/>
        <v>0</v>
      </c>
      <c r="U13" s="1041"/>
      <c r="V13" s="1136">
        <f>'2.a.1.óvodák'!BG15+'2.a.2.egyéb'!R13</f>
        <v>0</v>
      </c>
      <c r="W13" s="983">
        <f>'2.a.1.óvodák'!BH15+'2.a.2.egyéb'!S13</f>
        <v>0</v>
      </c>
      <c r="X13" s="983">
        <f>'2.a.1.óvodák'!BI15+'2.a.2.egyéb'!T13</f>
        <v>0</v>
      </c>
      <c r="Y13" s="1041"/>
      <c r="Z13" s="1121"/>
      <c r="AA13" s="1131"/>
    </row>
    <row r="14" spans="1:27" s="1134" customFormat="1" ht="14.25" hidden="1" customHeight="1" x14ac:dyDescent="0.2">
      <c r="A14" s="992"/>
      <c r="B14" s="991" t="s">
        <v>838</v>
      </c>
      <c r="C14" s="1027"/>
      <c r="D14" s="1027"/>
      <c r="E14" s="988"/>
      <c r="F14" s="1027"/>
      <c r="G14" s="1027"/>
      <c r="H14" s="1027"/>
      <c r="I14" s="988"/>
      <c r="J14" s="1027"/>
      <c r="K14" s="1027"/>
      <c r="L14" s="1027"/>
      <c r="M14" s="988"/>
      <c r="N14" s="1136">
        <f>'2.a.2.1.ovik beépülő'!BG14+'2.a.2.2.egyéb beépülő'!R14</f>
        <v>0</v>
      </c>
      <c r="O14" s="983">
        <f>'2.a.2.1.ovik beépülő'!BH14+'2.a.2.2.egyéb beépülő'!S14</f>
        <v>0</v>
      </c>
      <c r="P14" s="983">
        <f>'2.a.2.1.ovik beépülő'!BI14+'2.a.2.2.egyéb beépülő'!T14</f>
        <v>0</v>
      </c>
      <c r="Q14" s="1041"/>
      <c r="R14" s="1136">
        <f t="shared" si="0"/>
        <v>0</v>
      </c>
      <c r="S14" s="983">
        <f t="shared" si="1"/>
        <v>0</v>
      </c>
      <c r="T14" s="983">
        <f t="shared" si="2"/>
        <v>0</v>
      </c>
      <c r="U14" s="1041"/>
      <c r="V14" s="1136">
        <f>'2.a.1.óvodák'!BG16+'2.a.2.egyéb'!R14</f>
        <v>0</v>
      </c>
      <c r="W14" s="983">
        <f>'2.a.1.óvodák'!BH16+'2.a.2.egyéb'!S14</f>
        <v>0</v>
      </c>
      <c r="X14" s="983">
        <f>'2.a.1.óvodák'!BI16+'2.a.2.egyéb'!T14</f>
        <v>0</v>
      </c>
      <c r="Y14" s="1041"/>
      <c r="Z14" s="1121"/>
      <c r="AA14" s="1131"/>
    </row>
    <row r="15" spans="1:27" s="1134" customFormat="1" ht="14.25" hidden="1" customHeight="1" x14ac:dyDescent="0.2">
      <c r="A15" s="992"/>
      <c r="B15" s="991" t="s">
        <v>837</v>
      </c>
      <c r="C15" s="1027"/>
      <c r="D15" s="1027"/>
      <c r="E15" s="988"/>
      <c r="F15" s="1027"/>
      <c r="G15" s="1027"/>
      <c r="H15" s="1027"/>
      <c r="I15" s="988"/>
      <c r="J15" s="1027"/>
      <c r="K15" s="1027"/>
      <c r="L15" s="1027"/>
      <c r="M15" s="988"/>
      <c r="N15" s="1136">
        <f>'2.a.2.1.ovik beépülő'!BG15+'2.a.2.2.egyéb beépülő'!R15</f>
        <v>0</v>
      </c>
      <c r="O15" s="983">
        <f>'2.a.2.1.ovik beépülő'!BH15+'2.a.2.2.egyéb beépülő'!S15</f>
        <v>0</v>
      </c>
      <c r="P15" s="983">
        <f>'2.a.2.1.ovik beépülő'!BI15+'2.a.2.2.egyéb beépülő'!T15</f>
        <v>0</v>
      </c>
      <c r="Q15" s="1041"/>
      <c r="R15" s="1136">
        <f t="shared" si="0"/>
        <v>0</v>
      </c>
      <c r="S15" s="983">
        <f t="shared" si="1"/>
        <v>0</v>
      </c>
      <c r="T15" s="983">
        <f t="shared" si="2"/>
        <v>0</v>
      </c>
      <c r="U15" s="1041"/>
      <c r="V15" s="1136">
        <f>'2.a.1.óvodák'!BG17+'2.a.2.egyéb'!R15</f>
        <v>0</v>
      </c>
      <c r="W15" s="983">
        <f>'2.a.1.óvodák'!BH17+'2.a.2.egyéb'!S15</f>
        <v>0</v>
      </c>
      <c r="X15" s="983">
        <f>'2.a.1.óvodák'!BI17+'2.a.2.egyéb'!T15</f>
        <v>0</v>
      </c>
      <c r="Y15" s="1041"/>
      <c r="Z15" s="1121"/>
      <c r="AA15" s="1131"/>
    </row>
    <row r="16" spans="1:27" s="977" customFormat="1" ht="15" x14ac:dyDescent="0.25">
      <c r="A16" s="1010" t="s">
        <v>91</v>
      </c>
      <c r="B16" s="1025" t="s">
        <v>225</v>
      </c>
      <c r="C16" s="1045"/>
      <c r="D16" s="1045"/>
      <c r="E16" s="1044"/>
      <c r="F16" s="1045"/>
      <c r="G16" s="1045"/>
      <c r="H16" s="1045"/>
      <c r="I16" s="1044"/>
      <c r="J16" s="1045"/>
      <c r="K16" s="1045"/>
      <c r="L16" s="1045"/>
      <c r="M16" s="1044"/>
      <c r="N16" s="1136">
        <f>'2.a.2.1.ovik beépülő'!BG16+'2.a.2.2.egyéb beépülő'!R16</f>
        <v>0</v>
      </c>
      <c r="O16" s="983">
        <f>'2.a.2.1.ovik beépülő'!BH16+'2.a.2.2.egyéb beépülő'!S16</f>
        <v>0</v>
      </c>
      <c r="P16" s="983">
        <f>'2.a.2.1.ovik beépülő'!BI16+'2.a.2.2.egyéb beépülő'!T16</f>
        <v>0</v>
      </c>
      <c r="Q16" s="1042"/>
      <c r="R16" s="1136">
        <f t="shared" si="0"/>
        <v>0</v>
      </c>
      <c r="S16" s="983">
        <f t="shared" si="1"/>
        <v>0</v>
      </c>
      <c r="T16" s="983">
        <f t="shared" si="2"/>
        <v>0</v>
      </c>
      <c r="U16" s="1042"/>
      <c r="V16" s="1136">
        <f>'2.a.1.óvodák'!BG18+'2.a.2.egyéb'!R16</f>
        <v>0</v>
      </c>
      <c r="W16" s="983">
        <f>'2.a.1.óvodák'!BH18+'2.a.2.egyéb'!S16</f>
        <v>0</v>
      </c>
      <c r="X16" s="983">
        <f>'2.a.1.óvodák'!BI18+'2.a.2.egyéb'!T16</f>
        <v>0</v>
      </c>
      <c r="Y16" s="1042"/>
      <c r="Z16" s="1121"/>
      <c r="AA16" s="1131"/>
    </row>
    <row r="17" spans="1:27" s="1134" customFormat="1" ht="14.25" hidden="1" customHeight="1" x14ac:dyDescent="0.2">
      <c r="A17" s="992"/>
      <c r="B17" s="991" t="s">
        <v>839</v>
      </c>
      <c r="C17" s="1027"/>
      <c r="D17" s="1027"/>
      <c r="E17" s="988"/>
      <c r="F17" s="1027"/>
      <c r="G17" s="1027"/>
      <c r="H17" s="1027"/>
      <c r="I17" s="988"/>
      <c r="J17" s="1027"/>
      <c r="K17" s="1027"/>
      <c r="L17" s="1027"/>
      <c r="M17" s="988"/>
      <c r="N17" s="1136">
        <f>'2.a.2.1.ovik beépülő'!BG17+'2.a.2.2.egyéb beépülő'!R17</f>
        <v>0</v>
      </c>
      <c r="O17" s="983">
        <f>'2.a.2.1.ovik beépülő'!BH17+'2.a.2.2.egyéb beépülő'!S17</f>
        <v>0</v>
      </c>
      <c r="P17" s="983">
        <f>'2.a.2.1.ovik beépülő'!BI17+'2.a.2.2.egyéb beépülő'!T17</f>
        <v>0</v>
      </c>
      <c r="Q17" s="1041"/>
      <c r="R17" s="1136">
        <f t="shared" si="0"/>
        <v>0</v>
      </c>
      <c r="S17" s="983">
        <f t="shared" si="1"/>
        <v>0</v>
      </c>
      <c r="T17" s="983">
        <f t="shared" si="2"/>
        <v>0</v>
      </c>
      <c r="U17" s="1041"/>
      <c r="V17" s="1136">
        <f>'2.a.1.óvodák'!BG19+'2.a.2.egyéb'!R17</f>
        <v>0</v>
      </c>
      <c r="W17" s="983">
        <f>'2.a.1.óvodák'!BH19+'2.a.2.egyéb'!S17</f>
        <v>0</v>
      </c>
      <c r="X17" s="983">
        <f>'2.a.1.óvodák'!BI19+'2.a.2.egyéb'!T17</f>
        <v>0</v>
      </c>
      <c r="Y17" s="1041"/>
      <c r="Z17" s="1121"/>
      <c r="AA17" s="1131"/>
    </row>
    <row r="18" spans="1:27" s="1134" customFormat="1" ht="14.25" hidden="1" customHeight="1" x14ac:dyDescent="0.2">
      <c r="A18" s="992"/>
      <c r="B18" s="991" t="s">
        <v>838</v>
      </c>
      <c r="C18" s="1027"/>
      <c r="D18" s="1027"/>
      <c r="E18" s="988"/>
      <c r="F18" s="1027"/>
      <c r="G18" s="1027"/>
      <c r="H18" s="1027"/>
      <c r="I18" s="988"/>
      <c r="J18" s="1027"/>
      <c r="K18" s="1027"/>
      <c r="L18" s="1027"/>
      <c r="M18" s="988"/>
      <c r="N18" s="1136">
        <f>'2.a.2.1.ovik beépülő'!BG18+'2.a.2.2.egyéb beépülő'!R18</f>
        <v>0</v>
      </c>
      <c r="O18" s="983">
        <f>'2.a.2.1.ovik beépülő'!BH18+'2.a.2.2.egyéb beépülő'!S18</f>
        <v>0</v>
      </c>
      <c r="P18" s="983">
        <f>'2.a.2.1.ovik beépülő'!BI18+'2.a.2.2.egyéb beépülő'!T18</f>
        <v>0</v>
      </c>
      <c r="Q18" s="1041"/>
      <c r="R18" s="1136">
        <f t="shared" si="0"/>
        <v>0</v>
      </c>
      <c r="S18" s="983">
        <f t="shared" si="1"/>
        <v>0</v>
      </c>
      <c r="T18" s="983">
        <f t="shared" si="2"/>
        <v>0</v>
      </c>
      <c r="U18" s="1041"/>
      <c r="V18" s="1136">
        <f>'2.a.1.óvodák'!BG20+'2.a.2.egyéb'!R18</f>
        <v>0</v>
      </c>
      <c r="W18" s="983">
        <f>'2.a.1.óvodák'!BH20+'2.a.2.egyéb'!S18</f>
        <v>0</v>
      </c>
      <c r="X18" s="983">
        <f>'2.a.1.óvodák'!BI20+'2.a.2.egyéb'!T18</f>
        <v>0</v>
      </c>
      <c r="Y18" s="1041"/>
      <c r="Z18" s="1121"/>
      <c r="AA18" s="1131"/>
    </row>
    <row r="19" spans="1:27" s="1134" customFormat="1" ht="14.25" hidden="1" customHeight="1" x14ac:dyDescent="0.2">
      <c r="A19" s="992"/>
      <c r="B19" s="991" t="s">
        <v>837</v>
      </c>
      <c r="C19" s="1027"/>
      <c r="D19" s="1027"/>
      <c r="E19" s="988"/>
      <c r="F19" s="1027"/>
      <c r="G19" s="1027"/>
      <c r="H19" s="1027"/>
      <c r="I19" s="988"/>
      <c r="J19" s="1027"/>
      <c r="K19" s="1027"/>
      <c r="L19" s="1027"/>
      <c r="M19" s="988"/>
      <c r="N19" s="1136">
        <f>'2.a.2.1.ovik beépülő'!BG19+'2.a.2.2.egyéb beépülő'!R19</f>
        <v>0</v>
      </c>
      <c r="O19" s="983">
        <f>'2.a.2.1.ovik beépülő'!BH19+'2.a.2.2.egyéb beépülő'!S19</f>
        <v>0</v>
      </c>
      <c r="P19" s="983">
        <f>'2.a.2.1.ovik beépülő'!BI19+'2.a.2.2.egyéb beépülő'!T19</f>
        <v>0</v>
      </c>
      <c r="Q19" s="1041"/>
      <c r="R19" s="1136">
        <f t="shared" si="0"/>
        <v>0</v>
      </c>
      <c r="S19" s="983">
        <f t="shared" si="1"/>
        <v>0</v>
      </c>
      <c r="T19" s="983">
        <f t="shared" si="2"/>
        <v>0</v>
      </c>
      <c r="U19" s="1041"/>
      <c r="V19" s="1136">
        <f>'2.a.1.óvodák'!BG21+'2.a.2.egyéb'!R19</f>
        <v>0</v>
      </c>
      <c r="W19" s="983">
        <f>'2.a.1.óvodák'!BH21+'2.a.2.egyéb'!S19</f>
        <v>0</v>
      </c>
      <c r="X19" s="983">
        <f>'2.a.1.óvodák'!BI21+'2.a.2.egyéb'!T19</f>
        <v>0</v>
      </c>
      <c r="Y19" s="1041"/>
      <c r="Z19" s="1121"/>
      <c r="AA19" s="1131"/>
    </row>
    <row r="20" spans="1:27" s="977" customFormat="1" ht="15" x14ac:dyDescent="0.25">
      <c r="A20" s="1010" t="s">
        <v>66</v>
      </c>
      <c r="B20" s="1025" t="s">
        <v>187</v>
      </c>
      <c r="C20" s="1148"/>
      <c r="D20" s="1148"/>
      <c r="E20" s="1008"/>
      <c r="F20" s="1035"/>
      <c r="G20" s="1035"/>
      <c r="H20" s="1035"/>
      <c r="I20" s="1008"/>
      <c r="J20" s="1039"/>
      <c r="K20" s="1039"/>
      <c r="L20" s="1039"/>
      <c r="M20" s="1008"/>
      <c r="N20" s="1136">
        <f>'2.a.2.1.ovik beépülő'!BG20+'2.a.2.2.egyéb beépülő'!R20</f>
        <v>1190307</v>
      </c>
      <c r="O20" s="983">
        <f>'2.a.2.1.ovik beépülő'!BH20+'2.a.2.2.egyéb beépülő'!S20</f>
        <v>1110979</v>
      </c>
      <c r="P20" s="983">
        <f>'2.a.2.1.ovik beépülő'!BI20+'2.a.2.2.egyéb beépülő'!T20</f>
        <v>1110979</v>
      </c>
      <c r="Q20" s="1008">
        <f>P20/O20</f>
        <v>1</v>
      </c>
      <c r="R20" s="1136">
        <f t="shared" si="0"/>
        <v>1190307</v>
      </c>
      <c r="S20" s="983">
        <f t="shared" si="1"/>
        <v>1110979</v>
      </c>
      <c r="T20" s="983">
        <f t="shared" si="2"/>
        <v>1110979</v>
      </c>
      <c r="U20" s="1008">
        <f>T20/S20</f>
        <v>1</v>
      </c>
      <c r="V20" s="1136">
        <f>'2.a.1.óvodák'!BG22+'2.a.2.egyéb'!R20</f>
        <v>1190307</v>
      </c>
      <c r="W20" s="983">
        <f>'2.a.1.óvodák'!BH22+'2.a.2.egyéb'!S20</f>
        <v>1110979</v>
      </c>
      <c r="X20" s="983">
        <f>'2.a.1.óvodák'!BI22+'2.a.2.egyéb'!T20</f>
        <v>1110979</v>
      </c>
      <c r="Y20" s="1008">
        <f>X20/W20</f>
        <v>1</v>
      </c>
      <c r="Z20" s="1121"/>
      <c r="AA20" s="1131"/>
    </row>
    <row r="21" spans="1:27" s="1134" customFormat="1" ht="14.25" hidden="1" customHeight="1" x14ac:dyDescent="0.2">
      <c r="A21" s="992"/>
      <c r="B21" s="991" t="s">
        <v>839</v>
      </c>
      <c r="C21" s="1147"/>
      <c r="D21" s="1147"/>
      <c r="E21" s="988"/>
      <c r="F21" s="1027"/>
      <c r="G21" s="1027"/>
      <c r="H21" s="1027"/>
      <c r="I21" s="1007"/>
      <c r="J21" s="1027"/>
      <c r="K21" s="1027"/>
      <c r="L21" s="1027"/>
      <c r="M21" s="988"/>
      <c r="N21" s="1136">
        <f>'2.a.2.1.ovik beépülő'!BG21+'2.a.2.2.egyéb beépülő'!R21</f>
        <v>0</v>
      </c>
      <c r="O21" s="983">
        <f>'2.a.2.1.ovik beépülő'!BH21+'2.a.2.2.egyéb beépülő'!S21</f>
        <v>0</v>
      </c>
      <c r="P21" s="983">
        <f>'2.a.2.1.ovik beépülő'!BI21+'2.a.2.2.egyéb beépülő'!T21</f>
        <v>0</v>
      </c>
      <c r="Q21" s="988" t="e">
        <f>P21/O21</f>
        <v>#DIV/0!</v>
      </c>
      <c r="R21" s="1136">
        <f t="shared" si="0"/>
        <v>0</v>
      </c>
      <c r="S21" s="983">
        <f t="shared" si="1"/>
        <v>0</v>
      </c>
      <c r="T21" s="983">
        <f t="shared" si="2"/>
        <v>0</v>
      </c>
      <c r="U21" s="988" t="e">
        <f>T21/S21</f>
        <v>#DIV/0!</v>
      </c>
      <c r="V21" s="1136">
        <f>'2.a.1.óvodák'!BG23+'2.a.2.egyéb'!R21</f>
        <v>0</v>
      </c>
      <c r="W21" s="983">
        <f>'2.a.1.óvodák'!BH23+'2.a.2.egyéb'!S21</f>
        <v>0</v>
      </c>
      <c r="X21" s="983">
        <f>'2.a.1.óvodák'!BI23+'2.a.2.egyéb'!T21</f>
        <v>0</v>
      </c>
      <c r="Y21" s="988" t="e">
        <f>X21/W21</f>
        <v>#DIV/0!</v>
      </c>
      <c r="Z21" s="1121"/>
      <c r="AA21" s="1131"/>
    </row>
    <row r="22" spans="1:27" s="1134" customFormat="1" ht="14.25" hidden="1" customHeight="1" x14ac:dyDescent="0.2">
      <c r="A22" s="992"/>
      <c r="B22" s="991" t="s">
        <v>838</v>
      </c>
      <c r="C22" s="1038"/>
      <c r="D22" s="1038"/>
      <c r="E22" s="1007"/>
      <c r="F22" s="1033"/>
      <c r="G22" s="1033"/>
      <c r="H22" s="1033"/>
      <c r="I22" s="1007"/>
      <c r="J22" s="1036"/>
      <c r="K22" s="1036"/>
      <c r="L22" s="1036"/>
      <c r="M22" s="1007"/>
      <c r="N22" s="1137">
        <f>'2.a.2.1.ovik beépülő'!BG22+'2.a.2.2.egyéb beépülő'!R22</f>
        <v>1190307</v>
      </c>
      <c r="O22" s="1002">
        <f>'2.a.2.1.ovik beépülő'!BH22+'2.a.2.2.egyéb beépülő'!S22</f>
        <v>1110979</v>
      </c>
      <c r="P22" s="1002">
        <f>'2.a.2.1.ovik beépülő'!BI22+'2.a.2.2.egyéb beépülő'!T22</f>
        <v>1110979</v>
      </c>
      <c r="Q22" s="1007">
        <f>P22/O22</f>
        <v>1</v>
      </c>
      <c r="R22" s="1137">
        <f t="shared" si="0"/>
        <v>1190307</v>
      </c>
      <c r="S22" s="1002">
        <f t="shared" si="1"/>
        <v>1110979</v>
      </c>
      <c r="T22" s="1002">
        <f t="shared" si="2"/>
        <v>1110979</v>
      </c>
      <c r="U22" s="1007">
        <f>T22/S22</f>
        <v>1</v>
      </c>
      <c r="V22" s="1137">
        <f>'2.a.1.óvodák'!BG24+'2.a.2.egyéb'!R22</f>
        <v>1190307</v>
      </c>
      <c r="W22" s="1002">
        <f>'2.a.1.óvodák'!BH24+'2.a.2.egyéb'!S22</f>
        <v>1110979</v>
      </c>
      <c r="X22" s="1002">
        <f>'2.a.1.óvodák'!BI24+'2.a.2.egyéb'!T22</f>
        <v>1110979</v>
      </c>
      <c r="Y22" s="1007">
        <f>X22/W22</f>
        <v>1</v>
      </c>
      <c r="Z22" s="1121"/>
      <c r="AA22" s="1131"/>
    </row>
    <row r="23" spans="1:27" s="1134" customFormat="1" ht="14.25" hidden="1" customHeight="1" x14ac:dyDescent="0.2">
      <c r="A23" s="992"/>
      <c r="B23" s="991" t="s">
        <v>837</v>
      </c>
      <c r="C23" s="1027"/>
      <c r="D23" s="1027"/>
      <c r="E23" s="988"/>
      <c r="F23" s="1027"/>
      <c r="G23" s="1027"/>
      <c r="H23" s="1027"/>
      <c r="I23" s="988"/>
      <c r="J23" s="1027"/>
      <c r="K23" s="1027"/>
      <c r="L23" s="1027"/>
      <c r="M23" s="988"/>
      <c r="N23" s="1136">
        <f>'2.a.2.1.ovik beépülő'!BG23+'2.a.2.2.egyéb beépülő'!R23</f>
        <v>0</v>
      </c>
      <c r="O23" s="983">
        <f>'2.a.2.1.ovik beépülő'!BH23+'2.a.2.2.egyéb beépülő'!S23</f>
        <v>0</v>
      </c>
      <c r="P23" s="983">
        <f>'2.a.2.1.ovik beépülő'!BI23+'2.a.2.2.egyéb beépülő'!T23</f>
        <v>0</v>
      </c>
      <c r="Q23" s="988" t="e">
        <f>P23/O23</f>
        <v>#DIV/0!</v>
      </c>
      <c r="R23" s="1136">
        <f t="shared" si="0"/>
        <v>0</v>
      </c>
      <c r="S23" s="983">
        <f t="shared" si="1"/>
        <v>0</v>
      </c>
      <c r="T23" s="983">
        <f t="shared" si="2"/>
        <v>0</v>
      </c>
      <c r="U23" s="988" t="e">
        <f>T23/S23</f>
        <v>#DIV/0!</v>
      </c>
      <c r="V23" s="1136">
        <f>'2.a.1.óvodák'!BG25+'2.a.2.egyéb'!R23</f>
        <v>0</v>
      </c>
      <c r="W23" s="983">
        <f>'2.a.1.óvodák'!BH25+'2.a.2.egyéb'!S23</f>
        <v>0</v>
      </c>
      <c r="X23" s="983">
        <f>'2.a.1.óvodák'!BI25+'2.a.2.egyéb'!T23</f>
        <v>0</v>
      </c>
      <c r="Y23" s="988" t="e">
        <f>X23/W23</f>
        <v>#DIV/0!</v>
      </c>
      <c r="Z23" s="1121"/>
      <c r="AA23" s="1131"/>
    </row>
    <row r="24" spans="1:27" s="977" customFormat="1" ht="15" x14ac:dyDescent="0.25">
      <c r="A24" s="1010" t="s">
        <v>200</v>
      </c>
      <c r="B24" s="1025" t="s">
        <v>152</v>
      </c>
      <c r="C24" s="1029"/>
      <c r="D24" s="1029"/>
      <c r="E24" s="1008"/>
      <c r="F24" s="1029"/>
      <c r="G24" s="1029"/>
      <c r="H24" s="1029"/>
      <c r="I24" s="1008"/>
      <c r="J24" s="1029"/>
      <c r="K24" s="1029"/>
      <c r="L24" s="1029"/>
      <c r="M24" s="1008"/>
      <c r="N24" s="1136">
        <f>'2.a.2.1.ovik beépülő'!BG24+'2.a.2.2.egyéb beépülő'!R24</f>
        <v>0</v>
      </c>
      <c r="O24" s="983">
        <f>'2.a.2.1.ovik beépülő'!BH24+'2.a.2.2.egyéb beépülő'!S24</f>
        <v>0</v>
      </c>
      <c r="P24" s="983">
        <f>'2.a.2.1.ovik beépülő'!BI24+'2.a.2.2.egyéb beépülő'!T24</f>
        <v>0</v>
      </c>
      <c r="Q24" s="1008"/>
      <c r="R24" s="1136">
        <f t="shared" si="0"/>
        <v>0</v>
      </c>
      <c r="S24" s="983">
        <f t="shared" si="1"/>
        <v>0</v>
      </c>
      <c r="T24" s="983">
        <f t="shared" si="2"/>
        <v>0</v>
      </c>
      <c r="U24" s="1008"/>
      <c r="V24" s="1136">
        <f>'2.a.1.óvodák'!BG26+'2.a.2.egyéb'!R24</f>
        <v>0</v>
      </c>
      <c r="W24" s="983">
        <f>'2.a.1.óvodák'!BH26+'2.a.2.egyéb'!S24</f>
        <v>0</v>
      </c>
      <c r="X24" s="983">
        <f>'2.a.1.óvodák'!BI26+'2.a.2.egyéb'!T24</f>
        <v>0</v>
      </c>
      <c r="Y24" s="1008"/>
      <c r="Z24" s="1121"/>
      <c r="AA24" s="1131"/>
    </row>
    <row r="25" spans="1:27" s="1134" customFormat="1" ht="14.25" hidden="1" customHeight="1" x14ac:dyDescent="0.2">
      <c r="A25" s="992"/>
      <c r="B25" s="991" t="s">
        <v>839</v>
      </c>
      <c r="C25" s="1027"/>
      <c r="D25" s="1027"/>
      <c r="E25" s="988"/>
      <c r="F25" s="1027"/>
      <c r="G25" s="1027"/>
      <c r="H25" s="1027"/>
      <c r="I25" s="988"/>
      <c r="J25" s="1027"/>
      <c r="K25" s="1027"/>
      <c r="L25" s="1027"/>
      <c r="M25" s="988"/>
      <c r="N25" s="1136">
        <f>'2.a.2.1.ovik beépülő'!BG25+'2.a.2.2.egyéb beépülő'!R25</f>
        <v>0</v>
      </c>
      <c r="O25" s="983">
        <f>'2.a.2.1.ovik beépülő'!BH25+'2.a.2.2.egyéb beépülő'!S25</f>
        <v>0</v>
      </c>
      <c r="P25" s="983">
        <f>'2.a.2.1.ovik beépülő'!BI25+'2.a.2.2.egyéb beépülő'!T25</f>
        <v>0</v>
      </c>
      <c r="Q25" s="988"/>
      <c r="R25" s="1136">
        <f t="shared" si="0"/>
        <v>0</v>
      </c>
      <c r="S25" s="983">
        <f t="shared" si="1"/>
        <v>0</v>
      </c>
      <c r="T25" s="983">
        <f t="shared" si="2"/>
        <v>0</v>
      </c>
      <c r="U25" s="988"/>
      <c r="V25" s="1136">
        <f>'2.a.1.óvodák'!BG27+'2.a.2.egyéb'!R25</f>
        <v>0</v>
      </c>
      <c r="W25" s="983">
        <f>'2.a.1.óvodák'!BH27+'2.a.2.egyéb'!S25</f>
        <v>0</v>
      </c>
      <c r="X25" s="983">
        <f>'2.a.1.óvodák'!BI27+'2.a.2.egyéb'!T25</f>
        <v>0</v>
      </c>
      <c r="Y25" s="988"/>
      <c r="Z25" s="1121"/>
      <c r="AA25" s="1131"/>
    </row>
    <row r="26" spans="1:27" s="1134" customFormat="1" ht="14.25" hidden="1" customHeight="1" x14ac:dyDescent="0.2">
      <c r="A26" s="992"/>
      <c r="B26" s="991" t="s">
        <v>838</v>
      </c>
      <c r="C26" s="1027"/>
      <c r="D26" s="1027"/>
      <c r="E26" s="988"/>
      <c r="F26" s="1027"/>
      <c r="G26" s="1027"/>
      <c r="H26" s="1027"/>
      <c r="I26" s="988"/>
      <c r="J26" s="1027"/>
      <c r="K26" s="1027"/>
      <c r="L26" s="1027"/>
      <c r="M26" s="988"/>
      <c r="N26" s="1136">
        <f>'2.a.2.1.ovik beépülő'!BG26+'2.a.2.2.egyéb beépülő'!R26</f>
        <v>0</v>
      </c>
      <c r="O26" s="983">
        <f>'2.a.2.1.ovik beépülő'!BH26+'2.a.2.2.egyéb beépülő'!S26</f>
        <v>0</v>
      </c>
      <c r="P26" s="983">
        <f>'2.a.2.1.ovik beépülő'!BI26+'2.a.2.2.egyéb beépülő'!T26</f>
        <v>0</v>
      </c>
      <c r="Q26" s="988"/>
      <c r="R26" s="1136">
        <f t="shared" si="0"/>
        <v>0</v>
      </c>
      <c r="S26" s="983">
        <f t="shared" si="1"/>
        <v>0</v>
      </c>
      <c r="T26" s="983">
        <f t="shared" si="2"/>
        <v>0</v>
      </c>
      <c r="U26" s="988"/>
      <c r="V26" s="1136">
        <f>'2.a.1.óvodák'!BG28+'2.a.2.egyéb'!R26</f>
        <v>0</v>
      </c>
      <c r="W26" s="983">
        <f>'2.a.1.óvodák'!BH28+'2.a.2.egyéb'!S26</f>
        <v>0</v>
      </c>
      <c r="X26" s="983">
        <f>'2.a.1.óvodák'!BI28+'2.a.2.egyéb'!T26</f>
        <v>0</v>
      </c>
      <c r="Y26" s="988"/>
      <c r="Z26" s="1121"/>
      <c r="AA26" s="1131"/>
    </row>
    <row r="27" spans="1:27" s="1134" customFormat="1" ht="14.25" hidden="1" customHeight="1" x14ac:dyDescent="0.2">
      <c r="A27" s="992"/>
      <c r="B27" s="991" t="s">
        <v>837</v>
      </c>
      <c r="C27" s="1027"/>
      <c r="D27" s="1027"/>
      <c r="E27" s="988"/>
      <c r="F27" s="1027"/>
      <c r="G27" s="1027"/>
      <c r="H27" s="1027"/>
      <c r="I27" s="988"/>
      <c r="J27" s="1027"/>
      <c r="K27" s="1027"/>
      <c r="L27" s="1027"/>
      <c r="M27" s="988"/>
      <c r="N27" s="1136">
        <f>'2.a.2.1.ovik beépülő'!BG27+'2.a.2.2.egyéb beépülő'!R27</f>
        <v>0</v>
      </c>
      <c r="O27" s="983">
        <f>'2.a.2.1.ovik beépülő'!BH27+'2.a.2.2.egyéb beépülő'!S27</f>
        <v>0</v>
      </c>
      <c r="P27" s="983">
        <f>'2.a.2.1.ovik beépülő'!BI27+'2.a.2.2.egyéb beépülő'!T27</f>
        <v>0</v>
      </c>
      <c r="Q27" s="988"/>
      <c r="R27" s="1136">
        <f t="shared" si="0"/>
        <v>0</v>
      </c>
      <c r="S27" s="983">
        <f t="shared" si="1"/>
        <v>0</v>
      </c>
      <c r="T27" s="983">
        <f t="shared" si="2"/>
        <v>0</v>
      </c>
      <c r="U27" s="988"/>
      <c r="V27" s="1136">
        <f>'2.a.1.óvodák'!BG29+'2.a.2.egyéb'!R27</f>
        <v>0</v>
      </c>
      <c r="W27" s="983">
        <f>'2.a.1.óvodák'!BH29+'2.a.2.egyéb'!S27</f>
        <v>0</v>
      </c>
      <c r="X27" s="983">
        <f>'2.a.1.óvodák'!BI29+'2.a.2.egyéb'!T27</f>
        <v>0</v>
      </c>
      <c r="Y27" s="988"/>
      <c r="Z27" s="1121"/>
      <c r="AA27" s="1131"/>
    </row>
    <row r="28" spans="1:27" s="977" customFormat="1" ht="15" x14ac:dyDescent="0.25">
      <c r="A28" s="1010" t="s">
        <v>420</v>
      </c>
      <c r="B28" s="1025" t="s">
        <v>137</v>
      </c>
      <c r="C28" s="1146">
        <f>SUM(C29:C31)</f>
        <v>0</v>
      </c>
      <c r="D28" s="1146">
        <f>SUM(D29:D31)</f>
        <v>0</v>
      </c>
      <c r="E28" s="1008"/>
      <c r="F28" s="1146">
        <f>SUM(F29:F31)</f>
        <v>0</v>
      </c>
      <c r="G28" s="1146">
        <f>SUM(G29:G31)</f>
        <v>0</v>
      </c>
      <c r="H28" s="1146">
        <f>SUM(H29:H31)</f>
        <v>0</v>
      </c>
      <c r="I28" s="1008"/>
      <c r="J28" s="1039">
        <f>SUM(J29:J31)</f>
        <v>0</v>
      </c>
      <c r="K28" s="1039">
        <f>SUM(K29:K31)</f>
        <v>0</v>
      </c>
      <c r="L28" s="1039">
        <f>SUM(L29:L31)</f>
        <v>0</v>
      </c>
      <c r="M28" s="1008"/>
      <c r="N28" s="1136">
        <f>'2.a.2.1.ovik beépülő'!BG28+'2.a.2.2.egyéb beépülő'!R28</f>
        <v>0</v>
      </c>
      <c r="O28" s="983">
        <f>'2.a.2.1.ovik beépülő'!BH28+'2.a.2.2.egyéb beépülő'!S28</f>
        <v>0</v>
      </c>
      <c r="P28" s="983">
        <f>'2.a.2.1.ovik beépülő'!BI28+'2.a.2.2.egyéb beépülő'!T28</f>
        <v>0</v>
      </c>
      <c r="Q28" s="1008"/>
      <c r="R28" s="1136">
        <f t="shared" si="0"/>
        <v>0</v>
      </c>
      <c r="S28" s="983">
        <f t="shared" si="1"/>
        <v>0</v>
      </c>
      <c r="T28" s="983">
        <f t="shared" si="2"/>
        <v>0</v>
      </c>
      <c r="U28" s="1008"/>
      <c r="V28" s="1136">
        <f>'2.a.1.óvodák'!BG30+'2.a.2.egyéb'!R28</f>
        <v>0</v>
      </c>
      <c r="W28" s="983">
        <f>'2.a.1.óvodák'!BH30+'2.a.2.egyéb'!S28</f>
        <v>0</v>
      </c>
      <c r="X28" s="983">
        <f>'2.a.1.óvodák'!BI30+'2.a.2.egyéb'!T28</f>
        <v>0</v>
      </c>
      <c r="Y28" s="1008"/>
      <c r="Z28" s="1121"/>
      <c r="AA28" s="1131"/>
    </row>
    <row r="29" spans="1:27" s="1134" customFormat="1" ht="14.25" hidden="1" customHeight="1" x14ac:dyDescent="0.2">
      <c r="A29" s="992"/>
      <c r="B29" s="991" t="s">
        <v>839</v>
      </c>
      <c r="C29" s="1027"/>
      <c r="D29" s="1027"/>
      <c r="E29" s="988"/>
      <c r="F29" s="1027"/>
      <c r="G29" s="1027"/>
      <c r="H29" s="1027"/>
      <c r="I29" s="1007"/>
      <c r="J29" s="1027"/>
      <c r="K29" s="1027"/>
      <c r="L29" s="1027"/>
      <c r="M29" s="988"/>
      <c r="N29" s="1136">
        <f>'2.a.2.1.ovik beépülő'!BG29+'2.a.2.2.egyéb beépülő'!R29</f>
        <v>0</v>
      </c>
      <c r="O29" s="983">
        <f>'2.a.2.1.ovik beépülő'!BH29+'2.a.2.2.egyéb beépülő'!S29</f>
        <v>0</v>
      </c>
      <c r="P29" s="983">
        <f>'2.a.2.1.ovik beépülő'!BI29+'2.a.2.2.egyéb beépülő'!T29</f>
        <v>0</v>
      </c>
      <c r="Q29" s="988"/>
      <c r="R29" s="1136">
        <f t="shared" si="0"/>
        <v>0</v>
      </c>
      <c r="S29" s="983">
        <f t="shared" si="1"/>
        <v>0</v>
      </c>
      <c r="T29" s="983">
        <f t="shared" si="2"/>
        <v>0</v>
      </c>
      <c r="U29" s="988"/>
      <c r="V29" s="1136">
        <f>'2.a.1.óvodák'!BG31+'2.a.2.egyéb'!R29</f>
        <v>0</v>
      </c>
      <c r="W29" s="983">
        <f>'2.a.1.óvodák'!BH31+'2.a.2.egyéb'!S29</f>
        <v>0</v>
      </c>
      <c r="X29" s="983">
        <f>'2.a.1.óvodák'!BI31+'2.a.2.egyéb'!T29</f>
        <v>0</v>
      </c>
      <c r="Y29" s="988"/>
      <c r="Z29" s="1121"/>
      <c r="AA29" s="1131"/>
    </row>
    <row r="30" spans="1:27" s="1134" customFormat="1" ht="14.25" hidden="1" customHeight="1" x14ac:dyDescent="0.2">
      <c r="A30" s="992"/>
      <c r="B30" s="991" t="s">
        <v>838</v>
      </c>
      <c r="C30" s="1034">
        <v>0</v>
      </c>
      <c r="D30" s="1034">
        <v>0</v>
      </c>
      <c r="E30" s="988"/>
      <c r="F30" s="1033"/>
      <c r="G30" s="1033"/>
      <c r="H30" s="1033"/>
      <c r="I30" s="988"/>
      <c r="J30" s="1032"/>
      <c r="K30" s="1032"/>
      <c r="L30" s="1032"/>
      <c r="M30" s="988"/>
      <c r="N30" s="1136">
        <f>'2.a.2.1.ovik beépülő'!BG30+'2.a.2.2.egyéb beépülő'!R30</f>
        <v>0</v>
      </c>
      <c r="O30" s="983">
        <f>'2.a.2.1.ovik beépülő'!BH30+'2.a.2.2.egyéb beépülő'!S30</f>
        <v>0</v>
      </c>
      <c r="P30" s="983">
        <f>'2.a.2.1.ovik beépülő'!BI30+'2.a.2.2.egyéb beépülő'!T30</f>
        <v>0</v>
      </c>
      <c r="Q30" s="988"/>
      <c r="R30" s="1137">
        <f t="shared" si="0"/>
        <v>0</v>
      </c>
      <c r="S30" s="1002">
        <f t="shared" si="1"/>
        <v>0</v>
      </c>
      <c r="T30" s="1002">
        <f t="shared" si="2"/>
        <v>0</v>
      </c>
      <c r="U30" s="988"/>
      <c r="V30" s="1137">
        <f>'2.a.1.óvodák'!BG32+'2.a.2.egyéb'!R30</f>
        <v>0</v>
      </c>
      <c r="W30" s="1002">
        <f>'2.a.1.óvodák'!BH32+'2.a.2.egyéb'!S30</f>
        <v>0</v>
      </c>
      <c r="X30" s="1002">
        <f>'2.a.1.óvodák'!BI32+'2.a.2.egyéb'!T30</f>
        <v>0</v>
      </c>
      <c r="Y30" s="988"/>
      <c r="Z30" s="1121"/>
      <c r="AA30" s="1131"/>
    </row>
    <row r="31" spans="1:27" s="1134" customFormat="1" ht="14.25" hidden="1" customHeight="1" x14ac:dyDescent="0.2">
      <c r="A31" s="992"/>
      <c r="B31" s="991" t="s">
        <v>837</v>
      </c>
      <c r="C31" s="1027"/>
      <c r="D31" s="1027"/>
      <c r="E31" s="988"/>
      <c r="F31" s="1027"/>
      <c r="G31" s="1027"/>
      <c r="H31" s="1027"/>
      <c r="I31" s="988"/>
      <c r="J31" s="1027"/>
      <c r="K31" s="1027"/>
      <c r="L31" s="1027"/>
      <c r="M31" s="988"/>
      <c r="N31" s="1136">
        <f>'2.a.2.1.ovik beépülő'!BG31+'2.a.2.2.egyéb beépülő'!R31</f>
        <v>0</v>
      </c>
      <c r="O31" s="983">
        <f>'2.a.2.1.ovik beépülő'!BH31+'2.a.2.2.egyéb beépülő'!S31</f>
        <v>0</v>
      </c>
      <c r="P31" s="983">
        <f>'2.a.2.1.ovik beépülő'!BI31+'2.a.2.2.egyéb beépülő'!T31</f>
        <v>0</v>
      </c>
      <c r="Q31" s="988"/>
      <c r="R31" s="1136">
        <f t="shared" si="0"/>
        <v>0</v>
      </c>
      <c r="S31" s="983">
        <f t="shared" si="1"/>
        <v>0</v>
      </c>
      <c r="T31" s="983">
        <f t="shared" si="2"/>
        <v>0</v>
      </c>
      <c r="U31" s="988"/>
      <c r="V31" s="1136">
        <f>'2.a.1.óvodák'!BG33+'2.a.2.egyéb'!R31</f>
        <v>0</v>
      </c>
      <c r="W31" s="983">
        <f>'2.a.1.óvodák'!BH33+'2.a.2.egyéb'!S31</f>
        <v>0</v>
      </c>
      <c r="X31" s="983">
        <f>'2.a.1.óvodák'!BI33+'2.a.2.egyéb'!T31</f>
        <v>0</v>
      </c>
      <c r="Y31" s="988"/>
      <c r="Z31" s="1121"/>
      <c r="AA31" s="1131"/>
    </row>
    <row r="32" spans="1:27" s="977" customFormat="1" ht="15.75" customHeight="1" x14ac:dyDescent="0.25">
      <c r="A32" s="1010" t="s">
        <v>419</v>
      </c>
      <c r="B32" s="1025" t="s">
        <v>130</v>
      </c>
      <c r="C32" s="1029"/>
      <c r="D32" s="1029"/>
      <c r="E32" s="1008"/>
      <c r="F32" s="1029"/>
      <c r="G32" s="1029"/>
      <c r="H32" s="1029"/>
      <c r="I32" s="1008"/>
      <c r="J32" s="1029"/>
      <c r="K32" s="1029"/>
      <c r="L32" s="1029"/>
      <c r="M32" s="1008"/>
      <c r="N32" s="1136">
        <f>'2.a.2.1.ovik beépülő'!BG32+'2.a.2.2.egyéb beépülő'!R32</f>
        <v>0</v>
      </c>
      <c r="O32" s="983">
        <f>'2.a.2.1.ovik beépülő'!BH32+'2.a.2.2.egyéb beépülő'!S32</f>
        <v>0</v>
      </c>
      <c r="P32" s="983">
        <f>'2.a.2.1.ovik beépülő'!BI32+'2.a.2.2.egyéb beépülő'!T32</f>
        <v>0</v>
      </c>
      <c r="Q32" s="1008"/>
      <c r="R32" s="1136">
        <f t="shared" si="0"/>
        <v>0</v>
      </c>
      <c r="S32" s="983">
        <f t="shared" si="1"/>
        <v>0</v>
      </c>
      <c r="T32" s="983">
        <f t="shared" si="2"/>
        <v>0</v>
      </c>
      <c r="U32" s="1008"/>
      <c r="V32" s="1136">
        <f>'2.a.1.óvodák'!BG34+'2.a.2.egyéb'!R32</f>
        <v>0</v>
      </c>
      <c r="W32" s="983">
        <f>'2.a.1.óvodák'!BH34+'2.a.2.egyéb'!S32</f>
        <v>0</v>
      </c>
      <c r="X32" s="983">
        <f>'2.a.1.óvodák'!BI34+'2.a.2.egyéb'!T32</f>
        <v>0</v>
      </c>
      <c r="Y32" s="1008"/>
      <c r="Z32" s="1121"/>
      <c r="AA32" s="1131"/>
    </row>
    <row r="33" spans="1:27" s="1134" customFormat="1" ht="14.25" hidden="1" customHeight="1" x14ac:dyDescent="0.2">
      <c r="A33" s="992"/>
      <c r="B33" s="991" t="s">
        <v>839</v>
      </c>
      <c r="C33" s="1027"/>
      <c r="D33" s="1027"/>
      <c r="E33" s="988"/>
      <c r="F33" s="1027"/>
      <c r="G33" s="1027"/>
      <c r="H33" s="1027"/>
      <c r="I33" s="988"/>
      <c r="J33" s="1027"/>
      <c r="K33" s="1027"/>
      <c r="L33" s="1027"/>
      <c r="M33" s="988"/>
      <c r="N33" s="1136">
        <f>'2.a.2.1.ovik beépülő'!BG33+'2.a.2.2.egyéb beépülő'!R33</f>
        <v>0</v>
      </c>
      <c r="O33" s="983">
        <f>'2.a.2.1.ovik beépülő'!BH33+'2.a.2.2.egyéb beépülő'!S33</f>
        <v>0</v>
      </c>
      <c r="P33" s="983">
        <f>'2.a.2.1.ovik beépülő'!BI33+'2.a.2.2.egyéb beépülő'!T33</f>
        <v>0</v>
      </c>
      <c r="Q33" s="988" t="e">
        <f t="shared" ref="Q33:Q40" si="3">P33/O33</f>
        <v>#DIV/0!</v>
      </c>
      <c r="R33" s="1136">
        <f t="shared" si="0"/>
        <v>0</v>
      </c>
      <c r="S33" s="983">
        <f t="shared" si="1"/>
        <v>0</v>
      </c>
      <c r="T33" s="983">
        <f t="shared" si="2"/>
        <v>0</v>
      </c>
      <c r="U33" s="988" t="e">
        <f t="shared" ref="U33:U40" si="4">T33/S33</f>
        <v>#DIV/0!</v>
      </c>
      <c r="V33" s="1136">
        <f>'2.a.1.óvodák'!BG35+'2.a.2.egyéb'!R33</f>
        <v>0</v>
      </c>
      <c r="W33" s="983">
        <f>'2.a.1.óvodák'!BH35+'2.a.2.egyéb'!S33</f>
        <v>0</v>
      </c>
      <c r="X33" s="983">
        <f>'2.a.1.óvodák'!BI35+'2.a.2.egyéb'!T33</f>
        <v>0</v>
      </c>
      <c r="Y33" s="988" t="e">
        <f t="shared" ref="Y33:Y40" si="5">X33/W33</f>
        <v>#DIV/0!</v>
      </c>
      <c r="Z33" s="1121"/>
      <c r="AA33" s="1131"/>
    </row>
    <row r="34" spans="1:27" s="1134" customFormat="1" ht="14.25" hidden="1" customHeight="1" x14ac:dyDescent="0.2">
      <c r="A34" s="992"/>
      <c r="B34" s="991" t="s">
        <v>838</v>
      </c>
      <c r="C34" s="1027"/>
      <c r="D34" s="1027"/>
      <c r="E34" s="988"/>
      <c r="F34" s="1027"/>
      <c r="G34" s="1027"/>
      <c r="H34" s="1027"/>
      <c r="I34" s="988"/>
      <c r="J34" s="1027"/>
      <c r="K34" s="1027"/>
      <c r="L34" s="1027"/>
      <c r="M34" s="988"/>
      <c r="N34" s="1136">
        <f>'2.a.2.1.ovik beépülő'!BG34+'2.a.2.2.egyéb beépülő'!R34</f>
        <v>0</v>
      </c>
      <c r="O34" s="983">
        <f>'2.a.2.1.ovik beépülő'!BH34+'2.a.2.2.egyéb beépülő'!S34</f>
        <v>0</v>
      </c>
      <c r="P34" s="983">
        <f>'2.a.2.1.ovik beépülő'!BI34+'2.a.2.2.egyéb beépülő'!T34</f>
        <v>0</v>
      </c>
      <c r="Q34" s="988" t="e">
        <f t="shared" si="3"/>
        <v>#DIV/0!</v>
      </c>
      <c r="R34" s="1136">
        <f t="shared" si="0"/>
        <v>0</v>
      </c>
      <c r="S34" s="983">
        <f t="shared" si="1"/>
        <v>0</v>
      </c>
      <c r="T34" s="983">
        <f t="shared" si="2"/>
        <v>0</v>
      </c>
      <c r="U34" s="988" t="e">
        <f t="shared" si="4"/>
        <v>#DIV/0!</v>
      </c>
      <c r="V34" s="1136">
        <f>'2.a.1.óvodák'!BG36+'2.a.2.egyéb'!R34</f>
        <v>0</v>
      </c>
      <c r="W34" s="983">
        <f>'2.a.1.óvodák'!BH36+'2.a.2.egyéb'!S34</f>
        <v>0</v>
      </c>
      <c r="X34" s="983">
        <f>'2.a.1.óvodák'!BI36+'2.a.2.egyéb'!T34</f>
        <v>0</v>
      </c>
      <c r="Y34" s="988" t="e">
        <f t="shared" si="5"/>
        <v>#DIV/0!</v>
      </c>
      <c r="Z34" s="1121"/>
      <c r="AA34" s="1131"/>
    </row>
    <row r="35" spans="1:27" s="1134" customFormat="1" ht="14.25" hidden="1" customHeight="1" x14ac:dyDescent="0.2">
      <c r="A35" s="992"/>
      <c r="B35" s="991" t="s">
        <v>837</v>
      </c>
      <c r="C35" s="1027"/>
      <c r="D35" s="1027"/>
      <c r="E35" s="988"/>
      <c r="F35" s="1027"/>
      <c r="G35" s="1027"/>
      <c r="H35" s="1027"/>
      <c r="I35" s="988"/>
      <c r="J35" s="1027"/>
      <c r="K35" s="1027"/>
      <c r="L35" s="1027"/>
      <c r="M35" s="988"/>
      <c r="N35" s="1136">
        <f>'2.a.2.1.ovik beépülő'!BG35+'2.a.2.2.egyéb beépülő'!R35</f>
        <v>0</v>
      </c>
      <c r="O35" s="983">
        <f>'2.a.2.1.ovik beépülő'!BH35+'2.a.2.2.egyéb beépülő'!S35</f>
        <v>0</v>
      </c>
      <c r="P35" s="983">
        <f>'2.a.2.1.ovik beépülő'!BI35+'2.a.2.2.egyéb beépülő'!T35</f>
        <v>0</v>
      </c>
      <c r="Q35" s="988" t="e">
        <f t="shared" si="3"/>
        <v>#DIV/0!</v>
      </c>
      <c r="R35" s="1136">
        <f t="shared" si="0"/>
        <v>0</v>
      </c>
      <c r="S35" s="983">
        <f t="shared" si="1"/>
        <v>0</v>
      </c>
      <c r="T35" s="983">
        <f t="shared" si="2"/>
        <v>0</v>
      </c>
      <c r="U35" s="988" t="e">
        <f t="shared" si="4"/>
        <v>#DIV/0!</v>
      </c>
      <c r="V35" s="1136">
        <f>'2.a.1.óvodák'!BG37+'2.a.2.egyéb'!R35</f>
        <v>0</v>
      </c>
      <c r="W35" s="983">
        <f>'2.a.1.óvodák'!BH37+'2.a.2.egyéb'!S35</f>
        <v>0</v>
      </c>
      <c r="X35" s="983">
        <f>'2.a.1.óvodák'!BI37+'2.a.2.egyéb'!T35</f>
        <v>0</v>
      </c>
      <c r="Y35" s="988" t="e">
        <f t="shared" si="5"/>
        <v>#DIV/0!</v>
      </c>
      <c r="Z35" s="1121"/>
      <c r="AA35" s="1131"/>
    </row>
    <row r="36" spans="1:27" s="977" customFormat="1" ht="15.75" thickBot="1" x14ac:dyDescent="0.3">
      <c r="A36" s="1010" t="s">
        <v>418</v>
      </c>
      <c r="B36" s="1025" t="s">
        <v>423</v>
      </c>
      <c r="C36" s="1023">
        <f>SUM(C37:C39)</f>
        <v>0</v>
      </c>
      <c r="D36" s="1023">
        <f>SUM(D37:D39)</f>
        <v>0</v>
      </c>
      <c r="E36" s="1008"/>
      <c r="F36" s="1023">
        <f>SUM(F37:F39)</f>
        <v>738116</v>
      </c>
      <c r="G36" s="1023">
        <f>SUM(G37:G39)</f>
        <v>776368</v>
      </c>
      <c r="H36" s="1023">
        <f>SUM(H37:H39)</f>
        <v>776368</v>
      </c>
      <c r="I36" s="1008">
        <f>H36/G36</f>
        <v>1</v>
      </c>
      <c r="J36" s="1023">
        <f>SUM(J37:J39)</f>
        <v>1023880</v>
      </c>
      <c r="K36" s="1023">
        <f>SUM(K37:K39)</f>
        <v>1046581</v>
      </c>
      <c r="L36" s="1023">
        <f>SUM(L37:L39)</f>
        <v>1046581</v>
      </c>
      <c r="M36" s="1008">
        <f>L36/K36</f>
        <v>1</v>
      </c>
      <c r="N36" s="1136">
        <f>'2.a.2.1.ovik beépülő'!BG36+'2.a.2.2.egyéb beépülő'!R36</f>
        <v>2871083</v>
      </c>
      <c r="O36" s="983">
        <f>'2.a.2.1.ovik beépülő'!BH36+'2.a.2.2.egyéb beépülő'!S36</f>
        <v>3428912</v>
      </c>
      <c r="P36" s="983">
        <f>'2.a.2.1.ovik beépülő'!BI36+'2.a.2.2.egyéb beépülő'!T36</f>
        <v>3428912</v>
      </c>
      <c r="Q36" s="1008">
        <f t="shared" si="3"/>
        <v>1</v>
      </c>
      <c r="R36" s="1136">
        <f t="shared" si="0"/>
        <v>4633079</v>
      </c>
      <c r="S36" s="983">
        <f t="shared" si="1"/>
        <v>5251861</v>
      </c>
      <c r="T36" s="983">
        <f t="shared" si="2"/>
        <v>5251861</v>
      </c>
      <c r="U36" s="1008">
        <f t="shared" si="4"/>
        <v>1</v>
      </c>
      <c r="V36" s="1136">
        <f>'2.a.1.óvodák'!BG38+'2.a.2.egyéb'!R36</f>
        <v>6820635</v>
      </c>
      <c r="W36" s="983">
        <f>'2.a.1.óvodák'!BH38+'2.a.2.egyéb'!S36</f>
        <v>7505012</v>
      </c>
      <c r="X36" s="983">
        <f>'2.a.1.óvodák'!BI38+'2.a.2.egyéb'!T36</f>
        <v>7505012</v>
      </c>
      <c r="Y36" s="1008">
        <f t="shared" si="5"/>
        <v>1</v>
      </c>
      <c r="Z36" s="1121"/>
      <c r="AA36" s="1131"/>
    </row>
    <row r="37" spans="1:27" s="1134" customFormat="1" ht="14.25" hidden="1" customHeight="1" x14ac:dyDescent="0.2">
      <c r="A37" s="992"/>
      <c r="B37" s="991" t="s">
        <v>839</v>
      </c>
      <c r="C37" s="1021"/>
      <c r="D37" s="1021"/>
      <c r="E37" s="988"/>
      <c r="F37" s="990"/>
      <c r="G37" s="990"/>
      <c r="H37" s="990"/>
      <c r="I37" s="988" t="e">
        <f>H37/G37</f>
        <v>#DIV/0!</v>
      </c>
      <c r="J37" s="990"/>
      <c r="K37" s="990"/>
      <c r="L37" s="990"/>
      <c r="M37" s="988" t="e">
        <f>L37/K37</f>
        <v>#DIV/0!</v>
      </c>
      <c r="N37" s="1136">
        <f>'2.a.2.1.ovik beépülő'!BG37+'2.a.2.2.egyéb beépülő'!R37</f>
        <v>0</v>
      </c>
      <c r="O37" s="983">
        <f>'2.a.2.1.ovik beépülő'!BH37+'2.a.2.2.egyéb beépülő'!S37</f>
        <v>0</v>
      </c>
      <c r="P37" s="983">
        <f>'2.a.2.1.ovik beépülő'!BI37+'2.a.2.2.egyéb beépülő'!T37</f>
        <v>0</v>
      </c>
      <c r="Q37" s="988" t="e">
        <f t="shared" si="3"/>
        <v>#DIV/0!</v>
      </c>
      <c r="R37" s="1136">
        <f t="shared" si="0"/>
        <v>0</v>
      </c>
      <c r="S37" s="983">
        <f t="shared" si="1"/>
        <v>0</v>
      </c>
      <c r="T37" s="983">
        <f t="shared" si="2"/>
        <v>0</v>
      </c>
      <c r="U37" s="988" t="e">
        <f t="shared" si="4"/>
        <v>#DIV/0!</v>
      </c>
      <c r="V37" s="1136">
        <f>'2.a.1.óvodák'!BG39+'2.a.2.egyéb'!R37</f>
        <v>0</v>
      </c>
      <c r="W37" s="983">
        <f>'2.a.1.óvodák'!BH39+'2.a.2.egyéb'!S37</f>
        <v>0</v>
      </c>
      <c r="X37" s="983">
        <f>'2.a.1.óvodák'!BI39+'2.a.2.egyéb'!T37</f>
        <v>0</v>
      </c>
      <c r="Y37" s="988" t="e">
        <f t="shared" si="5"/>
        <v>#DIV/0!</v>
      </c>
      <c r="AA37" s="1131"/>
    </row>
    <row r="38" spans="1:27" s="1134" customFormat="1" ht="14.25" hidden="1" customHeight="1" x14ac:dyDescent="0.2">
      <c r="A38" s="992"/>
      <c r="B38" s="991" t="s">
        <v>838</v>
      </c>
      <c r="C38" s="1021">
        <f>C82-C8-C12-C16-C20-C24-C28-C32-C39</f>
        <v>0</v>
      </c>
      <c r="D38" s="1021">
        <f>D82-D8-D12-D16-D20-D24-D28-D32-D39</f>
        <v>0</v>
      </c>
      <c r="E38" s="988"/>
      <c r="F38" s="1021">
        <f>F82-F8-F12-F16-F20-F24-F28-F32-F39</f>
        <v>738116</v>
      </c>
      <c r="G38" s="1021">
        <f>G82-G8-G12-G16-G20-G24-G28-G32-G39</f>
        <v>776368</v>
      </c>
      <c r="H38" s="1021">
        <f>H82-H8-H12-H16-H20-H24-H28-H32-H39</f>
        <v>776368</v>
      </c>
      <c r="I38" s="988">
        <f>H38/G38</f>
        <v>1</v>
      </c>
      <c r="J38" s="1021">
        <f>J82-J8-J12-J16-J20-J24-J28-J32-J39</f>
        <v>1023880</v>
      </c>
      <c r="K38" s="1021">
        <f>K82-K8-K12-K16-K20-K24-K28-K32-K39</f>
        <v>1046581</v>
      </c>
      <c r="L38" s="1021">
        <f>L82-L8-L12-L16-L20-L24-L28-L32-L39</f>
        <v>1046581</v>
      </c>
      <c r="M38" s="988">
        <f>L38/K38</f>
        <v>1</v>
      </c>
      <c r="N38" s="1137">
        <f>'2.a.2.1.ovik beépülő'!BG38+'2.a.2.2.egyéb beépülő'!R38</f>
        <v>2871083</v>
      </c>
      <c r="O38" s="1002">
        <f>'2.a.2.1.ovik beépülő'!BH38+'2.a.2.2.egyéb beépülő'!S38</f>
        <v>3428912</v>
      </c>
      <c r="P38" s="1002">
        <f>'2.a.2.1.ovik beépülő'!BI38+'2.a.2.2.egyéb beépülő'!T38</f>
        <v>3428912</v>
      </c>
      <c r="Q38" s="988">
        <f t="shared" si="3"/>
        <v>1</v>
      </c>
      <c r="R38" s="1137">
        <f t="shared" si="0"/>
        <v>4633079</v>
      </c>
      <c r="S38" s="1002">
        <f t="shared" si="1"/>
        <v>5251861</v>
      </c>
      <c r="T38" s="1002">
        <f t="shared" si="2"/>
        <v>5251861</v>
      </c>
      <c r="U38" s="988">
        <f t="shared" si="4"/>
        <v>1</v>
      </c>
      <c r="V38" s="1137">
        <f>'2.a.1.óvodák'!BG40+'2.a.2.egyéb'!R38</f>
        <v>6820635</v>
      </c>
      <c r="W38" s="1002">
        <f>'2.a.1.óvodák'!BH40+'2.a.2.egyéb'!S38</f>
        <v>7505012</v>
      </c>
      <c r="X38" s="1002">
        <f>'2.a.1.óvodák'!BI40+'2.a.2.egyéb'!T38</f>
        <v>7505012</v>
      </c>
      <c r="Y38" s="988">
        <f t="shared" si="5"/>
        <v>1</v>
      </c>
      <c r="AA38" s="1131"/>
    </row>
    <row r="39" spans="1:27" s="1134" customFormat="1" ht="15" hidden="1" customHeight="1" thickBot="1" x14ac:dyDescent="0.25">
      <c r="A39" s="992"/>
      <c r="B39" s="991" t="s">
        <v>837</v>
      </c>
      <c r="C39" s="990"/>
      <c r="D39" s="990"/>
      <c r="E39" s="988"/>
      <c r="F39" s="990"/>
      <c r="G39" s="990"/>
      <c r="H39" s="990"/>
      <c r="I39" s="988" t="e">
        <f>H39/G39</f>
        <v>#DIV/0!</v>
      </c>
      <c r="J39" s="990"/>
      <c r="K39" s="990"/>
      <c r="L39" s="990"/>
      <c r="M39" s="988" t="e">
        <f>L39/K39</f>
        <v>#DIV/0!</v>
      </c>
      <c r="N39" s="1136">
        <f>'2.a.2.1.ovik beépülő'!BG39+'2.a.2.2.egyéb beépülő'!R39</f>
        <v>0</v>
      </c>
      <c r="O39" s="1145">
        <f>'2.a.2.1.ovik beépülő'!BH39+'2.a.2.2.egyéb beépülő'!S39</f>
        <v>0</v>
      </c>
      <c r="P39" s="1145">
        <f>'2.a.2.1.ovik beépülő'!BI39+'2.a.2.2.egyéb beépülő'!T39</f>
        <v>0</v>
      </c>
      <c r="Q39" s="988" t="e">
        <f t="shared" si="3"/>
        <v>#DIV/0!</v>
      </c>
      <c r="R39" s="1136">
        <f t="shared" si="0"/>
        <v>0</v>
      </c>
      <c r="S39" s="1145">
        <f t="shared" si="1"/>
        <v>0</v>
      </c>
      <c r="T39" s="1145">
        <f t="shared" si="2"/>
        <v>0</v>
      </c>
      <c r="U39" s="988" t="e">
        <f t="shared" si="4"/>
        <v>#DIV/0!</v>
      </c>
      <c r="V39" s="1136">
        <f>'2.a.1.óvodák'!BG41+'2.a.2.egyéb'!R39</f>
        <v>0</v>
      </c>
      <c r="W39" s="1144">
        <f>'2.a.1.óvodák'!BH41+'2.a.2.egyéb'!S39</f>
        <v>0</v>
      </c>
      <c r="X39" s="1144">
        <f>'2.a.1.óvodák'!BI41+'2.a.2.egyéb'!T39</f>
        <v>0</v>
      </c>
      <c r="Y39" s="988" t="e">
        <f t="shared" si="5"/>
        <v>#DIV/0!</v>
      </c>
      <c r="AA39" s="1131"/>
    </row>
    <row r="40" spans="1:27" s="1143" customFormat="1" ht="17.25" customHeight="1" thickTop="1" thickBot="1" x14ac:dyDescent="0.3">
      <c r="A40" s="1019"/>
      <c r="B40" s="1018" t="s">
        <v>422</v>
      </c>
      <c r="C40" s="1017">
        <f>C8+C12+C16+C20+C24+C28+C32+C36</f>
        <v>0</v>
      </c>
      <c r="D40" s="1017">
        <f>D8+D12+D16+D20+D24+D28+D32+D36</f>
        <v>0</v>
      </c>
      <c r="E40" s="1016"/>
      <c r="F40" s="1017">
        <f>F8+F12+F16+F20+F24+F28+F32+F36</f>
        <v>738116</v>
      </c>
      <c r="G40" s="1017">
        <f>G8+G12+G16+G20+G24+G28+G32+G36</f>
        <v>776368</v>
      </c>
      <c r="H40" s="1017">
        <f>H8+H12+H16+H20+H24+H28+H32+H36</f>
        <v>776368</v>
      </c>
      <c r="I40" s="1016">
        <f>H40/G40</f>
        <v>1</v>
      </c>
      <c r="J40" s="1017">
        <f>J8+J12+J16+J20+J24+J28+J32+J36</f>
        <v>1023880</v>
      </c>
      <c r="K40" s="1017">
        <f>K8+K12+K16+K20+K24+K28+K32+K36</f>
        <v>1046581</v>
      </c>
      <c r="L40" s="1017">
        <f>L8+L12+L16+L20+L24+L28+L32+L36</f>
        <v>1046581</v>
      </c>
      <c r="M40" s="1016">
        <f>L40/K40</f>
        <v>1</v>
      </c>
      <c r="N40" s="1017">
        <f>'2.a.2.1.ovik beépülő'!BG40+'2.a.2.2.egyéb beépülő'!R40</f>
        <v>4061390</v>
      </c>
      <c r="O40" s="1017">
        <f>'2.a.2.1.ovik beépülő'!BH40+'2.a.2.2.egyéb beépülő'!S40</f>
        <v>4539891</v>
      </c>
      <c r="P40" s="1017">
        <f>'2.a.2.1.ovik beépülő'!BI40+'2.a.2.2.egyéb beépülő'!T40</f>
        <v>4539891</v>
      </c>
      <c r="Q40" s="1016">
        <f t="shared" si="3"/>
        <v>1</v>
      </c>
      <c r="R40" s="1017">
        <f t="shared" si="0"/>
        <v>5823386</v>
      </c>
      <c r="S40" s="1017">
        <f t="shared" si="1"/>
        <v>6362840</v>
      </c>
      <c r="T40" s="1017">
        <f t="shared" si="2"/>
        <v>6362840</v>
      </c>
      <c r="U40" s="1016">
        <f t="shared" si="4"/>
        <v>1</v>
      </c>
      <c r="V40" s="1017">
        <f>'2.a.1.óvodák'!BG42+'2.a.2.egyéb'!R40</f>
        <v>8010942</v>
      </c>
      <c r="W40" s="1092">
        <f>'2.a.1.óvodák'!BH42+'2.a.2.egyéb'!S40</f>
        <v>8615991</v>
      </c>
      <c r="X40" s="1092">
        <f>'2.a.1.óvodák'!BI42+'2.a.2.egyéb'!T40</f>
        <v>8615991</v>
      </c>
      <c r="Y40" s="1016">
        <f t="shared" si="5"/>
        <v>1</v>
      </c>
      <c r="Z40" s="1121"/>
      <c r="AA40" s="1131"/>
    </row>
    <row r="41" spans="1:27" s="183" customFormat="1" ht="13.5" customHeight="1" x14ac:dyDescent="0.2">
      <c r="A41" s="1015" t="s">
        <v>119</v>
      </c>
      <c r="B41" s="1014" t="s">
        <v>421</v>
      </c>
      <c r="C41" s="1013"/>
      <c r="D41" s="1013"/>
      <c r="E41" s="1011"/>
      <c r="F41" s="1013"/>
      <c r="G41" s="1013"/>
      <c r="H41" s="1013"/>
      <c r="I41" s="1141"/>
      <c r="J41" s="1013"/>
      <c r="K41" s="1013"/>
      <c r="L41" s="1013"/>
      <c r="M41" s="1141"/>
      <c r="N41" s="1136">
        <f>'2.a.2.1.ovik beépülő'!BG41+'2.a.2.2.egyéb beépülő'!R41</f>
        <v>0</v>
      </c>
      <c r="O41" s="1142">
        <f>'2.a.2.1.ovik beépülő'!BH41+'2.a.2.2.egyéb beépülő'!S41</f>
        <v>0</v>
      </c>
      <c r="P41" s="1142">
        <f>'2.a.2.1.ovik beépülő'!BI41+'2.a.2.2.egyéb beépülő'!T41</f>
        <v>0</v>
      </c>
      <c r="Q41" s="1141"/>
      <c r="R41" s="1136"/>
      <c r="S41" s="1142"/>
      <c r="T41" s="1142"/>
      <c r="U41" s="1141"/>
      <c r="V41" s="1136"/>
      <c r="W41" s="1142"/>
      <c r="X41" s="1142"/>
      <c r="Y41" s="1141"/>
      <c r="Z41" s="1121"/>
      <c r="AA41" s="1131"/>
    </row>
    <row r="42" spans="1:27" s="977" customFormat="1" ht="15" x14ac:dyDescent="0.25">
      <c r="A42" s="1010" t="s">
        <v>72</v>
      </c>
      <c r="B42" s="1000" t="s">
        <v>59</v>
      </c>
      <c r="C42" s="1009">
        <f>SUM(C43:C45)</f>
        <v>0</v>
      </c>
      <c r="D42" s="1009">
        <f>SUM(D43:D45)</f>
        <v>0</v>
      </c>
      <c r="E42" s="1008"/>
      <c r="F42" s="995">
        <f>SUM(F43:F45)</f>
        <v>624742</v>
      </c>
      <c r="G42" s="995">
        <f>SUM(G43:G45)</f>
        <v>668077</v>
      </c>
      <c r="H42" s="995">
        <f>SUM(H43:H45)</f>
        <v>668077</v>
      </c>
      <c r="I42" s="1008">
        <f t="shared" ref="I42:I53" si="6">H42/G42</f>
        <v>1</v>
      </c>
      <c r="J42" s="995">
        <f>SUM(J43:J45)</f>
        <v>858902</v>
      </c>
      <c r="K42" s="995">
        <f>SUM(K43:K45)</f>
        <v>909647</v>
      </c>
      <c r="L42" s="995">
        <f>SUM(L43:L45)</f>
        <v>909647</v>
      </c>
      <c r="M42" s="1008">
        <f t="shared" ref="M42:M53" si="7">L42/K42</f>
        <v>1</v>
      </c>
      <c r="N42" s="1136">
        <f>'2.a.2.1.ovik beépülő'!BG42+'2.a.2.2.egyéb beépülő'!R42</f>
        <v>594363</v>
      </c>
      <c r="O42" s="1139">
        <f>'2.a.2.1.ovik beépülő'!BH42+'2.a.2.2.egyéb beépülő'!S42</f>
        <v>544026</v>
      </c>
      <c r="P42" s="1139">
        <f>'2.a.2.1.ovik beépülő'!BI42+'2.a.2.2.egyéb beépülő'!T42</f>
        <v>544026</v>
      </c>
      <c r="Q42" s="1008">
        <f t="shared" ref="Q42:Q57" si="8">P42/O42</f>
        <v>1</v>
      </c>
      <c r="R42" s="1136">
        <f t="shared" ref="R42:R83" si="9">C42+F42+J42+N42</f>
        <v>2078007</v>
      </c>
      <c r="S42" s="983">
        <f t="shared" ref="S42:S83" si="10">C42+G42+K42+O42</f>
        <v>2121750</v>
      </c>
      <c r="T42" s="983">
        <f t="shared" ref="T42:T83" si="11">D42+H42+L42+P42</f>
        <v>2121750</v>
      </c>
      <c r="U42" s="1008">
        <f t="shared" ref="U42:U57" si="12">T42/S42</f>
        <v>1</v>
      </c>
      <c r="V42" s="1136">
        <f>'2.a.1.óvodák'!BG44+'2.a.2.egyéb'!R42</f>
        <v>3947547</v>
      </c>
      <c r="W42" s="983">
        <f>'2.a.1.óvodák'!BH44+'2.a.2.egyéb'!S42</f>
        <v>4078653</v>
      </c>
      <c r="X42" s="983">
        <f>'2.a.1.óvodák'!BI44+'2.a.2.egyéb'!T42</f>
        <v>4078653</v>
      </c>
      <c r="Y42" s="1008">
        <f t="shared" ref="Y42:Y57" si="13">X42/W42</f>
        <v>1</v>
      </c>
      <c r="Z42" s="1121"/>
      <c r="AA42" s="1131"/>
    </row>
    <row r="43" spans="1:27" s="1134" customFormat="1" ht="14.25" hidden="1" customHeight="1" x14ac:dyDescent="0.2">
      <c r="A43" s="992"/>
      <c r="B43" s="991" t="s">
        <v>839</v>
      </c>
      <c r="C43" s="990"/>
      <c r="D43" s="990"/>
      <c r="E43" s="988"/>
      <c r="F43" s="990"/>
      <c r="G43" s="990"/>
      <c r="H43" s="990"/>
      <c r="I43" s="988" t="e">
        <f t="shared" si="6"/>
        <v>#DIV/0!</v>
      </c>
      <c r="J43" s="990"/>
      <c r="K43" s="990"/>
      <c r="L43" s="990"/>
      <c r="M43" s="988" t="e">
        <f t="shared" si="7"/>
        <v>#DIV/0!</v>
      </c>
      <c r="N43" s="1136">
        <f>'2.a.2.1.ovik beépülő'!BG43+'2.a.2.2.egyéb beépülő'!R43</f>
        <v>0</v>
      </c>
      <c r="O43" s="1139">
        <f>'2.a.2.1.ovik beépülő'!BH43+'2.a.2.2.egyéb beépülő'!S43</f>
        <v>0</v>
      </c>
      <c r="P43" s="1139">
        <f>'2.a.2.1.ovik beépülő'!BI43+'2.a.2.2.egyéb beépülő'!T43</f>
        <v>0</v>
      </c>
      <c r="Q43" s="988" t="e">
        <f t="shared" si="8"/>
        <v>#DIV/0!</v>
      </c>
      <c r="R43" s="1136">
        <f t="shared" si="9"/>
        <v>0</v>
      </c>
      <c r="S43" s="983">
        <f t="shared" si="10"/>
        <v>0</v>
      </c>
      <c r="T43" s="983">
        <f t="shared" si="11"/>
        <v>0</v>
      </c>
      <c r="U43" s="988" t="e">
        <f t="shared" si="12"/>
        <v>#DIV/0!</v>
      </c>
      <c r="V43" s="1136">
        <f>'2.a.1.óvodák'!BG45+'2.a.2.egyéb'!R43</f>
        <v>0</v>
      </c>
      <c r="W43" s="983">
        <f>'2.a.1.óvodák'!BH45+'2.a.2.egyéb'!S43</f>
        <v>0</v>
      </c>
      <c r="X43" s="983">
        <f>'2.a.1.óvodák'!BI45+'2.a.2.egyéb'!T43</f>
        <v>0</v>
      </c>
      <c r="Y43" s="988" t="e">
        <f t="shared" si="13"/>
        <v>#DIV/0!</v>
      </c>
      <c r="Z43" s="1138">
        <v>3534627</v>
      </c>
      <c r="AA43" s="1131"/>
    </row>
    <row r="44" spans="1:27" s="1134" customFormat="1" ht="14.25" hidden="1" customHeight="1" x14ac:dyDescent="0.2">
      <c r="A44" s="992"/>
      <c r="B44" s="991" t="s">
        <v>838</v>
      </c>
      <c r="C44" s="990"/>
      <c r="D44" s="990"/>
      <c r="E44" s="988"/>
      <c r="F44" s="990">
        <v>624742</v>
      </c>
      <c r="G44" s="990">
        <v>668077</v>
      </c>
      <c r="H44" s="990">
        <v>668077</v>
      </c>
      <c r="I44" s="988">
        <f t="shared" si="6"/>
        <v>1</v>
      </c>
      <c r="J44" s="990">
        <v>858902</v>
      </c>
      <c r="K44" s="990">
        <v>909647</v>
      </c>
      <c r="L44" s="990">
        <v>909647</v>
      </c>
      <c r="M44" s="988">
        <f t="shared" si="7"/>
        <v>1</v>
      </c>
      <c r="N44" s="1137">
        <f>'2.a.2.1.ovik beépülő'!BG44+'2.a.2.2.egyéb beépülő'!R44</f>
        <v>594363</v>
      </c>
      <c r="O44" s="1140">
        <f>'2.a.2.1.ovik beépülő'!BH44+'2.a.2.2.egyéb beépülő'!S44</f>
        <v>544026</v>
      </c>
      <c r="P44" s="1140">
        <f>'2.a.2.1.ovik beépülő'!BI44+'2.a.2.2.egyéb beépülő'!T44</f>
        <v>544026</v>
      </c>
      <c r="Q44" s="988">
        <f t="shared" si="8"/>
        <v>1</v>
      </c>
      <c r="R44" s="1137">
        <f t="shared" si="9"/>
        <v>2078007</v>
      </c>
      <c r="S44" s="1002">
        <f t="shared" si="10"/>
        <v>2121750</v>
      </c>
      <c r="T44" s="1002">
        <f t="shared" si="11"/>
        <v>2121750</v>
      </c>
      <c r="U44" s="988">
        <f t="shared" si="12"/>
        <v>1</v>
      </c>
      <c r="V44" s="1137">
        <f>'2.a.1.óvodák'!BG46+'2.a.2.egyéb'!R44</f>
        <v>3947547</v>
      </c>
      <c r="W44" s="1002">
        <f>'2.a.1.óvodák'!BH46+'2.a.2.egyéb'!S44</f>
        <v>4078653</v>
      </c>
      <c r="X44" s="1002">
        <f>'2.a.1.óvodák'!BI46+'2.a.2.egyéb'!T44</f>
        <v>4078653</v>
      </c>
      <c r="Y44" s="988">
        <f t="shared" si="13"/>
        <v>1</v>
      </c>
      <c r="Z44" s="1138">
        <v>544026</v>
      </c>
      <c r="AA44" s="1131"/>
    </row>
    <row r="45" spans="1:27" s="1134" customFormat="1" ht="14.25" hidden="1" customHeight="1" x14ac:dyDescent="0.2">
      <c r="A45" s="992"/>
      <c r="B45" s="991" t="s">
        <v>837</v>
      </c>
      <c r="C45" s="990"/>
      <c r="D45" s="990"/>
      <c r="E45" s="988"/>
      <c r="F45" s="990"/>
      <c r="G45" s="990"/>
      <c r="H45" s="990"/>
      <c r="I45" s="988" t="e">
        <f t="shared" si="6"/>
        <v>#DIV/0!</v>
      </c>
      <c r="J45" s="990"/>
      <c r="K45" s="990"/>
      <c r="L45" s="990"/>
      <c r="M45" s="988" t="e">
        <f t="shared" si="7"/>
        <v>#DIV/0!</v>
      </c>
      <c r="N45" s="1136">
        <f>'2.a.2.1.ovik beépülő'!BG45+'2.a.2.2.egyéb beépülő'!R45</f>
        <v>0</v>
      </c>
      <c r="O45" s="1139">
        <f>'2.a.2.1.ovik beépülő'!BH45+'2.a.2.2.egyéb beépülő'!S45</f>
        <v>0</v>
      </c>
      <c r="P45" s="1139">
        <f>'2.a.2.1.ovik beépülő'!BI45+'2.a.2.2.egyéb beépülő'!T45</f>
        <v>0</v>
      </c>
      <c r="Q45" s="988" t="e">
        <f t="shared" si="8"/>
        <v>#DIV/0!</v>
      </c>
      <c r="R45" s="1136">
        <f t="shared" si="9"/>
        <v>0</v>
      </c>
      <c r="S45" s="983">
        <f t="shared" si="10"/>
        <v>0</v>
      </c>
      <c r="T45" s="983">
        <f t="shared" si="11"/>
        <v>0</v>
      </c>
      <c r="U45" s="988" t="e">
        <f t="shared" si="12"/>
        <v>#DIV/0!</v>
      </c>
      <c r="V45" s="1136">
        <f>'2.a.1.óvodák'!BG47+'2.a.2.egyéb'!R45</f>
        <v>0</v>
      </c>
      <c r="W45" s="983">
        <f>'2.a.1.óvodák'!BH47+'2.a.2.egyéb'!S45</f>
        <v>0</v>
      </c>
      <c r="X45" s="983">
        <f>'2.a.1.óvodák'!BI47+'2.a.2.egyéb'!T45</f>
        <v>0</v>
      </c>
      <c r="Y45" s="988" t="e">
        <f t="shared" si="13"/>
        <v>#DIV/0!</v>
      </c>
      <c r="Z45" s="1138">
        <f>SUM(Z43:Z44)</f>
        <v>4078653</v>
      </c>
      <c r="AA45" s="1131"/>
    </row>
    <row r="46" spans="1:27" s="977" customFormat="1" ht="27.75" customHeight="1" x14ac:dyDescent="0.25">
      <c r="A46" s="1010" t="s">
        <v>70</v>
      </c>
      <c r="B46" s="996" t="s">
        <v>56</v>
      </c>
      <c r="C46" s="1009">
        <f>SUM(C47:C49)</f>
        <v>0</v>
      </c>
      <c r="D46" s="1009">
        <f>SUM(D47:D49)</f>
        <v>0</v>
      </c>
      <c r="E46" s="1008"/>
      <c r="F46" s="995">
        <f>SUM(F47:F49)</f>
        <v>105299</v>
      </c>
      <c r="G46" s="995">
        <f>SUM(G47:G49)</f>
        <v>99558</v>
      </c>
      <c r="H46" s="995">
        <f>SUM(H47:H49)</f>
        <v>99558</v>
      </c>
      <c r="I46" s="1008">
        <f t="shared" si="6"/>
        <v>1</v>
      </c>
      <c r="J46" s="995">
        <f>SUM(J47:J49)</f>
        <v>164478</v>
      </c>
      <c r="K46" s="995">
        <f>SUM(K47:K49)</f>
        <v>136434</v>
      </c>
      <c r="L46" s="995">
        <f>SUM(L47:L49)</f>
        <v>136434</v>
      </c>
      <c r="M46" s="1008">
        <f t="shared" si="7"/>
        <v>1</v>
      </c>
      <c r="N46" s="1136">
        <f>'2.a.2.1.ovik beépülő'!BG46+'2.a.2.2.egyéb beépülő'!R46</f>
        <v>103628</v>
      </c>
      <c r="O46" s="983">
        <f>'2.a.2.1.ovik beépülő'!BH46+'2.a.2.2.egyéb beépülő'!S46</f>
        <v>83932</v>
      </c>
      <c r="P46" s="983">
        <f>'2.a.2.1.ovik beépülő'!BI46+'2.a.2.2.egyéb beépülő'!T46</f>
        <v>83932</v>
      </c>
      <c r="Q46" s="1008">
        <f t="shared" si="8"/>
        <v>1</v>
      </c>
      <c r="R46" s="1136">
        <f t="shared" si="9"/>
        <v>373405</v>
      </c>
      <c r="S46" s="983">
        <f t="shared" si="10"/>
        <v>319924</v>
      </c>
      <c r="T46" s="983">
        <f t="shared" si="11"/>
        <v>319924</v>
      </c>
      <c r="U46" s="1008">
        <f t="shared" si="12"/>
        <v>1</v>
      </c>
      <c r="V46" s="1136">
        <f>'2.a.1.óvodák'!BG48+'2.a.2.egyéb'!R46</f>
        <v>688951</v>
      </c>
      <c r="W46" s="983">
        <f>'2.a.1.óvodák'!BH48+'2.a.2.egyéb'!S46</f>
        <v>613912</v>
      </c>
      <c r="X46" s="983">
        <f>'2.a.1.óvodák'!BI48+'2.a.2.egyéb'!T46</f>
        <v>613912</v>
      </c>
      <c r="Y46" s="1008">
        <f t="shared" si="13"/>
        <v>1</v>
      </c>
      <c r="Z46" s="1121"/>
      <c r="AA46" s="1131"/>
    </row>
    <row r="47" spans="1:27" s="1134" customFormat="1" ht="14.25" hidden="1" customHeight="1" x14ac:dyDescent="0.2">
      <c r="A47" s="992"/>
      <c r="B47" s="991" t="s">
        <v>839</v>
      </c>
      <c r="C47" s="990"/>
      <c r="D47" s="990"/>
      <c r="E47" s="988"/>
      <c r="F47" s="990"/>
      <c r="G47" s="990"/>
      <c r="H47" s="990"/>
      <c r="I47" s="988" t="e">
        <f t="shared" si="6"/>
        <v>#DIV/0!</v>
      </c>
      <c r="J47" s="990"/>
      <c r="K47" s="990"/>
      <c r="L47" s="990"/>
      <c r="M47" s="988" t="e">
        <f t="shared" si="7"/>
        <v>#DIV/0!</v>
      </c>
      <c r="N47" s="1136">
        <f>'2.a.2.1.ovik beépülő'!BG47+'2.a.2.2.egyéb beépülő'!R47</f>
        <v>0</v>
      </c>
      <c r="O47" s="983">
        <f>'2.a.2.1.ovik beépülő'!BH47+'2.a.2.2.egyéb beépülő'!S47</f>
        <v>0</v>
      </c>
      <c r="P47" s="983">
        <f>'2.a.2.1.ovik beépülő'!BI47+'2.a.2.2.egyéb beépülő'!T47</f>
        <v>0</v>
      </c>
      <c r="Q47" s="988" t="e">
        <f t="shared" si="8"/>
        <v>#DIV/0!</v>
      </c>
      <c r="R47" s="1136">
        <f t="shared" si="9"/>
        <v>0</v>
      </c>
      <c r="S47" s="983">
        <f t="shared" si="10"/>
        <v>0</v>
      </c>
      <c r="T47" s="983">
        <f t="shared" si="11"/>
        <v>0</v>
      </c>
      <c r="U47" s="988" t="e">
        <f t="shared" si="12"/>
        <v>#DIV/0!</v>
      </c>
      <c r="V47" s="1136">
        <f>'2.a.1.óvodák'!BG49+'2.a.2.egyéb'!R47</f>
        <v>0</v>
      </c>
      <c r="W47" s="983">
        <f>'2.a.1.óvodák'!BH49+'2.a.2.egyéb'!S47</f>
        <v>0</v>
      </c>
      <c r="X47" s="983">
        <f>'2.a.1.óvodák'!BI49+'2.a.2.egyéb'!T47</f>
        <v>0</v>
      </c>
      <c r="Y47" s="988" t="e">
        <f t="shared" si="13"/>
        <v>#DIV/0!</v>
      </c>
      <c r="Z47" s="1121">
        <v>529980</v>
      </c>
      <c r="AA47" s="1131"/>
    </row>
    <row r="48" spans="1:27" s="1134" customFormat="1" ht="14.25" hidden="1" customHeight="1" x14ac:dyDescent="0.2">
      <c r="A48" s="992"/>
      <c r="B48" s="991" t="s">
        <v>838</v>
      </c>
      <c r="C48" s="990"/>
      <c r="D48" s="990"/>
      <c r="E48" s="988"/>
      <c r="F48" s="990">
        <v>105299</v>
      </c>
      <c r="G48" s="990">
        <v>99558</v>
      </c>
      <c r="H48" s="990">
        <v>99558</v>
      </c>
      <c r="I48" s="988">
        <f t="shared" si="6"/>
        <v>1</v>
      </c>
      <c r="J48" s="990">
        <v>164478</v>
      </c>
      <c r="K48" s="990">
        <v>136434</v>
      </c>
      <c r="L48" s="990">
        <v>136434</v>
      </c>
      <c r="M48" s="988">
        <f t="shared" si="7"/>
        <v>1</v>
      </c>
      <c r="N48" s="1137">
        <f>'2.a.2.1.ovik beépülő'!BG48+'2.a.2.2.egyéb beépülő'!R48</f>
        <v>103628</v>
      </c>
      <c r="O48" s="1002">
        <f>'2.a.2.1.ovik beépülő'!BH48+'2.a.2.2.egyéb beépülő'!S48</f>
        <v>83932</v>
      </c>
      <c r="P48" s="1002">
        <f>'2.a.2.1.ovik beépülő'!BI48+'2.a.2.2.egyéb beépülő'!T48</f>
        <v>83932</v>
      </c>
      <c r="Q48" s="988">
        <f t="shared" si="8"/>
        <v>1</v>
      </c>
      <c r="R48" s="1137">
        <f t="shared" si="9"/>
        <v>373405</v>
      </c>
      <c r="S48" s="1002">
        <f t="shared" si="10"/>
        <v>319924</v>
      </c>
      <c r="T48" s="1002">
        <f t="shared" si="11"/>
        <v>319924</v>
      </c>
      <c r="U48" s="988">
        <f t="shared" si="12"/>
        <v>1</v>
      </c>
      <c r="V48" s="1137">
        <f>'2.a.1.óvodák'!BG50+'2.a.2.egyéb'!R48</f>
        <v>688951</v>
      </c>
      <c r="W48" s="1002">
        <f>'2.a.1.óvodák'!BH50+'2.a.2.egyéb'!S48</f>
        <v>613912</v>
      </c>
      <c r="X48" s="1002">
        <f>'2.a.1.óvodák'!BI50+'2.a.2.egyéb'!T48</f>
        <v>613912</v>
      </c>
      <c r="Y48" s="988">
        <f t="shared" si="13"/>
        <v>1</v>
      </c>
      <c r="Z48" s="1121">
        <v>83932</v>
      </c>
      <c r="AA48" s="1131"/>
    </row>
    <row r="49" spans="1:27" s="1134" customFormat="1" ht="14.25" hidden="1" customHeight="1" x14ac:dyDescent="0.2">
      <c r="A49" s="992"/>
      <c r="B49" s="991" t="s">
        <v>837</v>
      </c>
      <c r="C49" s="990"/>
      <c r="D49" s="990"/>
      <c r="E49" s="988"/>
      <c r="F49" s="990"/>
      <c r="G49" s="990"/>
      <c r="H49" s="990"/>
      <c r="I49" s="988" t="e">
        <f t="shared" si="6"/>
        <v>#DIV/0!</v>
      </c>
      <c r="J49" s="990"/>
      <c r="K49" s="990"/>
      <c r="L49" s="990"/>
      <c r="M49" s="988" t="e">
        <f t="shared" si="7"/>
        <v>#DIV/0!</v>
      </c>
      <c r="N49" s="1136">
        <f>'2.a.2.1.ovik beépülő'!BG49+'2.a.2.2.egyéb beépülő'!R49</f>
        <v>0</v>
      </c>
      <c r="O49" s="983">
        <f>'2.a.2.1.ovik beépülő'!BH49+'2.a.2.2.egyéb beépülő'!S49</f>
        <v>0</v>
      </c>
      <c r="P49" s="983">
        <f>'2.a.2.1.ovik beépülő'!BI49+'2.a.2.2.egyéb beépülő'!T49</f>
        <v>0</v>
      </c>
      <c r="Q49" s="988" t="e">
        <f t="shared" si="8"/>
        <v>#DIV/0!</v>
      </c>
      <c r="R49" s="1136">
        <f t="shared" si="9"/>
        <v>0</v>
      </c>
      <c r="S49" s="983">
        <f t="shared" si="10"/>
        <v>0</v>
      </c>
      <c r="T49" s="983">
        <f t="shared" si="11"/>
        <v>0</v>
      </c>
      <c r="U49" s="988" t="e">
        <f t="shared" si="12"/>
        <v>#DIV/0!</v>
      </c>
      <c r="V49" s="1136">
        <f>'2.a.1.óvodák'!BG51+'2.a.2.egyéb'!R49</f>
        <v>0</v>
      </c>
      <c r="W49" s="983">
        <f>'2.a.1.óvodák'!BH51+'2.a.2.egyéb'!S49</f>
        <v>0</v>
      </c>
      <c r="X49" s="983">
        <f>'2.a.1.óvodák'!BI51+'2.a.2.egyéb'!T49</f>
        <v>0</v>
      </c>
      <c r="Y49" s="988" t="e">
        <f t="shared" si="13"/>
        <v>#DIV/0!</v>
      </c>
      <c r="Z49" s="1121">
        <f>SUM(Z47:Z48)</f>
        <v>613912</v>
      </c>
      <c r="AA49" s="1131"/>
    </row>
    <row r="50" spans="1:27" s="977" customFormat="1" ht="15" x14ac:dyDescent="0.25">
      <c r="A50" s="1010" t="s">
        <v>91</v>
      </c>
      <c r="B50" s="996" t="s">
        <v>53</v>
      </c>
      <c r="C50" s="1009">
        <f>SUM(C51:C53)</f>
        <v>0</v>
      </c>
      <c r="D50" s="1009">
        <f>SUM(D51:D53)</f>
        <v>0</v>
      </c>
      <c r="E50" s="1008"/>
      <c r="F50" s="995">
        <f>SUM(F51:F53)</f>
        <v>8075</v>
      </c>
      <c r="G50" s="995">
        <f>SUM(G51:G53)+5258</f>
        <v>8733</v>
      </c>
      <c r="H50" s="995">
        <f>SUM(H51:H53)+5258</f>
        <v>8733</v>
      </c>
      <c r="I50" s="1008">
        <f t="shared" si="6"/>
        <v>1</v>
      </c>
      <c r="J50" s="995">
        <f>SUM(J51:J53)</f>
        <v>500</v>
      </c>
      <c r="K50" s="995">
        <f>SUM(K51:K53)</f>
        <v>500</v>
      </c>
      <c r="L50" s="995">
        <f>SUM(L51:L53)</f>
        <v>500</v>
      </c>
      <c r="M50" s="1008">
        <f t="shared" si="7"/>
        <v>1</v>
      </c>
      <c r="N50" s="1136">
        <f>'2.a.2.1.ovik beépülő'!BG50+'2.a.2.2.egyéb beépülő'!R50</f>
        <v>3092181</v>
      </c>
      <c r="O50" s="983">
        <f>'2.a.2.1.ovik beépülő'!BH50+'2.a.2.2.egyéb beépülő'!S50</f>
        <v>3695520</v>
      </c>
      <c r="P50" s="983">
        <f>'2.a.2.1.ovik beépülő'!BI50+'2.a.2.2.egyéb beépülő'!T50</f>
        <v>3695520</v>
      </c>
      <c r="Q50" s="1008">
        <f t="shared" si="8"/>
        <v>1</v>
      </c>
      <c r="R50" s="1136">
        <f t="shared" si="9"/>
        <v>3100756</v>
      </c>
      <c r="S50" s="983">
        <f t="shared" si="10"/>
        <v>3704753</v>
      </c>
      <c r="T50" s="983">
        <f t="shared" si="11"/>
        <v>3704753</v>
      </c>
      <c r="U50" s="1008">
        <f t="shared" si="12"/>
        <v>1</v>
      </c>
      <c r="V50" s="1136">
        <f>'2.a.1.óvodák'!BG52+'2.a.2.egyéb'!R50</f>
        <v>3103226</v>
      </c>
      <c r="W50" s="983">
        <f>'2.a.1.óvodák'!BH52+'2.a.2.egyéb'!S50</f>
        <v>3707013</v>
      </c>
      <c r="X50" s="983">
        <f>'2.a.1.óvodák'!BI52+'2.a.2.egyéb'!T50</f>
        <v>3707013</v>
      </c>
      <c r="Y50" s="1008">
        <f t="shared" si="13"/>
        <v>1</v>
      </c>
      <c r="Z50" s="1121"/>
      <c r="AA50" s="1131"/>
    </row>
    <row r="51" spans="1:27" s="1134" customFormat="1" ht="14.25" hidden="1" customHeight="1" x14ac:dyDescent="0.2">
      <c r="A51" s="992"/>
      <c r="B51" s="991" t="s">
        <v>839</v>
      </c>
      <c r="C51" s="990"/>
      <c r="D51" s="990"/>
      <c r="E51" s="988"/>
      <c r="F51" s="990"/>
      <c r="G51" s="990"/>
      <c r="H51" s="990"/>
      <c r="I51" s="988" t="e">
        <f t="shared" si="6"/>
        <v>#DIV/0!</v>
      </c>
      <c r="J51" s="990"/>
      <c r="K51" s="990"/>
      <c r="L51" s="990"/>
      <c r="M51" s="988" t="e">
        <f t="shared" si="7"/>
        <v>#DIV/0!</v>
      </c>
      <c r="N51" s="1136">
        <f>'2.a.2.1.ovik beépülő'!BG51+'2.a.2.2.egyéb beépülő'!R51</f>
        <v>0</v>
      </c>
      <c r="O51" s="983">
        <f>'2.a.2.1.ovik beépülő'!BH51+'2.a.2.2.egyéb beépülő'!S51</f>
        <v>0</v>
      </c>
      <c r="P51" s="983">
        <f>'2.a.2.1.ovik beépülő'!BI51+'2.a.2.2.egyéb beépülő'!T51</f>
        <v>0</v>
      </c>
      <c r="Q51" s="988" t="e">
        <f t="shared" si="8"/>
        <v>#DIV/0!</v>
      </c>
      <c r="R51" s="1136">
        <f t="shared" si="9"/>
        <v>0</v>
      </c>
      <c r="S51" s="983">
        <f t="shared" si="10"/>
        <v>0</v>
      </c>
      <c r="T51" s="983">
        <f t="shared" si="11"/>
        <v>0</v>
      </c>
      <c r="U51" s="988" t="e">
        <f t="shared" si="12"/>
        <v>#DIV/0!</v>
      </c>
      <c r="V51" s="1136">
        <f>'2.a.1.óvodák'!BG53+'2.a.2.egyéb'!R51</f>
        <v>0</v>
      </c>
      <c r="W51" s="983">
        <f>'2.a.1.óvodák'!BH53+'2.a.2.egyéb'!S51</f>
        <v>0</v>
      </c>
      <c r="X51" s="983">
        <f>'2.a.1.óvodák'!BI53+'2.a.2.egyéb'!T51</f>
        <v>0</v>
      </c>
      <c r="Y51" s="988" t="e">
        <f t="shared" si="13"/>
        <v>#DIV/0!</v>
      </c>
      <c r="Z51" s="1121">
        <v>6235</v>
      </c>
      <c r="AA51" s="1131"/>
    </row>
    <row r="52" spans="1:27" s="1134" customFormat="1" ht="14.25" hidden="1" customHeight="1" x14ac:dyDescent="0.2">
      <c r="A52" s="992"/>
      <c r="B52" s="991" t="s">
        <v>838</v>
      </c>
      <c r="C52" s="990"/>
      <c r="D52" s="990"/>
      <c r="E52" s="988"/>
      <c r="F52" s="990">
        <v>8075</v>
      </c>
      <c r="G52" s="990">
        <v>3475</v>
      </c>
      <c r="H52" s="990">
        <v>3475</v>
      </c>
      <c r="I52" s="988">
        <f t="shared" si="6"/>
        <v>1</v>
      </c>
      <c r="J52" s="990">
        <v>500</v>
      </c>
      <c r="K52" s="990">
        <v>500</v>
      </c>
      <c r="L52" s="990">
        <v>500</v>
      </c>
      <c r="M52" s="988">
        <f t="shared" si="7"/>
        <v>1</v>
      </c>
      <c r="N52" s="1137">
        <f>'2.a.2.1.ovik beépülő'!BG52+'2.a.2.2.egyéb beépülő'!R52</f>
        <v>3092181</v>
      </c>
      <c r="O52" s="1002">
        <f>'2.a.2.1.ovik beépülő'!BH52+'2.a.2.2.egyéb beépülő'!S52</f>
        <v>3230937</v>
      </c>
      <c r="P52" s="1002">
        <f>'2.a.2.1.ovik beépülő'!BI52+'2.a.2.2.egyéb beépülő'!T52</f>
        <v>3230937</v>
      </c>
      <c r="Q52" s="988">
        <f t="shared" si="8"/>
        <v>1</v>
      </c>
      <c r="R52" s="1137">
        <f t="shared" si="9"/>
        <v>3100756</v>
      </c>
      <c r="S52" s="1002">
        <f t="shared" si="10"/>
        <v>3234912</v>
      </c>
      <c r="T52" s="1002">
        <f t="shared" si="11"/>
        <v>3234912</v>
      </c>
      <c r="U52" s="988">
        <f t="shared" si="12"/>
        <v>1</v>
      </c>
      <c r="V52" s="1137">
        <f>'2.a.1.óvodák'!BG54+'2.a.2.egyéb'!R52</f>
        <v>3103226</v>
      </c>
      <c r="W52" s="1002">
        <f>'2.a.1.óvodák'!BH54+'2.a.2.egyéb'!S52</f>
        <v>3237172</v>
      </c>
      <c r="X52" s="1002">
        <f>'2.a.1.óvodák'!BI54+'2.a.2.egyéb'!T52</f>
        <v>3237172</v>
      </c>
      <c r="Y52" s="988">
        <f t="shared" si="13"/>
        <v>1</v>
      </c>
      <c r="Z52" s="1121">
        <f>SUM(Z50:Z51)</f>
        <v>6235</v>
      </c>
      <c r="AA52" s="1131"/>
    </row>
    <row r="53" spans="1:27" s="1134" customFormat="1" ht="14.25" hidden="1" customHeight="1" x14ac:dyDescent="0.2">
      <c r="A53" s="992"/>
      <c r="B53" s="991" t="s">
        <v>837</v>
      </c>
      <c r="C53" s="990"/>
      <c r="D53" s="990"/>
      <c r="E53" s="988"/>
      <c r="F53" s="990"/>
      <c r="G53" s="990"/>
      <c r="H53" s="990"/>
      <c r="I53" s="988" t="e">
        <f t="shared" si="6"/>
        <v>#DIV/0!</v>
      </c>
      <c r="J53" s="990"/>
      <c r="K53" s="990"/>
      <c r="L53" s="990"/>
      <c r="M53" s="988" t="e">
        <f t="shared" si="7"/>
        <v>#DIV/0!</v>
      </c>
      <c r="N53" s="1136">
        <f>'2.a.2.1.ovik beépülő'!BG53+'2.a.2.2.egyéb beépülő'!R53</f>
        <v>0</v>
      </c>
      <c r="O53" s="983">
        <f>'2.a.2.1.ovik beépülő'!BH53+'2.a.2.2.egyéb beépülő'!S53</f>
        <v>0</v>
      </c>
      <c r="P53" s="983">
        <f>'2.a.2.1.ovik beépülő'!BI53+'2.a.2.2.egyéb beépülő'!T53</f>
        <v>0</v>
      </c>
      <c r="Q53" s="988" t="e">
        <f t="shared" si="8"/>
        <v>#DIV/0!</v>
      </c>
      <c r="R53" s="1136">
        <f t="shared" si="9"/>
        <v>0</v>
      </c>
      <c r="S53" s="983">
        <f t="shared" si="10"/>
        <v>0</v>
      </c>
      <c r="T53" s="983">
        <f t="shared" si="11"/>
        <v>0</v>
      </c>
      <c r="U53" s="988" t="e">
        <f t="shared" si="12"/>
        <v>#DIV/0!</v>
      </c>
      <c r="V53" s="1136">
        <f>'2.a.1.óvodák'!BG55+'2.a.2.egyéb'!R53</f>
        <v>0</v>
      </c>
      <c r="W53" s="983">
        <f>'2.a.1.óvodák'!BH55+'2.a.2.egyéb'!S53</f>
        <v>0</v>
      </c>
      <c r="X53" s="983">
        <f>'2.a.1.óvodák'!BI55+'2.a.2.egyéb'!T53</f>
        <v>0</v>
      </c>
      <c r="Y53" s="988" t="e">
        <f t="shared" si="13"/>
        <v>#DIV/0!</v>
      </c>
      <c r="Z53" s="1121"/>
      <c r="AA53" s="1131"/>
    </row>
    <row r="54" spans="1:27" s="977" customFormat="1" ht="15" x14ac:dyDescent="0.25">
      <c r="A54" s="1010" t="s">
        <v>66</v>
      </c>
      <c r="B54" s="996" t="s">
        <v>50</v>
      </c>
      <c r="C54" s="1009"/>
      <c r="D54" s="1009"/>
      <c r="E54" s="994"/>
      <c r="F54" s="1009"/>
      <c r="G54" s="1009"/>
      <c r="H54" s="1009"/>
      <c r="I54" s="994"/>
      <c r="J54" s="1009"/>
      <c r="K54" s="1009"/>
      <c r="L54" s="1009"/>
      <c r="M54" s="994"/>
      <c r="N54" s="1136">
        <f>'2.a.2.1.ovik beépülő'!BG54+'2.a.2.2.egyéb beépülő'!R54</f>
        <v>900</v>
      </c>
      <c r="O54" s="983">
        <f>'2.a.2.1.ovik beépülő'!BH54+'2.a.2.2.egyéb beépülő'!S54</f>
        <v>900</v>
      </c>
      <c r="P54" s="983">
        <f>'2.a.2.1.ovik beépülő'!BI54+'2.a.2.2.egyéb beépülő'!T54</f>
        <v>900</v>
      </c>
      <c r="Q54" s="994">
        <f t="shared" si="8"/>
        <v>1</v>
      </c>
      <c r="R54" s="1136">
        <f t="shared" si="9"/>
        <v>900</v>
      </c>
      <c r="S54" s="983">
        <f t="shared" si="10"/>
        <v>900</v>
      </c>
      <c r="T54" s="983">
        <f t="shared" si="11"/>
        <v>900</v>
      </c>
      <c r="U54" s="994">
        <f t="shared" si="12"/>
        <v>1</v>
      </c>
      <c r="V54" s="1136">
        <f>'2.a.1.óvodák'!BG56+'2.a.2.egyéb'!R54</f>
        <v>900</v>
      </c>
      <c r="W54" s="983">
        <f>'2.a.1.óvodák'!BH56+'2.a.2.egyéb'!S54</f>
        <v>900</v>
      </c>
      <c r="X54" s="983">
        <f>'2.a.1.óvodák'!BI56+'2.a.2.egyéb'!T54</f>
        <v>900</v>
      </c>
      <c r="Y54" s="994">
        <f t="shared" si="13"/>
        <v>1</v>
      </c>
      <c r="Z54" s="1121"/>
      <c r="AA54" s="1131"/>
    </row>
    <row r="55" spans="1:27" s="1134" customFormat="1" ht="14.25" hidden="1" customHeight="1" x14ac:dyDescent="0.2">
      <c r="A55" s="992"/>
      <c r="B55" s="991" t="s">
        <v>839</v>
      </c>
      <c r="C55" s="990"/>
      <c r="D55" s="990"/>
      <c r="E55" s="988"/>
      <c r="F55" s="990"/>
      <c r="G55" s="990"/>
      <c r="H55" s="990"/>
      <c r="I55" s="988"/>
      <c r="J55" s="990"/>
      <c r="K55" s="990"/>
      <c r="L55" s="990"/>
      <c r="M55" s="988"/>
      <c r="N55" s="1136">
        <f>'2.a.2.1.ovik beépülő'!BG55+'2.a.2.2.egyéb beépülő'!R55</f>
        <v>0</v>
      </c>
      <c r="O55" s="983">
        <f>'2.a.2.1.ovik beépülő'!BH55+'2.a.2.2.egyéb beépülő'!S55</f>
        <v>0</v>
      </c>
      <c r="P55" s="983">
        <f>'2.a.2.1.ovik beépülő'!BI55+'2.a.2.2.egyéb beépülő'!T55</f>
        <v>0</v>
      </c>
      <c r="Q55" s="988" t="e">
        <f t="shared" si="8"/>
        <v>#DIV/0!</v>
      </c>
      <c r="R55" s="1136">
        <f t="shared" si="9"/>
        <v>0</v>
      </c>
      <c r="S55" s="983">
        <f t="shared" si="10"/>
        <v>0</v>
      </c>
      <c r="T55" s="983">
        <f t="shared" si="11"/>
        <v>0</v>
      </c>
      <c r="U55" s="988" t="e">
        <f t="shared" si="12"/>
        <v>#DIV/0!</v>
      </c>
      <c r="V55" s="1136">
        <f>'2.a.1.óvodák'!BG57+'2.a.2.egyéb'!R55</f>
        <v>0</v>
      </c>
      <c r="W55" s="983">
        <f>'2.a.1.óvodák'!BH57+'2.a.2.egyéb'!S55</f>
        <v>0</v>
      </c>
      <c r="X55" s="983">
        <f>'2.a.1.óvodák'!BI57+'2.a.2.egyéb'!T55</f>
        <v>0</v>
      </c>
      <c r="Y55" s="988" t="e">
        <f t="shared" si="13"/>
        <v>#DIV/0!</v>
      </c>
      <c r="Z55" s="1121"/>
      <c r="AA55" s="1131"/>
    </row>
    <row r="56" spans="1:27" s="1134" customFormat="1" ht="14.25" hidden="1" customHeight="1" x14ac:dyDescent="0.2">
      <c r="A56" s="992"/>
      <c r="B56" s="991" t="s">
        <v>838</v>
      </c>
      <c r="C56" s="990"/>
      <c r="D56" s="990"/>
      <c r="E56" s="988"/>
      <c r="F56" s="990"/>
      <c r="G56" s="990"/>
      <c r="H56" s="990"/>
      <c r="I56" s="988"/>
      <c r="J56" s="990"/>
      <c r="K56" s="990"/>
      <c r="L56" s="990"/>
      <c r="M56" s="988"/>
      <c r="N56" s="1137">
        <f>'2.a.2.1.ovik beépülő'!BG56+'2.a.2.2.egyéb beépülő'!R56</f>
        <v>900</v>
      </c>
      <c r="O56" s="1002">
        <f>'2.a.2.1.ovik beépülő'!BH56+'2.a.2.2.egyéb beépülő'!S56</f>
        <v>900</v>
      </c>
      <c r="P56" s="1002">
        <f>'2.a.2.1.ovik beépülő'!BI56+'2.a.2.2.egyéb beépülő'!T56</f>
        <v>900</v>
      </c>
      <c r="Q56" s="988">
        <f t="shared" si="8"/>
        <v>1</v>
      </c>
      <c r="R56" s="1137">
        <f t="shared" si="9"/>
        <v>900</v>
      </c>
      <c r="S56" s="1002">
        <f t="shared" si="10"/>
        <v>900</v>
      </c>
      <c r="T56" s="1002">
        <f t="shared" si="11"/>
        <v>900</v>
      </c>
      <c r="U56" s="988">
        <f t="shared" si="12"/>
        <v>1</v>
      </c>
      <c r="V56" s="1137">
        <f>'2.a.1.óvodák'!BG58+'2.a.2.egyéb'!R56</f>
        <v>900</v>
      </c>
      <c r="W56" s="1002">
        <f>'2.a.1.óvodák'!BH58+'2.a.2.egyéb'!S56</f>
        <v>900</v>
      </c>
      <c r="X56" s="1002">
        <f>'2.a.1.óvodák'!BI58+'2.a.2.egyéb'!T56</f>
        <v>900</v>
      </c>
      <c r="Y56" s="988">
        <f t="shared" si="13"/>
        <v>1</v>
      </c>
      <c r="Z56" s="1121"/>
      <c r="AA56" s="1131"/>
    </row>
    <row r="57" spans="1:27" s="1134" customFormat="1" ht="14.25" hidden="1" customHeight="1" x14ac:dyDescent="0.2">
      <c r="A57" s="992"/>
      <c r="B57" s="991" t="s">
        <v>837</v>
      </c>
      <c r="C57" s="990"/>
      <c r="D57" s="990"/>
      <c r="E57" s="988"/>
      <c r="F57" s="990"/>
      <c r="G57" s="990"/>
      <c r="H57" s="990"/>
      <c r="I57" s="988"/>
      <c r="J57" s="990"/>
      <c r="K57" s="990"/>
      <c r="L57" s="990"/>
      <c r="M57" s="988"/>
      <c r="N57" s="1136">
        <f>'2.a.2.1.ovik beépülő'!BG57+'2.a.2.2.egyéb beépülő'!R57</f>
        <v>0</v>
      </c>
      <c r="O57" s="983">
        <f>'2.a.2.1.ovik beépülő'!BH57+'2.a.2.2.egyéb beépülő'!S57</f>
        <v>0</v>
      </c>
      <c r="P57" s="983">
        <f>'2.a.2.1.ovik beépülő'!BI57+'2.a.2.2.egyéb beépülő'!T57</f>
        <v>0</v>
      </c>
      <c r="Q57" s="988" t="e">
        <f t="shared" si="8"/>
        <v>#DIV/0!</v>
      </c>
      <c r="R57" s="1136">
        <f t="shared" si="9"/>
        <v>0</v>
      </c>
      <c r="S57" s="983">
        <f t="shared" si="10"/>
        <v>0</v>
      </c>
      <c r="T57" s="983">
        <f t="shared" si="11"/>
        <v>0</v>
      </c>
      <c r="U57" s="988" t="e">
        <f t="shared" si="12"/>
        <v>#DIV/0!</v>
      </c>
      <c r="V57" s="1136">
        <f>'2.a.1.óvodák'!BG59+'2.a.2.egyéb'!R57</f>
        <v>0</v>
      </c>
      <c r="W57" s="983">
        <f>'2.a.1.óvodák'!BH59+'2.a.2.egyéb'!S57</f>
        <v>0</v>
      </c>
      <c r="X57" s="983">
        <f>'2.a.1.óvodák'!BI59+'2.a.2.egyéb'!T57</f>
        <v>0</v>
      </c>
      <c r="Y57" s="988" t="e">
        <f t="shared" si="13"/>
        <v>#DIV/0!</v>
      </c>
      <c r="Z57" s="1121"/>
      <c r="AA57" s="1131"/>
    </row>
    <row r="58" spans="1:27" s="977" customFormat="1" ht="15" x14ac:dyDescent="0.25">
      <c r="A58" s="1001" t="s">
        <v>200</v>
      </c>
      <c r="B58" s="996" t="s">
        <v>47</v>
      </c>
      <c r="C58" s="1009">
        <f>SUM(C59:C61)</f>
        <v>0</v>
      </c>
      <c r="D58" s="1009">
        <f>SUM(D59:D61)</f>
        <v>0</v>
      </c>
      <c r="E58" s="994"/>
      <c r="F58" s="1009"/>
      <c r="G58" s="1009"/>
      <c r="H58" s="1009"/>
      <c r="I58" s="994"/>
      <c r="J58" s="1009"/>
      <c r="K58" s="1009"/>
      <c r="L58" s="1009"/>
      <c r="M58" s="994"/>
      <c r="N58" s="1136">
        <f>'2.a.2.1.ovik beépülő'!BG58+'2.a.2.2.egyéb beépülő'!R58</f>
        <v>0</v>
      </c>
      <c r="O58" s="983">
        <f>'2.a.2.1.ovik beépülő'!BH58+'2.a.2.2.egyéb beépülő'!S58</f>
        <v>0</v>
      </c>
      <c r="P58" s="983">
        <f>'2.a.2.1.ovik beépülő'!BI58+'2.a.2.2.egyéb beépülő'!T58</f>
        <v>0</v>
      </c>
      <c r="Q58" s="994"/>
      <c r="R58" s="1136">
        <f t="shared" si="9"/>
        <v>0</v>
      </c>
      <c r="S58" s="983">
        <f t="shared" si="10"/>
        <v>0</v>
      </c>
      <c r="T58" s="983">
        <f t="shared" si="11"/>
        <v>0</v>
      </c>
      <c r="U58" s="994"/>
      <c r="V58" s="1136">
        <f>'2.a.1.óvodák'!BG60+'2.a.2.egyéb'!R58</f>
        <v>0</v>
      </c>
      <c r="W58" s="983">
        <f>'2.a.1.óvodák'!BH60+'2.a.2.egyéb'!S58</f>
        <v>0</v>
      </c>
      <c r="X58" s="983">
        <f>'2.a.1.óvodák'!BI60+'2.a.2.egyéb'!T58</f>
        <v>0</v>
      </c>
      <c r="Y58" s="994"/>
      <c r="Z58" s="1121"/>
      <c r="AA58" s="1131"/>
    </row>
    <row r="59" spans="1:27" s="1134" customFormat="1" ht="14.25" hidden="1" customHeight="1" x14ac:dyDescent="0.2">
      <c r="A59" s="987"/>
      <c r="B59" s="991" t="s">
        <v>839</v>
      </c>
      <c r="C59" s="990"/>
      <c r="D59" s="990"/>
      <c r="E59" s="988"/>
      <c r="F59" s="990"/>
      <c r="G59" s="990"/>
      <c r="H59" s="990"/>
      <c r="I59" s="988"/>
      <c r="J59" s="990"/>
      <c r="K59" s="990"/>
      <c r="L59" s="990"/>
      <c r="M59" s="988"/>
      <c r="N59" s="1136">
        <f>'2.a.2.1.ovik beépülő'!BG59+'2.a.2.2.egyéb beépülő'!R59</f>
        <v>0</v>
      </c>
      <c r="O59" s="983">
        <f>'2.a.2.1.ovik beépülő'!BH59+'2.a.2.2.egyéb beépülő'!S59</f>
        <v>0</v>
      </c>
      <c r="P59" s="983">
        <f>'2.a.2.1.ovik beépülő'!BI59+'2.a.2.2.egyéb beépülő'!T59</f>
        <v>0</v>
      </c>
      <c r="Q59" s="988"/>
      <c r="R59" s="1136">
        <f t="shared" si="9"/>
        <v>0</v>
      </c>
      <c r="S59" s="983">
        <f t="shared" si="10"/>
        <v>0</v>
      </c>
      <c r="T59" s="983">
        <f t="shared" si="11"/>
        <v>0</v>
      </c>
      <c r="U59" s="988"/>
      <c r="V59" s="1136">
        <f>'2.a.1.óvodák'!BG61+'2.a.2.egyéb'!R59</f>
        <v>0</v>
      </c>
      <c r="W59" s="983">
        <f>'2.a.1.óvodák'!BH61+'2.a.2.egyéb'!S59</f>
        <v>0</v>
      </c>
      <c r="X59" s="983">
        <f>'2.a.1.óvodák'!BI61+'2.a.2.egyéb'!T59</f>
        <v>0</v>
      </c>
      <c r="Y59" s="988"/>
      <c r="Z59" s="1121"/>
      <c r="AA59" s="1131"/>
    </row>
    <row r="60" spans="1:27" s="1134" customFormat="1" ht="14.25" hidden="1" customHeight="1" x14ac:dyDescent="0.2">
      <c r="A60" s="987"/>
      <c r="B60" s="991" t="s">
        <v>838</v>
      </c>
      <c r="C60" s="990"/>
      <c r="D60" s="990"/>
      <c r="E60" s="988"/>
      <c r="F60" s="990"/>
      <c r="G60" s="990"/>
      <c r="H60" s="990"/>
      <c r="I60" s="988"/>
      <c r="J60" s="990"/>
      <c r="K60" s="990"/>
      <c r="L60" s="990"/>
      <c r="M60" s="988"/>
      <c r="N60" s="1137">
        <f>'2.a.2.1.ovik beépülő'!BG60+'2.a.2.2.egyéb beépülő'!R60</f>
        <v>0</v>
      </c>
      <c r="O60" s="1002">
        <f>'2.a.2.1.ovik beépülő'!BH60+'2.a.2.2.egyéb beépülő'!S60</f>
        <v>0</v>
      </c>
      <c r="P60" s="1002">
        <f>'2.a.2.1.ovik beépülő'!BI60+'2.a.2.2.egyéb beépülő'!T60</f>
        <v>0</v>
      </c>
      <c r="Q60" s="988"/>
      <c r="R60" s="1137">
        <f t="shared" si="9"/>
        <v>0</v>
      </c>
      <c r="S60" s="1002">
        <f t="shared" si="10"/>
        <v>0</v>
      </c>
      <c r="T60" s="1002">
        <f t="shared" si="11"/>
        <v>0</v>
      </c>
      <c r="U60" s="988"/>
      <c r="V60" s="1137">
        <f>'2.a.1.óvodák'!BG62+'2.a.2.egyéb'!R60</f>
        <v>0</v>
      </c>
      <c r="W60" s="1002">
        <f>'2.a.1.óvodák'!BH62+'2.a.2.egyéb'!S60</f>
        <v>0</v>
      </c>
      <c r="X60" s="1002">
        <f>'2.a.1.óvodák'!BI62+'2.a.2.egyéb'!T60</f>
        <v>0</v>
      </c>
      <c r="Y60" s="988"/>
      <c r="Z60" s="1121"/>
      <c r="AA60" s="1131"/>
    </row>
    <row r="61" spans="1:27" s="1134" customFormat="1" ht="14.25" hidden="1" customHeight="1" x14ac:dyDescent="0.2">
      <c r="A61" s="987"/>
      <c r="B61" s="991" t="s">
        <v>837</v>
      </c>
      <c r="C61" s="990"/>
      <c r="D61" s="990"/>
      <c r="E61" s="988"/>
      <c r="F61" s="990"/>
      <c r="G61" s="990"/>
      <c r="H61" s="990"/>
      <c r="I61" s="988"/>
      <c r="J61" s="990"/>
      <c r="K61" s="990"/>
      <c r="L61" s="990"/>
      <c r="M61" s="988"/>
      <c r="N61" s="1136">
        <f>'2.a.2.1.ovik beépülő'!BG61+'2.a.2.2.egyéb beépülő'!R61</f>
        <v>0</v>
      </c>
      <c r="O61" s="983">
        <f>'2.a.2.1.ovik beépülő'!BH61+'2.a.2.2.egyéb beépülő'!S61</f>
        <v>0</v>
      </c>
      <c r="P61" s="983">
        <f>'2.a.2.1.ovik beépülő'!BI61+'2.a.2.2.egyéb beépülő'!T61</f>
        <v>0</v>
      </c>
      <c r="Q61" s="988"/>
      <c r="R61" s="1136">
        <f t="shared" si="9"/>
        <v>0</v>
      </c>
      <c r="S61" s="983">
        <f t="shared" si="10"/>
        <v>0</v>
      </c>
      <c r="T61" s="983">
        <f t="shared" si="11"/>
        <v>0</v>
      </c>
      <c r="U61" s="988"/>
      <c r="V61" s="1136">
        <f>'2.a.1.óvodák'!BG63+'2.a.2.egyéb'!R61</f>
        <v>0</v>
      </c>
      <c r="W61" s="983">
        <f>'2.a.1.óvodák'!BH63+'2.a.2.egyéb'!S61</f>
        <v>0</v>
      </c>
      <c r="X61" s="983">
        <f>'2.a.1.óvodák'!BI63+'2.a.2.egyéb'!T61</f>
        <v>0</v>
      </c>
      <c r="Y61" s="988"/>
      <c r="Z61" s="1121"/>
      <c r="AA61" s="1131"/>
    </row>
    <row r="62" spans="1:27" s="977" customFormat="1" ht="15" x14ac:dyDescent="0.25">
      <c r="A62" s="1006" t="s">
        <v>420</v>
      </c>
      <c r="B62" s="996" t="s">
        <v>35</v>
      </c>
      <c r="C62" s="995"/>
      <c r="D62" s="995"/>
      <c r="E62" s="994"/>
      <c r="F62" s="995"/>
      <c r="G62" s="995"/>
      <c r="H62" s="995"/>
      <c r="I62" s="994"/>
      <c r="J62" s="995"/>
      <c r="K62" s="995"/>
      <c r="L62" s="995"/>
      <c r="M62" s="994"/>
      <c r="N62" s="1136">
        <f>'2.a.2.1.ovik beépülő'!BG62+'2.a.2.2.egyéb beépülő'!R62</f>
        <v>0</v>
      </c>
      <c r="O62" s="983">
        <f>'2.a.2.1.ovik beépülő'!BH62+'2.a.2.2.egyéb beépülő'!S62</f>
        <v>0</v>
      </c>
      <c r="P62" s="983">
        <f>'2.a.2.1.ovik beépülő'!BI62+'2.a.2.2.egyéb beépülő'!T62</f>
        <v>0</v>
      </c>
      <c r="Q62" s="994"/>
      <c r="R62" s="1136">
        <f t="shared" si="9"/>
        <v>0</v>
      </c>
      <c r="S62" s="983">
        <f t="shared" si="10"/>
        <v>0</v>
      </c>
      <c r="T62" s="983">
        <f t="shared" si="11"/>
        <v>0</v>
      </c>
      <c r="U62" s="994"/>
      <c r="V62" s="1136">
        <f>'2.a.1.óvodák'!BG64+'2.a.2.egyéb'!R62</f>
        <v>0</v>
      </c>
      <c r="W62" s="983">
        <f>'2.a.1.óvodák'!BH64+'2.a.2.egyéb'!S62</f>
        <v>0</v>
      </c>
      <c r="X62" s="983">
        <f>'2.a.1.óvodák'!BI64+'2.a.2.egyéb'!T62</f>
        <v>0</v>
      </c>
      <c r="Y62" s="994"/>
      <c r="Z62" s="1121"/>
      <c r="AA62" s="1131"/>
    </row>
    <row r="63" spans="1:27" s="1134" customFormat="1" ht="14.25" hidden="1" customHeight="1" x14ac:dyDescent="0.2">
      <c r="A63" s="987"/>
      <c r="B63" s="991" t="s">
        <v>839</v>
      </c>
      <c r="C63" s="990"/>
      <c r="D63" s="990"/>
      <c r="E63" s="988"/>
      <c r="F63" s="990"/>
      <c r="G63" s="990"/>
      <c r="H63" s="990"/>
      <c r="I63" s="988"/>
      <c r="J63" s="990"/>
      <c r="K63" s="990"/>
      <c r="L63" s="990"/>
      <c r="M63" s="988"/>
      <c r="N63" s="1136">
        <f>'2.a.2.1.ovik beépülő'!BG63+'2.a.2.2.egyéb beépülő'!R63</f>
        <v>0</v>
      </c>
      <c r="O63" s="983">
        <f>'2.a.2.1.ovik beépülő'!BH63+'2.a.2.2.egyéb beépülő'!S63</f>
        <v>0</v>
      </c>
      <c r="P63" s="983">
        <f>'2.a.2.1.ovik beépülő'!BI63+'2.a.2.2.egyéb beépülő'!T63</f>
        <v>0</v>
      </c>
      <c r="Q63" s="988" t="e">
        <f t="shared" ref="Q63:Q73" si="14">P63/O63</f>
        <v>#DIV/0!</v>
      </c>
      <c r="R63" s="1136">
        <f t="shared" si="9"/>
        <v>0</v>
      </c>
      <c r="S63" s="983">
        <f t="shared" si="10"/>
        <v>0</v>
      </c>
      <c r="T63" s="983">
        <f t="shared" si="11"/>
        <v>0</v>
      </c>
      <c r="U63" s="988" t="e">
        <f t="shared" ref="U63:U73" si="15">T63/S63</f>
        <v>#DIV/0!</v>
      </c>
      <c r="V63" s="1136">
        <f>'2.a.1.óvodák'!BG65+'2.a.2.egyéb'!R63</f>
        <v>0</v>
      </c>
      <c r="W63" s="983">
        <f>'2.a.1.óvodák'!BH65+'2.a.2.egyéb'!S63</f>
        <v>0</v>
      </c>
      <c r="X63" s="983">
        <f>'2.a.1.óvodák'!BI65+'2.a.2.egyéb'!T63</f>
        <v>0</v>
      </c>
      <c r="Y63" s="988" t="e">
        <f t="shared" ref="Y63:Y73" si="16">X63/W63</f>
        <v>#DIV/0!</v>
      </c>
      <c r="Z63" s="1121"/>
      <c r="AA63" s="1131"/>
    </row>
    <row r="64" spans="1:27" s="1134" customFormat="1" ht="14.25" hidden="1" customHeight="1" x14ac:dyDescent="0.2">
      <c r="A64" s="987"/>
      <c r="B64" s="991" t="s">
        <v>838</v>
      </c>
      <c r="C64" s="990"/>
      <c r="D64" s="990"/>
      <c r="E64" s="988"/>
      <c r="F64" s="990"/>
      <c r="G64" s="990"/>
      <c r="H64" s="990"/>
      <c r="I64" s="988"/>
      <c r="J64" s="990"/>
      <c r="K64" s="990"/>
      <c r="L64" s="990"/>
      <c r="M64" s="988"/>
      <c r="N64" s="1136">
        <f>'2.a.2.1.ovik beépülő'!BG64+'2.a.2.2.egyéb beépülő'!R64</f>
        <v>0</v>
      </c>
      <c r="O64" s="983">
        <f>'2.a.2.1.ovik beépülő'!BH64+'2.a.2.2.egyéb beépülő'!S64</f>
        <v>0</v>
      </c>
      <c r="P64" s="983">
        <f>'2.a.2.1.ovik beépülő'!BI64+'2.a.2.2.egyéb beépülő'!T64</f>
        <v>0</v>
      </c>
      <c r="Q64" s="988" t="e">
        <f t="shared" si="14"/>
        <v>#DIV/0!</v>
      </c>
      <c r="R64" s="1136">
        <f t="shared" si="9"/>
        <v>0</v>
      </c>
      <c r="S64" s="983">
        <f t="shared" si="10"/>
        <v>0</v>
      </c>
      <c r="T64" s="983">
        <f t="shared" si="11"/>
        <v>0</v>
      </c>
      <c r="U64" s="988" t="e">
        <f t="shared" si="15"/>
        <v>#DIV/0!</v>
      </c>
      <c r="V64" s="1136">
        <f>'2.a.1.óvodák'!BG66+'2.a.2.egyéb'!R64</f>
        <v>0</v>
      </c>
      <c r="W64" s="983">
        <f>'2.a.1.óvodák'!BH66+'2.a.2.egyéb'!S64</f>
        <v>0</v>
      </c>
      <c r="X64" s="983">
        <f>'2.a.1.óvodák'!BI66+'2.a.2.egyéb'!T64</f>
        <v>0</v>
      </c>
      <c r="Y64" s="988" t="e">
        <f t="shared" si="16"/>
        <v>#DIV/0!</v>
      </c>
      <c r="Z64" s="1121"/>
      <c r="AA64" s="1131"/>
    </row>
    <row r="65" spans="1:29" s="1134" customFormat="1" ht="14.25" hidden="1" customHeight="1" x14ac:dyDescent="0.2">
      <c r="A65" s="987"/>
      <c r="B65" s="991" t="s">
        <v>837</v>
      </c>
      <c r="C65" s="990"/>
      <c r="D65" s="990"/>
      <c r="E65" s="988"/>
      <c r="F65" s="990"/>
      <c r="G65" s="990"/>
      <c r="H65" s="990"/>
      <c r="I65" s="988"/>
      <c r="J65" s="990"/>
      <c r="K65" s="990"/>
      <c r="L65" s="990"/>
      <c r="M65" s="988"/>
      <c r="N65" s="1136">
        <f>'2.a.2.1.ovik beépülő'!BG65+'2.a.2.2.egyéb beépülő'!R65</f>
        <v>0</v>
      </c>
      <c r="O65" s="983">
        <f>'2.a.2.1.ovik beépülő'!BH65+'2.a.2.2.egyéb beépülő'!S65</f>
        <v>0</v>
      </c>
      <c r="P65" s="983">
        <f>'2.a.2.1.ovik beépülő'!BI65+'2.a.2.2.egyéb beépülő'!T65</f>
        <v>0</v>
      </c>
      <c r="Q65" s="988" t="e">
        <f t="shared" si="14"/>
        <v>#DIV/0!</v>
      </c>
      <c r="R65" s="1136">
        <f t="shared" si="9"/>
        <v>0</v>
      </c>
      <c r="S65" s="983">
        <f t="shared" si="10"/>
        <v>0</v>
      </c>
      <c r="T65" s="983">
        <f t="shared" si="11"/>
        <v>0</v>
      </c>
      <c r="U65" s="988" t="e">
        <f t="shared" si="15"/>
        <v>#DIV/0!</v>
      </c>
      <c r="V65" s="1136">
        <f>'2.a.1.óvodák'!BG67+'2.a.2.egyéb'!R65</f>
        <v>0</v>
      </c>
      <c r="W65" s="983">
        <f>'2.a.1.óvodák'!BH67+'2.a.2.egyéb'!S65</f>
        <v>0</v>
      </c>
      <c r="X65" s="983">
        <f>'2.a.1.óvodák'!BI67+'2.a.2.egyéb'!T65</f>
        <v>0</v>
      </c>
      <c r="Y65" s="988" t="e">
        <f t="shared" si="16"/>
        <v>#DIV/0!</v>
      </c>
      <c r="Z65" s="1121"/>
      <c r="AA65" s="1131"/>
    </row>
    <row r="66" spans="1:29" s="977" customFormat="1" ht="15" x14ac:dyDescent="0.25">
      <c r="A66" s="1001" t="s">
        <v>419</v>
      </c>
      <c r="B66" s="996" t="s">
        <v>32</v>
      </c>
      <c r="C66" s="1009"/>
      <c r="D66" s="1009"/>
      <c r="E66" s="994"/>
      <c r="F66" s="1009"/>
      <c r="G66" s="1009"/>
      <c r="H66" s="1009"/>
      <c r="I66" s="994"/>
      <c r="J66" s="1009"/>
      <c r="K66" s="1009"/>
      <c r="L66" s="1009"/>
      <c r="M66" s="994"/>
      <c r="N66" s="1136">
        <f>'2.a.2.1.ovik beépülő'!BG66+'2.a.2.2.egyéb beépülő'!R66</f>
        <v>235459</v>
      </c>
      <c r="O66" s="983">
        <f>'2.a.2.1.ovik beépülő'!BH66+'2.a.2.2.egyéb beépülő'!S66</f>
        <v>127098</v>
      </c>
      <c r="P66" s="983">
        <f>'2.a.2.1.ovik beépülő'!BI66+'2.a.2.2.egyéb beépülő'!T66</f>
        <v>127098</v>
      </c>
      <c r="Q66" s="994">
        <f t="shared" si="14"/>
        <v>1</v>
      </c>
      <c r="R66" s="1136">
        <f t="shared" si="9"/>
        <v>235459</v>
      </c>
      <c r="S66" s="983">
        <f t="shared" si="10"/>
        <v>127098</v>
      </c>
      <c r="T66" s="983">
        <f t="shared" si="11"/>
        <v>127098</v>
      </c>
      <c r="U66" s="994">
        <f t="shared" si="15"/>
        <v>1</v>
      </c>
      <c r="V66" s="1136">
        <f>'2.a.1.óvodák'!BG68+'2.a.2.egyéb'!R66</f>
        <v>235459</v>
      </c>
      <c r="W66" s="983">
        <f>'2.a.1.óvodák'!BH68+'2.a.2.egyéb'!S66</f>
        <v>127098</v>
      </c>
      <c r="X66" s="983">
        <f>'2.a.1.óvodák'!BI68+'2.a.2.egyéb'!T66</f>
        <v>127098</v>
      </c>
      <c r="Y66" s="994">
        <f t="shared" si="16"/>
        <v>1</v>
      </c>
      <c r="Z66" s="1121"/>
      <c r="AA66" s="1131"/>
    </row>
    <row r="67" spans="1:29" s="1134" customFormat="1" ht="14.25" hidden="1" customHeight="1" x14ac:dyDescent="0.2">
      <c r="A67" s="992"/>
      <c r="B67" s="991" t="s">
        <v>839</v>
      </c>
      <c r="C67" s="990"/>
      <c r="D67" s="990"/>
      <c r="E67" s="988"/>
      <c r="F67" s="990"/>
      <c r="G67" s="990"/>
      <c r="H67" s="990"/>
      <c r="I67" s="988"/>
      <c r="J67" s="990"/>
      <c r="K67" s="990"/>
      <c r="L67" s="990"/>
      <c r="M67" s="988"/>
      <c r="N67" s="1136">
        <f>'2.a.2.1.ovik beépülő'!BG67+'2.a.2.2.egyéb beépülő'!R67</f>
        <v>0</v>
      </c>
      <c r="O67" s="983">
        <f>'2.a.2.1.ovik beépülő'!BH67+'2.a.2.2.egyéb beépülő'!S67</f>
        <v>0</v>
      </c>
      <c r="P67" s="983">
        <f>'2.a.2.1.ovik beépülő'!BI67+'2.a.2.2.egyéb beépülő'!T67</f>
        <v>0</v>
      </c>
      <c r="Q67" s="988" t="e">
        <f t="shared" si="14"/>
        <v>#DIV/0!</v>
      </c>
      <c r="R67" s="1136">
        <f t="shared" si="9"/>
        <v>0</v>
      </c>
      <c r="S67" s="983">
        <f t="shared" si="10"/>
        <v>0</v>
      </c>
      <c r="T67" s="983">
        <f t="shared" si="11"/>
        <v>0</v>
      </c>
      <c r="U67" s="988" t="e">
        <f t="shared" si="15"/>
        <v>#DIV/0!</v>
      </c>
      <c r="V67" s="1136">
        <f>'2.a.1.óvodák'!BG69+'2.a.2.egyéb'!R67</f>
        <v>0</v>
      </c>
      <c r="W67" s="983">
        <f>'2.a.1.óvodák'!BH69+'2.a.2.egyéb'!S67</f>
        <v>0</v>
      </c>
      <c r="X67" s="983">
        <f>'2.a.1.óvodák'!BI69+'2.a.2.egyéb'!T67</f>
        <v>0</v>
      </c>
      <c r="Y67" s="988" t="e">
        <f t="shared" si="16"/>
        <v>#DIV/0!</v>
      </c>
      <c r="Z67" s="1121"/>
      <c r="AA67" s="1131"/>
    </row>
    <row r="68" spans="1:29" s="1134" customFormat="1" ht="14.25" hidden="1" customHeight="1" x14ac:dyDescent="0.2">
      <c r="A68" s="992"/>
      <c r="B68" s="991" t="s">
        <v>838</v>
      </c>
      <c r="C68" s="990"/>
      <c r="D68" s="990"/>
      <c r="E68" s="988"/>
      <c r="F68" s="990"/>
      <c r="G68" s="990"/>
      <c r="H68" s="990"/>
      <c r="I68" s="988"/>
      <c r="J68" s="990"/>
      <c r="K68" s="990"/>
      <c r="L68" s="990"/>
      <c r="M68" s="988"/>
      <c r="N68" s="1137">
        <f>'2.a.2.1.ovik beépülő'!BG68+'2.a.2.2.egyéb beépülő'!R68</f>
        <v>235459</v>
      </c>
      <c r="O68" s="1002">
        <f>'2.a.2.1.ovik beépülő'!BH68+'2.a.2.2.egyéb beépülő'!S68</f>
        <v>100000</v>
      </c>
      <c r="P68" s="1002">
        <f>'2.a.2.1.ovik beépülő'!BI68+'2.a.2.2.egyéb beépülő'!T68</f>
        <v>100000</v>
      </c>
      <c r="Q68" s="988">
        <f t="shared" si="14"/>
        <v>1</v>
      </c>
      <c r="R68" s="1137">
        <f t="shared" si="9"/>
        <v>235459</v>
      </c>
      <c r="S68" s="1002">
        <f t="shared" si="10"/>
        <v>100000</v>
      </c>
      <c r="T68" s="1002">
        <f t="shared" si="11"/>
        <v>100000</v>
      </c>
      <c r="U68" s="988">
        <f t="shared" si="15"/>
        <v>1</v>
      </c>
      <c r="V68" s="1137">
        <f>'2.a.1.óvodák'!BG70+'2.a.2.egyéb'!R68</f>
        <v>235459</v>
      </c>
      <c r="W68" s="1002">
        <f>'2.a.1.óvodák'!BH70+'2.a.2.egyéb'!S68</f>
        <v>100000</v>
      </c>
      <c r="X68" s="1002">
        <f>'2.a.1.óvodák'!BI70+'2.a.2.egyéb'!T68</f>
        <v>100000</v>
      </c>
      <c r="Y68" s="988">
        <f t="shared" si="16"/>
        <v>1</v>
      </c>
      <c r="Z68" s="1121"/>
      <c r="AA68" s="1131"/>
    </row>
    <row r="69" spans="1:29" s="1134" customFormat="1" ht="14.25" hidden="1" customHeight="1" x14ac:dyDescent="0.2">
      <c r="A69" s="992"/>
      <c r="B69" s="991" t="s">
        <v>837</v>
      </c>
      <c r="C69" s="990"/>
      <c r="D69" s="990"/>
      <c r="E69" s="988"/>
      <c r="F69" s="990"/>
      <c r="G69" s="990"/>
      <c r="H69" s="990"/>
      <c r="I69" s="988"/>
      <c r="J69" s="990"/>
      <c r="K69" s="990"/>
      <c r="L69" s="990"/>
      <c r="M69" s="988"/>
      <c r="N69" s="1136">
        <f>'2.a.2.1.ovik beépülő'!BG69+'2.a.2.2.egyéb beépülő'!R69</f>
        <v>0</v>
      </c>
      <c r="O69" s="983">
        <f>'2.a.2.1.ovik beépülő'!BH69+'2.a.2.2.egyéb beépülő'!S69</f>
        <v>0</v>
      </c>
      <c r="P69" s="983">
        <f>'2.a.2.1.ovik beépülő'!BI69+'2.a.2.2.egyéb beépülő'!T69</f>
        <v>0</v>
      </c>
      <c r="Q69" s="988" t="e">
        <f t="shared" si="14"/>
        <v>#DIV/0!</v>
      </c>
      <c r="R69" s="1136">
        <f t="shared" si="9"/>
        <v>0</v>
      </c>
      <c r="S69" s="983">
        <f t="shared" si="10"/>
        <v>0</v>
      </c>
      <c r="T69" s="983">
        <f t="shared" si="11"/>
        <v>0</v>
      </c>
      <c r="U69" s="988" t="e">
        <f t="shared" si="15"/>
        <v>#DIV/0!</v>
      </c>
      <c r="V69" s="1136">
        <f>'2.a.1.óvodák'!BG71+'2.a.2.egyéb'!R69</f>
        <v>0</v>
      </c>
      <c r="W69" s="983">
        <f>'2.a.1.óvodák'!BH71+'2.a.2.egyéb'!S69</f>
        <v>0</v>
      </c>
      <c r="X69" s="983">
        <f>'2.a.1.óvodák'!BI71+'2.a.2.egyéb'!T69</f>
        <v>0</v>
      </c>
      <c r="Y69" s="988" t="e">
        <f t="shared" si="16"/>
        <v>#DIV/0!</v>
      </c>
      <c r="Z69" s="1121"/>
      <c r="AA69" s="1131"/>
    </row>
    <row r="70" spans="1:29" s="977" customFormat="1" ht="15" x14ac:dyDescent="0.25">
      <c r="A70" s="1006" t="s">
        <v>418</v>
      </c>
      <c r="B70" s="1005" t="s">
        <v>29</v>
      </c>
      <c r="C70" s="995"/>
      <c r="D70" s="995"/>
      <c r="E70" s="994"/>
      <c r="F70" s="995"/>
      <c r="G70" s="995"/>
      <c r="H70" s="995"/>
      <c r="I70" s="994"/>
      <c r="J70" s="995"/>
      <c r="K70" s="995"/>
      <c r="L70" s="995"/>
      <c r="M70" s="994"/>
      <c r="N70" s="1136">
        <f>'2.a.2.1.ovik beépülő'!BG70+'2.a.2.2.egyéb beépülő'!R70</f>
        <v>34859</v>
      </c>
      <c r="O70" s="983">
        <f>'2.a.2.1.ovik beépülő'!BH70+'2.a.2.2.egyéb beépülő'!S70</f>
        <v>88415</v>
      </c>
      <c r="P70" s="983">
        <f>'2.a.2.1.ovik beépülő'!BI70+'2.a.2.2.egyéb beépülő'!T70</f>
        <v>88415</v>
      </c>
      <c r="Q70" s="994">
        <f t="shared" si="14"/>
        <v>1</v>
      </c>
      <c r="R70" s="1136">
        <f t="shared" si="9"/>
        <v>34859</v>
      </c>
      <c r="S70" s="983">
        <f t="shared" si="10"/>
        <v>88415</v>
      </c>
      <c r="T70" s="983">
        <f t="shared" si="11"/>
        <v>88415</v>
      </c>
      <c r="U70" s="994">
        <f t="shared" si="15"/>
        <v>1</v>
      </c>
      <c r="V70" s="1136">
        <f>'2.a.1.óvodák'!BG72+'2.a.2.egyéb'!R70</f>
        <v>34859</v>
      </c>
      <c r="W70" s="983">
        <f>'2.a.1.óvodák'!BH72+'2.a.2.egyéb'!S70</f>
        <v>88415</v>
      </c>
      <c r="X70" s="983">
        <f>'2.a.1.óvodák'!BI72+'2.a.2.egyéb'!T70</f>
        <v>88415</v>
      </c>
      <c r="Y70" s="994">
        <f t="shared" si="16"/>
        <v>1</v>
      </c>
      <c r="Z70" s="1121"/>
      <c r="AA70" s="1131"/>
    </row>
    <row r="71" spans="1:29" s="1134" customFormat="1" ht="14.25" hidden="1" customHeight="1" x14ac:dyDescent="0.2">
      <c r="A71" s="992"/>
      <c r="B71" s="991" t="s">
        <v>839</v>
      </c>
      <c r="C71" s="990"/>
      <c r="D71" s="990"/>
      <c r="E71" s="988"/>
      <c r="F71" s="990"/>
      <c r="G71" s="990"/>
      <c r="H71" s="990"/>
      <c r="I71" s="988"/>
      <c r="J71" s="990"/>
      <c r="K71" s="990"/>
      <c r="L71" s="990"/>
      <c r="M71" s="988"/>
      <c r="N71" s="1136">
        <f>'2.a.2.1.ovik beépülő'!BG71+'2.a.2.2.egyéb beépülő'!R71</f>
        <v>0</v>
      </c>
      <c r="O71" s="983">
        <f>'2.a.2.1.ovik beépülő'!BH71+'2.a.2.2.egyéb beépülő'!S71</f>
        <v>0</v>
      </c>
      <c r="P71" s="983">
        <f>'2.a.2.1.ovik beépülő'!BI71+'2.a.2.2.egyéb beépülő'!T71</f>
        <v>0</v>
      </c>
      <c r="Q71" s="988" t="e">
        <f t="shared" si="14"/>
        <v>#DIV/0!</v>
      </c>
      <c r="R71" s="1136">
        <f t="shared" si="9"/>
        <v>0</v>
      </c>
      <c r="S71" s="983">
        <f t="shared" si="10"/>
        <v>0</v>
      </c>
      <c r="T71" s="983">
        <f t="shared" si="11"/>
        <v>0</v>
      </c>
      <c r="U71" s="988" t="e">
        <f t="shared" si="15"/>
        <v>#DIV/0!</v>
      </c>
      <c r="V71" s="1136">
        <f>'2.a.1.óvodák'!BG73+'2.a.2.egyéb'!R71</f>
        <v>0</v>
      </c>
      <c r="W71" s="983">
        <f>'2.a.1.óvodák'!BH73+'2.a.2.egyéb'!S71</f>
        <v>0</v>
      </c>
      <c r="X71" s="983">
        <f>'2.a.1.óvodák'!BI73+'2.a.2.egyéb'!T71</f>
        <v>0</v>
      </c>
      <c r="Y71" s="988" t="e">
        <f t="shared" si="16"/>
        <v>#DIV/0!</v>
      </c>
      <c r="Z71" s="1121"/>
      <c r="AA71" s="1131"/>
    </row>
    <row r="72" spans="1:29" s="1134" customFormat="1" ht="14.25" hidden="1" customHeight="1" x14ac:dyDescent="0.2">
      <c r="A72" s="992"/>
      <c r="B72" s="991" t="s">
        <v>838</v>
      </c>
      <c r="C72" s="990"/>
      <c r="D72" s="990"/>
      <c r="E72" s="988"/>
      <c r="F72" s="990"/>
      <c r="G72" s="990"/>
      <c r="H72" s="990"/>
      <c r="I72" s="988"/>
      <c r="J72" s="990"/>
      <c r="K72" s="990"/>
      <c r="L72" s="990"/>
      <c r="M72" s="988"/>
      <c r="N72" s="1137">
        <f>'2.a.2.1.ovik beépülő'!BG72+'2.a.2.2.egyéb beépülő'!R72</f>
        <v>34859</v>
      </c>
      <c r="O72" s="1002">
        <f>'2.a.2.1.ovik beépülő'!BH72+'2.a.2.2.egyéb beépülő'!S72</f>
        <v>43109</v>
      </c>
      <c r="P72" s="1002">
        <f>'2.a.2.1.ovik beépülő'!BI72+'2.a.2.2.egyéb beépülő'!T72</f>
        <v>43109</v>
      </c>
      <c r="Q72" s="988">
        <f t="shared" si="14"/>
        <v>1</v>
      </c>
      <c r="R72" s="1137">
        <f t="shared" si="9"/>
        <v>34859</v>
      </c>
      <c r="S72" s="1002">
        <f t="shared" si="10"/>
        <v>43109</v>
      </c>
      <c r="T72" s="1002">
        <f t="shared" si="11"/>
        <v>43109</v>
      </c>
      <c r="U72" s="988">
        <f t="shared" si="15"/>
        <v>1</v>
      </c>
      <c r="V72" s="1137">
        <f>'2.a.1.óvodák'!BG74+'2.a.2.egyéb'!R72</f>
        <v>34859</v>
      </c>
      <c r="W72" s="1002">
        <f>'2.a.1.óvodák'!BH74+'2.a.2.egyéb'!S72</f>
        <v>43109</v>
      </c>
      <c r="X72" s="1002">
        <f>'2.a.1.óvodák'!BI74+'2.a.2.egyéb'!T72</f>
        <v>43109</v>
      </c>
      <c r="Y72" s="988">
        <f t="shared" si="16"/>
        <v>1</v>
      </c>
      <c r="Z72" s="1121"/>
      <c r="AA72" s="1131"/>
    </row>
    <row r="73" spans="1:29" s="1134" customFormat="1" ht="14.25" hidden="1" customHeight="1" x14ac:dyDescent="0.2">
      <c r="A73" s="992"/>
      <c r="B73" s="991" t="s">
        <v>837</v>
      </c>
      <c r="C73" s="990"/>
      <c r="D73" s="990"/>
      <c r="E73" s="988"/>
      <c r="F73" s="990"/>
      <c r="G73" s="990"/>
      <c r="H73" s="990"/>
      <c r="I73" s="988"/>
      <c r="J73" s="990"/>
      <c r="K73" s="990"/>
      <c r="L73" s="990"/>
      <c r="M73" s="988"/>
      <c r="N73" s="1136">
        <f>'2.a.2.1.ovik beépülő'!BG73+'2.a.2.2.egyéb beépülő'!R73</f>
        <v>0</v>
      </c>
      <c r="O73" s="983">
        <f>'2.a.2.1.ovik beépülő'!BH73+'2.a.2.2.egyéb beépülő'!S73</f>
        <v>0</v>
      </c>
      <c r="P73" s="983">
        <f>'2.a.2.1.ovik beépülő'!BI73+'2.a.2.2.egyéb beépülő'!T73</f>
        <v>0</v>
      </c>
      <c r="Q73" s="988" t="e">
        <f t="shared" si="14"/>
        <v>#DIV/0!</v>
      </c>
      <c r="R73" s="1136">
        <f t="shared" si="9"/>
        <v>0</v>
      </c>
      <c r="S73" s="983">
        <f t="shared" si="10"/>
        <v>0</v>
      </c>
      <c r="T73" s="983">
        <f t="shared" si="11"/>
        <v>0</v>
      </c>
      <c r="U73" s="988" t="e">
        <f t="shared" si="15"/>
        <v>#DIV/0!</v>
      </c>
      <c r="V73" s="1136">
        <f>'2.a.1.óvodák'!BG75+'2.a.2.egyéb'!R73</f>
        <v>0</v>
      </c>
      <c r="W73" s="983">
        <f>'2.a.1.óvodák'!BH75+'2.a.2.egyéb'!S73</f>
        <v>0</v>
      </c>
      <c r="X73" s="983">
        <f>'2.a.1.óvodák'!BI75+'2.a.2.egyéb'!T73</f>
        <v>0</v>
      </c>
      <c r="Y73" s="988" t="e">
        <f t="shared" si="16"/>
        <v>#DIV/0!</v>
      </c>
      <c r="Z73" s="1121"/>
      <c r="AA73" s="1131"/>
    </row>
    <row r="74" spans="1:29" s="998" customFormat="1" ht="15" x14ac:dyDescent="0.25">
      <c r="A74" s="1001" t="s">
        <v>417</v>
      </c>
      <c r="B74" s="1000" t="s">
        <v>26</v>
      </c>
      <c r="C74" s="995"/>
      <c r="D74" s="995"/>
      <c r="E74" s="999"/>
      <c r="F74" s="995"/>
      <c r="G74" s="995"/>
      <c r="H74" s="995"/>
      <c r="I74" s="999"/>
      <c r="J74" s="995"/>
      <c r="K74" s="995"/>
      <c r="L74" s="995"/>
      <c r="M74" s="999"/>
      <c r="N74" s="1136">
        <f>'2.a.2.1.ovik beépülő'!BG74+'2.a.2.2.egyéb beépülő'!R74</f>
        <v>0</v>
      </c>
      <c r="O74" s="983">
        <f>'2.a.2.1.ovik beépülő'!BH74+'2.a.2.2.egyéb beépülő'!S74</f>
        <v>0</v>
      </c>
      <c r="P74" s="983">
        <f>'2.a.2.1.ovik beépülő'!BI74+'2.a.2.2.egyéb beépülő'!T74</f>
        <v>0</v>
      </c>
      <c r="Q74" s="999"/>
      <c r="R74" s="1136">
        <f t="shared" si="9"/>
        <v>0</v>
      </c>
      <c r="S74" s="983">
        <f t="shared" si="10"/>
        <v>0</v>
      </c>
      <c r="T74" s="983">
        <f t="shared" si="11"/>
        <v>0</v>
      </c>
      <c r="U74" s="999"/>
      <c r="V74" s="1136">
        <f>'2.a.1.óvodák'!BG76+'2.a.2.egyéb'!R74</f>
        <v>0</v>
      </c>
      <c r="W74" s="983">
        <f>'2.a.1.óvodák'!BH76+'2.a.2.egyéb'!S74</f>
        <v>0</v>
      </c>
      <c r="X74" s="983">
        <f>'2.a.1.óvodák'!BI76+'2.a.2.egyéb'!T74</f>
        <v>0</v>
      </c>
      <c r="Y74" s="999"/>
      <c r="Z74" s="1121"/>
      <c r="AA74" s="1131"/>
      <c r="AB74" s="993"/>
      <c r="AC74" s="993"/>
    </row>
    <row r="75" spans="1:29" s="1134" customFormat="1" ht="14.25" hidden="1" customHeight="1" x14ac:dyDescent="0.2">
      <c r="A75" s="992"/>
      <c r="B75" s="991" t="s">
        <v>839</v>
      </c>
      <c r="C75" s="990"/>
      <c r="D75" s="990"/>
      <c r="E75" s="988"/>
      <c r="F75" s="990"/>
      <c r="G75" s="990"/>
      <c r="H75" s="990"/>
      <c r="I75" s="988"/>
      <c r="J75" s="990"/>
      <c r="K75" s="990"/>
      <c r="L75" s="990"/>
      <c r="M75" s="988"/>
      <c r="N75" s="1136">
        <f>'2.a.2.1.ovik beépülő'!BG75+'2.a.2.2.egyéb beépülő'!R75</f>
        <v>0</v>
      </c>
      <c r="O75" s="983">
        <f>'2.a.2.1.ovik beépülő'!BH75+'2.a.2.2.egyéb beépülő'!S75</f>
        <v>0</v>
      </c>
      <c r="P75" s="983">
        <f>'2.a.2.1.ovik beépülő'!BI75+'2.a.2.2.egyéb beépülő'!T75</f>
        <v>0</v>
      </c>
      <c r="Q75" s="988"/>
      <c r="R75" s="1136">
        <f t="shared" si="9"/>
        <v>0</v>
      </c>
      <c r="S75" s="983">
        <f t="shared" si="10"/>
        <v>0</v>
      </c>
      <c r="T75" s="983">
        <f t="shared" si="11"/>
        <v>0</v>
      </c>
      <c r="U75" s="988"/>
      <c r="V75" s="1136">
        <f>'2.a.1.óvodák'!BG77+'2.a.2.egyéb'!R75</f>
        <v>0</v>
      </c>
      <c r="W75" s="983">
        <f>'2.a.1.óvodák'!BH77+'2.a.2.egyéb'!S75</f>
        <v>0</v>
      </c>
      <c r="X75" s="983">
        <f>'2.a.1.óvodák'!BI77+'2.a.2.egyéb'!T75</f>
        <v>0</v>
      </c>
      <c r="Y75" s="988"/>
      <c r="Z75" s="1121"/>
      <c r="AA75" s="1131"/>
    </row>
    <row r="76" spans="1:29" s="1134" customFormat="1" ht="14.25" hidden="1" customHeight="1" x14ac:dyDescent="0.2">
      <c r="A76" s="992"/>
      <c r="B76" s="991" t="s">
        <v>838</v>
      </c>
      <c r="C76" s="990"/>
      <c r="D76" s="990"/>
      <c r="E76" s="988"/>
      <c r="F76" s="990"/>
      <c r="G76" s="990"/>
      <c r="H76" s="990"/>
      <c r="I76" s="988"/>
      <c r="J76" s="990"/>
      <c r="K76" s="990"/>
      <c r="L76" s="990"/>
      <c r="M76" s="988"/>
      <c r="N76" s="1136">
        <f>'2.a.2.1.ovik beépülő'!BG76+'2.a.2.2.egyéb beépülő'!R76</f>
        <v>0</v>
      </c>
      <c r="O76" s="983">
        <f>'2.a.2.1.ovik beépülő'!BH76+'2.a.2.2.egyéb beépülő'!S76</f>
        <v>0</v>
      </c>
      <c r="P76" s="983">
        <f>'2.a.2.1.ovik beépülő'!BI76+'2.a.2.2.egyéb beépülő'!T76</f>
        <v>0</v>
      </c>
      <c r="Q76" s="988"/>
      <c r="R76" s="1136">
        <f t="shared" si="9"/>
        <v>0</v>
      </c>
      <c r="S76" s="983">
        <f t="shared" si="10"/>
        <v>0</v>
      </c>
      <c r="T76" s="983">
        <f t="shared" si="11"/>
        <v>0</v>
      </c>
      <c r="U76" s="988"/>
      <c r="V76" s="1136">
        <f>'2.a.1.óvodák'!BG78+'2.a.2.egyéb'!R76</f>
        <v>0</v>
      </c>
      <c r="W76" s="983">
        <f>'2.a.1.óvodák'!BH78+'2.a.2.egyéb'!S76</f>
        <v>0</v>
      </c>
      <c r="X76" s="983">
        <f>'2.a.1.óvodák'!BI78+'2.a.2.egyéb'!T76</f>
        <v>0</v>
      </c>
      <c r="Y76" s="988"/>
      <c r="Z76" s="1121"/>
      <c r="AA76" s="1131"/>
    </row>
    <row r="77" spans="1:29" s="1134" customFormat="1" ht="14.25" hidden="1" customHeight="1" x14ac:dyDescent="0.2">
      <c r="A77" s="992"/>
      <c r="B77" s="991" t="s">
        <v>837</v>
      </c>
      <c r="C77" s="990"/>
      <c r="D77" s="990"/>
      <c r="E77" s="988"/>
      <c r="F77" s="990"/>
      <c r="G77" s="990"/>
      <c r="H77" s="990"/>
      <c r="I77" s="988"/>
      <c r="J77" s="990"/>
      <c r="K77" s="990"/>
      <c r="L77" s="990"/>
      <c r="M77" s="988"/>
      <c r="N77" s="1136">
        <f>'2.a.2.1.ovik beépülő'!BG77+'2.a.2.2.egyéb beépülő'!R77</f>
        <v>0</v>
      </c>
      <c r="O77" s="983">
        <f>'2.a.2.1.ovik beépülő'!BH77+'2.a.2.2.egyéb beépülő'!S77</f>
        <v>0</v>
      </c>
      <c r="P77" s="983">
        <f>'2.a.2.1.ovik beépülő'!BI77+'2.a.2.2.egyéb beépülő'!T77</f>
        <v>0</v>
      </c>
      <c r="Q77" s="988"/>
      <c r="R77" s="1136">
        <f t="shared" si="9"/>
        <v>0</v>
      </c>
      <c r="S77" s="983">
        <f t="shared" si="10"/>
        <v>0</v>
      </c>
      <c r="T77" s="983">
        <f t="shared" si="11"/>
        <v>0</v>
      </c>
      <c r="U77" s="988"/>
      <c r="V77" s="1136">
        <f>'2.a.1.óvodák'!BG79+'2.a.2.egyéb'!R77</f>
        <v>0</v>
      </c>
      <c r="W77" s="983">
        <f>'2.a.1.óvodák'!BH79+'2.a.2.egyéb'!S77</f>
        <v>0</v>
      </c>
      <c r="X77" s="983">
        <f>'2.a.1.óvodák'!BI79+'2.a.2.egyéb'!T77</f>
        <v>0</v>
      </c>
      <c r="Y77" s="988"/>
      <c r="Z77" s="1121"/>
      <c r="AA77" s="1131"/>
    </row>
    <row r="78" spans="1:29" s="977" customFormat="1" ht="15" customHeight="1" thickBot="1" x14ac:dyDescent="0.3">
      <c r="A78" s="997" t="s">
        <v>416</v>
      </c>
      <c r="B78" s="996" t="s">
        <v>415</v>
      </c>
      <c r="C78" s="995"/>
      <c r="D78" s="995"/>
      <c r="E78" s="994"/>
      <c r="F78" s="995"/>
      <c r="G78" s="995"/>
      <c r="H78" s="995"/>
      <c r="I78" s="994"/>
      <c r="J78" s="995"/>
      <c r="K78" s="995"/>
      <c r="L78" s="995"/>
      <c r="M78" s="994"/>
      <c r="N78" s="1136">
        <f>'2.a.2.1.ovik beépülő'!BG78+'2.a.2.2.egyéb beépülő'!R78</f>
        <v>0</v>
      </c>
      <c r="O78" s="983">
        <f>'2.a.2.1.ovik beépülő'!BH78+'2.a.2.2.egyéb beépülő'!S78</f>
        <v>0</v>
      </c>
      <c r="P78" s="983">
        <f>'2.a.2.1.ovik beépülő'!BI78+'2.a.2.2.egyéb beépülő'!T78</f>
        <v>0</v>
      </c>
      <c r="Q78" s="994"/>
      <c r="R78" s="1136">
        <f t="shared" si="9"/>
        <v>0</v>
      </c>
      <c r="S78" s="983">
        <f t="shared" si="10"/>
        <v>0</v>
      </c>
      <c r="T78" s="983">
        <f t="shared" si="11"/>
        <v>0</v>
      </c>
      <c r="U78" s="994"/>
      <c r="V78" s="1136">
        <f>'2.a.1.óvodák'!BG80+'2.a.2.egyéb'!R78</f>
        <v>0</v>
      </c>
      <c r="W78" s="983">
        <f>'2.a.1.óvodák'!BH80+'2.a.2.egyéb'!S78</f>
        <v>0</v>
      </c>
      <c r="X78" s="983">
        <f>'2.a.1.óvodák'!BI80+'2.a.2.egyéb'!T78</f>
        <v>0</v>
      </c>
      <c r="Y78" s="994"/>
      <c r="Z78" s="1121"/>
      <c r="AA78" s="1131"/>
      <c r="AB78" s="993"/>
      <c r="AC78" s="993"/>
    </row>
    <row r="79" spans="1:29" s="1134" customFormat="1" ht="14.25" hidden="1" customHeight="1" x14ac:dyDescent="0.2">
      <c r="A79" s="992"/>
      <c r="B79" s="991" t="s">
        <v>839</v>
      </c>
      <c r="C79" s="990"/>
      <c r="D79" s="990"/>
      <c r="E79" s="988"/>
      <c r="F79" s="990"/>
      <c r="G79" s="990"/>
      <c r="H79" s="990"/>
      <c r="I79" s="988" t="e">
        <f>H79/G79</f>
        <v>#DIV/0!</v>
      </c>
      <c r="J79" s="990"/>
      <c r="K79" s="990"/>
      <c r="L79" s="990"/>
      <c r="M79" s="988" t="e">
        <f>L79/K79</f>
        <v>#DIV/0!</v>
      </c>
      <c r="N79" s="1136">
        <f>'2.a.2.1.ovik beépülő'!BG79+'2.a.2.2.egyéb beépülő'!R79</f>
        <v>0</v>
      </c>
      <c r="O79" s="983">
        <f>'2.a.2.1.ovik beépülő'!BH79+'2.a.2.2.egyéb beépülő'!S79</f>
        <v>0</v>
      </c>
      <c r="P79" s="983">
        <f>'2.a.2.1.ovik beépülő'!BI79+'2.a.2.2.egyéb beépülő'!T79</f>
        <v>0</v>
      </c>
      <c r="Q79" s="988" t="e">
        <f>P79/O79</f>
        <v>#DIV/0!</v>
      </c>
      <c r="R79" s="1136">
        <f t="shared" si="9"/>
        <v>0</v>
      </c>
      <c r="S79" s="983">
        <f t="shared" si="10"/>
        <v>0</v>
      </c>
      <c r="T79" s="983">
        <f t="shared" si="11"/>
        <v>0</v>
      </c>
      <c r="U79" s="988" t="e">
        <f>T79/S79</f>
        <v>#DIV/0!</v>
      </c>
      <c r="V79" s="1136">
        <f>'2.a.1.óvodák'!BG81+'2.a.2.egyéb'!R79</f>
        <v>0</v>
      </c>
      <c r="W79" s="983">
        <f>'2.a.1.óvodák'!BH81+'2.a.2.egyéb'!S79</f>
        <v>0</v>
      </c>
      <c r="X79" s="983">
        <f>'2.a.1.óvodák'!BI81+'2.a.2.egyéb'!T79</f>
        <v>0</v>
      </c>
      <c r="Y79" s="988" t="e">
        <f>X79/W79</f>
        <v>#DIV/0!</v>
      </c>
      <c r="Z79" s="1121"/>
      <c r="AA79" s="1131"/>
    </row>
    <row r="80" spans="1:29" s="1134" customFormat="1" ht="14.25" hidden="1" customHeight="1" x14ac:dyDescent="0.2">
      <c r="A80" s="992"/>
      <c r="B80" s="991" t="s">
        <v>838</v>
      </c>
      <c r="C80" s="990"/>
      <c r="D80" s="990"/>
      <c r="E80" s="988"/>
      <c r="F80" s="990"/>
      <c r="G80" s="990"/>
      <c r="H80" s="990"/>
      <c r="I80" s="988" t="e">
        <f>H80/G80</f>
        <v>#DIV/0!</v>
      </c>
      <c r="J80" s="990"/>
      <c r="K80" s="990"/>
      <c r="L80" s="990"/>
      <c r="M80" s="988" t="e">
        <f>L80/K80</f>
        <v>#DIV/0!</v>
      </c>
      <c r="N80" s="1136">
        <f>'2.a.2.1.ovik beépülő'!BG80+'2.a.2.2.egyéb beépülő'!R80</f>
        <v>0</v>
      </c>
      <c r="O80" s="983">
        <f>'2.a.2.1.ovik beépülő'!BH80+'2.a.2.2.egyéb beépülő'!S80</f>
        <v>0</v>
      </c>
      <c r="P80" s="983">
        <f>'2.a.2.1.ovik beépülő'!BI80+'2.a.2.2.egyéb beépülő'!T80</f>
        <v>0</v>
      </c>
      <c r="Q80" s="988" t="e">
        <f>P80/O80</f>
        <v>#DIV/0!</v>
      </c>
      <c r="R80" s="1136">
        <f t="shared" si="9"/>
        <v>0</v>
      </c>
      <c r="S80" s="983">
        <f t="shared" si="10"/>
        <v>0</v>
      </c>
      <c r="T80" s="983">
        <f t="shared" si="11"/>
        <v>0</v>
      </c>
      <c r="U80" s="988" t="e">
        <f>T80/S80</f>
        <v>#DIV/0!</v>
      </c>
      <c r="V80" s="1136">
        <f>'2.a.1.óvodák'!BG82+'2.a.2.egyéb'!R80</f>
        <v>0</v>
      </c>
      <c r="W80" s="983">
        <f>'2.a.1.óvodák'!BH82+'2.a.2.egyéb'!S80</f>
        <v>0</v>
      </c>
      <c r="X80" s="983">
        <f>'2.a.1.óvodák'!BI82+'2.a.2.egyéb'!T80</f>
        <v>0</v>
      </c>
      <c r="Y80" s="988" t="e">
        <f>X80/W80</f>
        <v>#DIV/0!</v>
      </c>
      <c r="Z80" s="1121"/>
      <c r="AA80" s="1131"/>
    </row>
    <row r="81" spans="1:27" s="1134" customFormat="1" ht="15" hidden="1" customHeight="1" thickBot="1" x14ac:dyDescent="0.25">
      <c r="A81" s="987"/>
      <c r="B81" s="986" t="s">
        <v>837</v>
      </c>
      <c r="C81" s="985"/>
      <c r="D81" s="985"/>
      <c r="E81" s="982"/>
      <c r="F81" s="985"/>
      <c r="G81" s="985"/>
      <c r="H81" s="985"/>
      <c r="I81" s="982" t="e">
        <f>H81/G81</f>
        <v>#DIV/0!</v>
      </c>
      <c r="J81" s="985"/>
      <c r="K81" s="985"/>
      <c r="L81" s="985"/>
      <c r="M81" s="982" t="e">
        <f>L81/K81</f>
        <v>#DIV/0!</v>
      </c>
      <c r="N81" s="1136">
        <f>'2.a.2.1.ovik beépülő'!BG81+'2.a.2.2.egyéb beépülő'!R81</f>
        <v>0</v>
      </c>
      <c r="O81" s="1135">
        <f>'2.a.2.1.ovik beépülő'!BH81+'2.a.2.2.egyéb beépülő'!S81</f>
        <v>0</v>
      </c>
      <c r="P81" s="1135">
        <f>'2.a.2.1.ovik beépülő'!BI81+'2.a.2.2.egyéb beépülő'!T81</f>
        <v>0</v>
      </c>
      <c r="Q81" s="982" t="e">
        <f>P81/O81</f>
        <v>#DIV/0!</v>
      </c>
      <c r="R81" s="1136">
        <f t="shared" si="9"/>
        <v>0</v>
      </c>
      <c r="S81" s="1135">
        <f t="shared" si="10"/>
        <v>0</v>
      </c>
      <c r="T81" s="1135">
        <f t="shared" si="11"/>
        <v>0</v>
      </c>
      <c r="U81" s="982" t="e">
        <f>T81/S81</f>
        <v>#DIV/0!</v>
      </c>
      <c r="V81" s="1136">
        <f>'2.a.1.óvodák'!BG83+'2.a.2.egyéb'!R81</f>
        <v>0</v>
      </c>
      <c r="W81" s="1135">
        <f>'2.a.1.óvodák'!BH83+'2.a.2.egyéb'!S81</f>
        <v>0</v>
      </c>
      <c r="X81" s="1135">
        <f>'2.a.1.óvodák'!BI83+'2.a.2.egyéb'!T81</f>
        <v>0</v>
      </c>
      <c r="Y81" s="982" t="e">
        <f>X81/W81</f>
        <v>#DIV/0!</v>
      </c>
      <c r="Z81" s="1121"/>
      <c r="AA81" s="1131"/>
    </row>
    <row r="82" spans="1:27" s="977" customFormat="1" ht="15" customHeight="1" thickTop="1" thickBot="1" x14ac:dyDescent="0.3">
      <c r="A82" s="981"/>
      <c r="B82" s="980" t="s">
        <v>414</v>
      </c>
      <c r="C82" s="979">
        <f>C78+C74+C70+C66+C62+C58+C54+C50+C46+C42</f>
        <v>0</v>
      </c>
      <c r="D82" s="979">
        <f>D78+D74+D70+D66+D62+D58+D54+D50+D46+D42</f>
        <v>0</v>
      </c>
      <c r="E82" s="1132"/>
      <c r="F82" s="979">
        <f>F78+F74+F70+F66+F62+F58+F54+F50+F46+F42</f>
        <v>738116</v>
      </c>
      <c r="G82" s="979">
        <f>G78+G74+G70+G66+G62+G58+G54+G50+G46+G42</f>
        <v>776368</v>
      </c>
      <c r="H82" s="979">
        <f>H78+H74+H70+H66+H62+H58+H54+H50+H46+H42</f>
        <v>776368</v>
      </c>
      <c r="I82" s="1132">
        <f>H82/G82</f>
        <v>1</v>
      </c>
      <c r="J82" s="1133">
        <f>J78+J74+J70+J66+J62+J58+J54+J50+J46+J42</f>
        <v>1023880</v>
      </c>
      <c r="K82" s="1133">
        <f>K78+K74+K70+K66+K62+K58+K54+K50+K46+K42</f>
        <v>1046581</v>
      </c>
      <c r="L82" s="1133">
        <f>L78+L74+L70+L66+L62+L58+L54+L50+L46+L42</f>
        <v>1046581</v>
      </c>
      <c r="M82" s="1132">
        <f>L82/K82</f>
        <v>1</v>
      </c>
      <c r="N82" s="979">
        <f>'2.a.2.1.ovik beépülő'!BG82+'2.a.2.2.egyéb beépülő'!R82</f>
        <v>4061390</v>
      </c>
      <c r="O82" s="979">
        <f>'2.a.2.1.ovik beépülő'!BH82+'2.a.2.2.egyéb beépülő'!S82</f>
        <v>4539891</v>
      </c>
      <c r="P82" s="979">
        <f>'2.a.2.1.ovik beépülő'!BI82+'2.a.2.2.egyéb beépülő'!T82</f>
        <v>4539891</v>
      </c>
      <c r="Q82" s="1132">
        <f>P82/O82</f>
        <v>1</v>
      </c>
      <c r="R82" s="979">
        <f t="shared" si="9"/>
        <v>5823386</v>
      </c>
      <c r="S82" s="979">
        <f t="shared" si="10"/>
        <v>6362840</v>
      </c>
      <c r="T82" s="979">
        <f t="shared" si="11"/>
        <v>6362840</v>
      </c>
      <c r="U82" s="1132">
        <f>T82/S82</f>
        <v>1</v>
      </c>
      <c r="V82" s="979">
        <f>'2.a.1.óvodák'!BG84+'2.a.2.egyéb'!R82</f>
        <v>8010942</v>
      </c>
      <c r="W82" s="979">
        <f>'2.a.1.óvodák'!BH84+'2.a.2.egyéb'!S82</f>
        <v>8615991</v>
      </c>
      <c r="X82" s="979">
        <f>'2.a.1.óvodák'!BI84+'2.a.2.egyéb'!T82</f>
        <v>8615991</v>
      </c>
      <c r="Y82" s="1132">
        <f>X82/W82</f>
        <v>1</v>
      </c>
      <c r="Z82" s="1121"/>
      <c r="AA82" s="1131"/>
    </row>
    <row r="83" spans="1:27" ht="15" customHeight="1" thickTop="1" thickBot="1" x14ac:dyDescent="0.25">
      <c r="A83" s="1130"/>
      <c r="B83" s="1129" t="s">
        <v>764</v>
      </c>
      <c r="C83" s="1128">
        <v>0</v>
      </c>
      <c r="D83" s="1128">
        <v>0</v>
      </c>
      <c r="E83" s="1122"/>
      <c r="F83" s="1127">
        <v>240</v>
      </c>
      <c r="G83" s="1127">
        <v>240</v>
      </c>
      <c r="H83" s="1127">
        <v>240</v>
      </c>
      <c r="I83" s="1122">
        <f>H83/G83</f>
        <v>1</v>
      </c>
      <c r="J83" s="1127">
        <v>251</v>
      </c>
      <c r="K83" s="1127">
        <v>251</v>
      </c>
      <c r="L83" s="1127">
        <v>251</v>
      </c>
      <c r="M83" s="1122">
        <f>L83/K83</f>
        <v>1</v>
      </c>
      <c r="N83" s="1126">
        <v>83.25</v>
      </c>
      <c r="O83" s="1125">
        <v>83.25</v>
      </c>
      <c r="P83" s="1125">
        <v>83.25</v>
      </c>
      <c r="Q83" s="1122">
        <f>P83/O83</f>
        <v>1</v>
      </c>
      <c r="R83" s="1124">
        <f t="shared" si="9"/>
        <v>574.25</v>
      </c>
      <c r="S83" s="1123">
        <f t="shared" si="10"/>
        <v>574.25</v>
      </c>
      <c r="T83" s="1123">
        <f t="shared" si="11"/>
        <v>574.25</v>
      </c>
      <c r="U83" s="1122">
        <f>T83/S83</f>
        <v>1</v>
      </c>
      <c r="V83" s="1124">
        <f>'2.a.1.óvodák'!BG85+'2.a.2.egyéb'!R83</f>
        <v>1124.25</v>
      </c>
      <c r="W83" s="1123">
        <f>'2.a.1.óvodák'!BH85+'2.a.2.egyéb'!S83</f>
        <v>1118.25</v>
      </c>
      <c r="X83" s="1123">
        <f>'2.a.1.óvodák'!BI85+'2.a.2.egyéb'!T83</f>
        <v>1118.25</v>
      </c>
      <c r="Y83" s="1122">
        <f>X83/W83</f>
        <v>1</v>
      </c>
      <c r="Z83" s="1121"/>
    </row>
    <row r="84" spans="1:27" s="408" customFormat="1" ht="13.5" thickTop="1" x14ac:dyDescent="0.2">
      <c r="B84" s="1120"/>
      <c r="E84" s="1119"/>
      <c r="I84" s="1119"/>
      <c r="M84" s="1119"/>
      <c r="N84" s="1061"/>
      <c r="O84" s="1061"/>
      <c r="P84" s="1061"/>
      <c r="Q84" s="1118"/>
      <c r="R84" s="1061"/>
      <c r="S84" s="1061"/>
      <c r="T84" s="1061"/>
      <c r="U84" s="1118"/>
      <c r="V84" s="1061"/>
      <c r="W84" s="1061"/>
      <c r="X84" s="1061"/>
      <c r="Y84" s="1118"/>
    </row>
    <row r="85" spans="1:27" s="408" customFormat="1" x14ac:dyDescent="0.2">
      <c r="B85" s="1120"/>
      <c r="D85" s="766"/>
      <c r="E85" s="1119"/>
      <c r="H85" s="766"/>
      <c r="I85" s="1119"/>
      <c r="L85" s="766"/>
      <c r="M85" s="1119"/>
      <c r="N85" s="1061"/>
      <c r="O85" s="1061"/>
      <c r="P85" s="1062"/>
      <c r="Q85" s="1118"/>
      <c r="R85" s="1061"/>
      <c r="S85" s="1061"/>
      <c r="T85" s="1062"/>
      <c r="U85" s="1118"/>
      <c r="V85" s="1061"/>
      <c r="W85" s="1061"/>
      <c r="X85" s="1062"/>
      <c r="Y85" s="1118"/>
    </row>
    <row r="86" spans="1:27" s="408" customFormat="1" x14ac:dyDescent="0.2">
      <c r="B86" s="1120"/>
      <c r="E86" s="1119"/>
      <c r="I86" s="1119"/>
      <c r="M86" s="1119"/>
      <c r="N86" s="1061"/>
      <c r="O86" s="1061"/>
      <c r="P86" s="1061"/>
      <c r="Q86" s="1118"/>
      <c r="R86" s="1061"/>
      <c r="S86" s="1061"/>
      <c r="T86" s="1061"/>
      <c r="U86" s="1118"/>
      <c r="V86" s="1061"/>
      <c r="W86" s="1061"/>
      <c r="X86" s="1061"/>
      <c r="Y86" s="1118"/>
    </row>
    <row r="87" spans="1:27" s="408" customFormat="1" x14ac:dyDescent="0.2">
      <c r="B87" s="1120"/>
      <c r="E87" s="1119"/>
      <c r="I87" s="1119"/>
      <c r="M87" s="1119"/>
      <c r="N87" s="1061"/>
      <c r="O87" s="1061"/>
      <c r="P87" s="1061"/>
      <c r="Q87" s="1118"/>
      <c r="R87" s="1061"/>
      <c r="S87" s="1061"/>
      <c r="T87" s="1061"/>
      <c r="U87" s="1118"/>
      <c r="V87" s="1061"/>
      <c r="W87" s="1061"/>
      <c r="X87" s="1061"/>
      <c r="Y87" s="1118"/>
    </row>
    <row r="88" spans="1:27" s="408" customFormat="1" x14ac:dyDescent="0.2">
      <c r="B88" s="1120"/>
      <c r="E88" s="1119"/>
      <c r="I88" s="1119"/>
      <c r="L88" s="766"/>
      <c r="M88" s="1119"/>
      <c r="N88" s="1061"/>
      <c r="O88" s="1061"/>
      <c r="P88" s="1061"/>
      <c r="Q88" s="1118"/>
      <c r="R88" s="1061"/>
      <c r="S88" s="1061"/>
      <c r="T88" s="1061"/>
      <c r="U88" s="1118"/>
      <c r="V88" s="1061"/>
      <c r="W88" s="1061"/>
      <c r="X88" s="1061"/>
      <c r="Y88" s="1118"/>
    </row>
    <row r="89" spans="1:27" s="408" customFormat="1" x14ac:dyDescent="0.2">
      <c r="B89" s="1120"/>
      <c r="E89" s="1119"/>
      <c r="I89" s="1119"/>
      <c r="M89" s="1119"/>
      <c r="N89" s="1061"/>
      <c r="O89" s="1061"/>
      <c r="P89" s="1061"/>
      <c r="Q89" s="1118"/>
      <c r="R89" s="1061"/>
      <c r="S89" s="1061"/>
      <c r="T89" s="1061"/>
      <c r="U89" s="1118"/>
      <c r="V89" s="1061"/>
      <c r="W89" s="1061"/>
      <c r="X89" s="1061"/>
      <c r="Y89" s="1118"/>
    </row>
    <row r="90" spans="1:27" s="408" customFormat="1" x14ac:dyDescent="0.2">
      <c r="B90" s="1120"/>
      <c r="E90" s="1119"/>
      <c r="I90" s="1119"/>
      <c r="M90" s="1119"/>
      <c r="N90" s="1061"/>
      <c r="O90" s="1061"/>
      <c r="P90" s="1061"/>
      <c r="Q90" s="1118"/>
      <c r="R90" s="1061"/>
      <c r="S90" s="1061"/>
      <c r="T90" s="1061"/>
      <c r="U90" s="1118"/>
      <c r="V90" s="1061"/>
      <c r="W90" s="1061"/>
      <c r="X90" s="1061"/>
      <c r="Y90" s="1118"/>
    </row>
    <row r="91" spans="1:27" s="408" customFormat="1" x14ac:dyDescent="0.2">
      <c r="B91" s="1120"/>
      <c r="E91" s="1119"/>
      <c r="I91" s="1119"/>
      <c r="M91" s="1119"/>
      <c r="N91" s="1061"/>
      <c r="O91" s="1061"/>
      <c r="P91" s="1061"/>
      <c r="Q91" s="1118"/>
      <c r="R91" s="1061"/>
      <c r="S91" s="1061"/>
      <c r="T91" s="1061"/>
      <c r="U91" s="1118"/>
      <c r="V91" s="1061"/>
      <c r="W91" s="1061"/>
      <c r="X91" s="1061"/>
      <c r="Y91" s="1118"/>
    </row>
    <row r="92" spans="1:27" s="408" customFormat="1" x14ac:dyDescent="0.2">
      <c r="B92" s="1120"/>
      <c r="E92" s="1119"/>
      <c r="I92" s="1119"/>
      <c r="M92" s="1119"/>
      <c r="N92" s="1061"/>
      <c r="O92" s="1061"/>
      <c r="P92" s="1061"/>
      <c r="Q92" s="1118"/>
      <c r="R92" s="1061"/>
      <c r="S92" s="1061"/>
      <c r="T92" s="1061"/>
      <c r="U92" s="1118"/>
      <c r="V92" s="1061"/>
      <c r="W92" s="1061"/>
      <c r="X92" s="1061"/>
      <c r="Y92" s="1118"/>
    </row>
    <row r="93" spans="1:27" s="408" customFormat="1" x14ac:dyDescent="0.2">
      <c r="B93" s="1120"/>
      <c r="E93" s="1119"/>
      <c r="I93" s="1119"/>
      <c r="M93" s="1119"/>
      <c r="N93" s="1061"/>
      <c r="O93" s="1061"/>
      <c r="P93" s="1061"/>
      <c r="Q93" s="1118"/>
      <c r="R93" s="1061"/>
      <c r="S93" s="1061"/>
      <c r="T93" s="1061"/>
      <c r="U93" s="1118"/>
      <c r="V93" s="1061"/>
      <c r="W93" s="1061"/>
      <c r="X93" s="1061"/>
      <c r="Y93" s="1118"/>
    </row>
    <row r="94" spans="1:27" s="408" customFormat="1" x14ac:dyDescent="0.2">
      <c r="B94" s="1120"/>
      <c r="E94" s="1119"/>
      <c r="I94" s="1119"/>
      <c r="M94" s="1119"/>
      <c r="N94" s="1061"/>
      <c r="O94" s="1061"/>
      <c r="P94" s="1061"/>
      <c r="Q94" s="1118"/>
      <c r="R94" s="1061"/>
      <c r="S94" s="1061"/>
      <c r="T94" s="1061"/>
      <c r="U94" s="1118"/>
      <c r="V94" s="1061"/>
      <c r="W94" s="1061"/>
      <c r="X94" s="1061"/>
      <c r="Y94" s="1118"/>
    </row>
    <row r="95" spans="1:27" s="408" customFormat="1" x14ac:dyDescent="0.2">
      <c r="B95" s="1120"/>
      <c r="E95" s="1119"/>
      <c r="I95" s="1119"/>
      <c r="M95" s="1119"/>
      <c r="N95" s="1061"/>
      <c r="O95" s="1061"/>
      <c r="P95" s="1061"/>
      <c r="Q95" s="1118"/>
      <c r="R95" s="1061"/>
      <c r="S95" s="1061"/>
      <c r="T95" s="1061"/>
      <c r="U95" s="1118"/>
      <c r="V95" s="1061"/>
      <c r="W95" s="1061"/>
      <c r="X95" s="1061"/>
      <c r="Y95" s="1118"/>
    </row>
    <row r="96" spans="1:27" s="408" customFormat="1" x14ac:dyDescent="0.2">
      <c r="B96" s="1120"/>
      <c r="E96" s="1119"/>
      <c r="I96" s="1119"/>
      <c r="M96" s="1119"/>
      <c r="N96" s="1061"/>
      <c r="O96" s="1061"/>
      <c r="P96" s="1061"/>
      <c r="Q96" s="1118"/>
      <c r="R96" s="1061"/>
      <c r="S96" s="1061"/>
      <c r="T96" s="1061"/>
      <c r="U96" s="1118"/>
      <c r="V96" s="1061"/>
      <c r="W96" s="1061"/>
      <c r="X96" s="1061"/>
      <c r="Y96" s="1118"/>
    </row>
    <row r="97" spans="2:25" s="408" customFormat="1" x14ac:dyDescent="0.2">
      <c r="B97" s="1120"/>
      <c r="E97" s="1119"/>
      <c r="I97" s="1119"/>
      <c r="M97" s="1119"/>
      <c r="N97" s="1061"/>
      <c r="O97" s="1061"/>
      <c r="P97" s="1061"/>
      <c r="Q97" s="1118"/>
      <c r="R97" s="1061"/>
      <c r="S97" s="1061"/>
      <c r="T97" s="1061"/>
      <c r="U97" s="1118"/>
      <c r="V97" s="1061"/>
      <c r="W97" s="1061"/>
      <c r="X97" s="1061"/>
      <c r="Y97" s="1118"/>
    </row>
    <row r="98" spans="2:25" s="408" customFormat="1" x14ac:dyDescent="0.2">
      <c r="B98" s="1120"/>
      <c r="E98" s="1119"/>
      <c r="I98" s="1119"/>
      <c r="M98" s="1119"/>
      <c r="N98" s="1061"/>
      <c r="O98" s="1061"/>
      <c r="P98" s="1061"/>
      <c r="Q98" s="1118"/>
      <c r="R98" s="1061"/>
      <c r="S98" s="1061"/>
      <c r="T98" s="1061"/>
      <c r="U98" s="1118"/>
      <c r="V98" s="1061"/>
      <c r="W98" s="1061"/>
      <c r="X98" s="1061"/>
      <c r="Y98" s="1118"/>
    </row>
    <row r="99" spans="2:25" s="408" customFormat="1" x14ac:dyDescent="0.2">
      <c r="B99" s="1120"/>
      <c r="E99" s="1119"/>
      <c r="I99" s="1119"/>
      <c r="M99" s="1119"/>
      <c r="N99" s="1061"/>
      <c r="O99" s="1061"/>
      <c r="P99" s="1061"/>
      <c r="Q99" s="1118"/>
      <c r="R99" s="1061"/>
      <c r="S99" s="1061"/>
      <c r="T99" s="1061"/>
      <c r="U99" s="1118"/>
      <c r="V99" s="1061"/>
      <c r="W99" s="1061"/>
      <c r="X99" s="1061"/>
      <c r="Y99" s="1118"/>
    </row>
    <row r="100" spans="2:25" s="408" customFormat="1" x14ac:dyDescent="0.2">
      <c r="B100" s="1120"/>
      <c r="E100" s="1119"/>
      <c r="I100" s="1119"/>
      <c r="M100" s="1119"/>
      <c r="N100" s="1061"/>
      <c r="O100" s="1061"/>
      <c r="P100" s="1061"/>
      <c r="Q100" s="1118"/>
      <c r="R100" s="1061"/>
      <c r="S100" s="1061"/>
      <c r="T100" s="1061"/>
      <c r="U100" s="1118"/>
      <c r="V100" s="1061"/>
      <c r="W100" s="1061"/>
      <c r="X100" s="1061"/>
      <c r="Y100" s="1118"/>
    </row>
    <row r="101" spans="2:25" s="408" customFormat="1" x14ac:dyDescent="0.2">
      <c r="B101" s="1120"/>
      <c r="E101" s="1119"/>
      <c r="I101" s="1119"/>
      <c r="M101" s="1119"/>
      <c r="N101" s="1061"/>
      <c r="O101" s="1061"/>
      <c r="P101" s="1061"/>
      <c r="Q101" s="1118"/>
      <c r="R101" s="1061"/>
      <c r="S101" s="1061"/>
      <c r="T101" s="1061"/>
      <c r="U101" s="1118"/>
      <c r="V101" s="1061"/>
      <c r="W101" s="1061"/>
      <c r="X101" s="1061"/>
      <c r="Y101" s="1118"/>
    </row>
    <row r="102" spans="2:25" s="408" customFormat="1" x14ac:dyDescent="0.2">
      <c r="B102" s="1120"/>
      <c r="E102" s="1119"/>
      <c r="I102" s="1119"/>
      <c r="M102" s="1119"/>
      <c r="N102" s="1061"/>
      <c r="O102" s="1061"/>
      <c r="P102" s="1061"/>
      <c r="Q102" s="1118"/>
      <c r="R102" s="1061"/>
      <c r="S102" s="1061"/>
      <c r="T102" s="1061"/>
      <c r="U102" s="1118"/>
      <c r="V102" s="1061"/>
      <c r="W102" s="1061"/>
      <c r="X102" s="1061"/>
      <c r="Y102" s="1118"/>
    </row>
    <row r="103" spans="2:25" s="408" customFormat="1" x14ac:dyDescent="0.2">
      <c r="B103" s="1120"/>
      <c r="E103" s="1119"/>
      <c r="I103" s="1119"/>
      <c r="M103" s="1119"/>
      <c r="N103" s="1061"/>
      <c r="O103" s="1061"/>
      <c r="P103" s="1061"/>
      <c r="Q103" s="1118"/>
      <c r="R103" s="1061"/>
      <c r="S103" s="1061"/>
      <c r="T103" s="1061"/>
      <c r="U103" s="1118"/>
      <c r="V103" s="1061"/>
      <c r="W103" s="1061"/>
      <c r="X103" s="1061"/>
      <c r="Y103" s="1118"/>
    </row>
    <row r="104" spans="2:25" s="408" customFormat="1" x14ac:dyDescent="0.2">
      <c r="B104" s="1120"/>
      <c r="E104" s="1119"/>
      <c r="I104" s="1119"/>
      <c r="M104" s="1119"/>
      <c r="N104" s="1061"/>
      <c r="O104" s="1061"/>
      <c r="P104" s="1061"/>
      <c r="Q104" s="1118"/>
      <c r="R104" s="1061"/>
      <c r="S104" s="1061"/>
      <c r="T104" s="1061"/>
      <c r="U104" s="1118"/>
      <c r="V104" s="1061"/>
      <c r="W104" s="1061"/>
      <c r="X104" s="1061"/>
      <c r="Y104" s="1118"/>
    </row>
    <row r="105" spans="2:25" s="408" customFormat="1" x14ac:dyDescent="0.2">
      <c r="B105" s="1120"/>
      <c r="E105" s="1119"/>
      <c r="I105" s="1119"/>
      <c r="M105" s="1119"/>
      <c r="N105" s="1061"/>
      <c r="O105" s="1061"/>
      <c r="P105" s="1061"/>
      <c r="Q105" s="1118"/>
      <c r="R105" s="1061"/>
      <c r="S105" s="1061"/>
      <c r="T105" s="1061"/>
      <c r="U105" s="1118"/>
      <c r="V105" s="1061"/>
      <c r="W105" s="1061"/>
      <c r="X105" s="1061"/>
      <c r="Y105" s="1118"/>
    </row>
    <row r="106" spans="2:25" s="408" customFormat="1" x14ac:dyDescent="0.2">
      <c r="B106" s="1120"/>
      <c r="E106" s="1119"/>
      <c r="I106" s="1119"/>
      <c r="M106" s="1119"/>
      <c r="N106" s="1061"/>
      <c r="O106" s="1061"/>
      <c r="P106" s="1061"/>
      <c r="Q106" s="1118"/>
      <c r="R106" s="1061"/>
      <c r="S106" s="1061"/>
      <c r="T106" s="1061"/>
      <c r="U106" s="1118"/>
      <c r="V106" s="1061"/>
      <c r="W106" s="1061"/>
      <c r="X106" s="1061"/>
      <c r="Y106" s="1118"/>
    </row>
    <row r="107" spans="2:25" s="408" customFormat="1" x14ac:dyDescent="0.2">
      <c r="B107" s="1120"/>
      <c r="E107" s="1119"/>
      <c r="I107" s="1119"/>
      <c r="M107" s="1119"/>
      <c r="N107" s="1061"/>
      <c r="O107" s="1061"/>
      <c r="P107" s="1061"/>
      <c r="Q107" s="1118"/>
      <c r="R107" s="1061"/>
      <c r="S107" s="1061"/>
      <c r="T107" s="1061"/>
      <c r="U107" s="1118"/>
      <c r="V107" s="1061"/>
      <c r="W107" s="1061"/>
      <c r="X107" s="1061"/>
      <c r="Y107" s="1118"/>
    </row>
    <row r="108" spans="2:25" s="408" customFormat="1" x14ac:dyDescent="0.2">
      <c r="B108" s="1120"/>
      <c r="E108" s="1119"/>
      <c r="I108" s="1119"/>
      <c r="M108" s="1119"/>
      <c r="N108" s="1061"/>
      <c r="O108" s="1061"/>
      <c r="P108" s="1061"/>
      <c r="Q108" s="1118"/>
      <c r="R108" s="1061"/>
      <c r="S108" s="1061"/>
      <c r="T108" s="1061"/>
      <c r="U108" s="1118"/>
      <c r="V108" s="1061"/>
      <c r="W108" s="1061"/>
      <c r="X108" s="1061"/>
      <c r="Y108" s="1118"/>
    </row>
    <row r="109" spans="2:25" s="408" customFormat="1" x14ac:dyDescent="0.2">
      <c r="B109" s="1120"/>
      <c r="E109" s="1119"/>
      <c r="I109" s="1119"/>
      <c r="M109" s="1119"/>
      <c r="N109" s="1061"/>
      <c r="O109" s="1061"/>
      <c r="P109" s="1061"/>
      <c r="Q109" s="1118"/>
      <c r="R109" s="1061"/>
      <c r="S109" s="1061"/>
      <c r="T109" s="1061"/>
      <c r="U109" s="1118"/>
      <c r="V109" s="1061"/>
      <c r="W109" s="1061"/>
      <c r="X109" s="1061"/>
      <c r="Y109" s="1118"/>
    </row>
    <row r="110" spans="2:25" s="408" customFormat="1" x14ac:dyDescent="0.2">
      <c r="B110" s="1120"/>
      <c r="E110" s="1119"/>
      <c r="I110" s="1119"/>
      <c r="M110" s="1119"/>
      <c r="N110" s="1061"/>
      <c r="O110" s="1061"/>
      <c r="P110" s="1061"/>
      <c r="Q110" s="1118"/>
      <c r="R110" s="1061"/>
      <c r="S110" s="1061"/>
      <c r="T110" s="1061"/>
      <c r="U110" s="1118"/>
      <c r="V110" s="1061"/>
      <c r="W110" s="1061"/>
      <c r="X110" s="1061"/>
      <c r="Y110" s="1118"/>
    </row>
    <row r="111" spans="2:25" s="408" customFormat="1" x14ac:dyDescent="0.2">
      <c r="B111" s="1120"/>
      <c r="E111" s="1119"/>
      <c r="I111" s="1119"/>
      <c r="M111" s="1119"/>
      <c r="N111" s="1061"/>
      <c r="O111" s="1061"/>
      <c r="P111" s="1061"/>
      <c r="Q111" s="1118"/>
      <c r="R111" s="1061"/>
      <c r="S111" s="1061"/>
      <c r="T111" s="1061"/>
      <c r="U111" s="1118"/>
      <c r="V111" s="1061"/>
      <c r="W111" s="1061"/>
      <c r="X111" s="1061"/>
      <c r="Y111" s="1118"/>
    </row>
    <row r="112" spans="2:25" s="408" customFormat="1" x14ac:dyDescent="0.2">
      <c r="B112" s="1120"/>
      <c r="E112" s="1119"/>
      <c r="I112" s="1119"/>
      <c r="M112" s="1119"/>
      <c r="N112" s="1061"/>
      <c r="O112" s="1061"/>
      <c r="P112" s="1061"/>
      <c r="Q112" s="1118"/>
      <c r="R112" s="1061"/>
      <c r="S112" s="1061"/>
      <c r="T112" s="1061"/>
      <c r="U112" s="1118"/>
      <c r="V112" s="1061"/>
      <c r="W112" s="1061"/>
      <c r="X112" s="1061"/>
      <c r="Y112" s="1118"/>
    </row>
    <row r="113" spans="2:25" s="408" customFormat="1" x14ac:dyDescent="0.2">
      <c r="B113" s="1120"/>
      <c r="E113" s="1119"/>
      <c r="I113" s="1119"/>
      <c r="M113" s="1119"/>
      <c r="N113" s="1061"/>
      <c r="O113" s="1061"/>
      <c r="P113" s="1061"/>
      <c r="Q113" s="1118"/>
      <c r="R113" s="1061"/>
      <c r="S113" s="1061"/>
      <c r="T113" s="1061"/>
      <c r="U113" s="1118"/>
      <c r="V113" s="1061"/>
      <c r="W113" s="1061"/>
      <c r="X113" s="1061"/>
      <c r="Y113" s="1118"/>
    </row>
    <row r="114" spans="2:25" s="408" customFormat="1" x14ac:dyDescent="0.2">
      <c r="B114" s="1120"/>
      <c r="E114" s="1119"/>
      <c r="I114" s="1119"/>
      <c r="M114" s="1119"/>
      <c r="N114" s="1061"/>
      <c r="O114" s="1061"/>
      <c r="P114" s="1061"/>
      <c r="Q114" s="1118"/>
      <c r="R114" s="1061"/>
      <c r="S114" s="1061"/>
      <c r="T114" s="1061"/>
      <c r="U114" s="1118"/>
      <c r="V114" s="1061"/>
      <c r="W114" s="1061"/>
      <c r="X114" s="1061"/>
      <c r="Y114" s="1118"/>
    </row>
    <row r="115" spans="2:25" s="408" customFormat="1" x14ac:dyDescent="0.2">
      <c r="B115" s="1120"/>
      <c r="E115" s="1119"/>
      <c r="I115" s="1119"/>
      <c r="M115" s="1119"/>
      <c r="N115" s="1061"/>
      <c r="O115" s="1061"/>
      <c r="P115" s="1061"/>
      <c r="Q115" s="1118"/>
      <c r="R115" s="1061"/>
      <c r="S115" s="1061"/>
      <c r="T115" s="1061"/>
      <c r="U115" s="1118"/>
      <c r="V115" s="1061"/>
      <c r="W115" s="1061"/>
      <c r="X115" s="1061"/>
      <c r="Y115" s="1118"/>
    </row>
    <row r="116" spans="2:25" s="408" customFormat="1" x14ac:dyDescent="0.2">
      <c r="B116" s="1120"/>
      <c r="E116" s="1119"/>
      <c r="I116" s="1119"/>
      <c r="M116" s="1119"/>
      <c r="N116" s="1061"/>
      <c r="O116" s="1061"/>
      <c r="P116" s="1061"/>
      <c r="Q116" s="1118"/>
      <c r="R116" s="1061"/>
      <c r="S116" s="1061"/>
      <c r="T116" s="1061"/>
      <c r="U116" s="1118"/>
      <c r="V116" s="1061"/>
      <c r="W116" s="1061"/>
      <c r="X116" s="1061"/>
      <c r="Y116" s="1118"/>
    </row>
    <row r="117" spans="2:25" s="408" customFormat="1" x14ac:dyDescent="0.2">
      <c r="B117" s="1120"/>
      <c r="E117" s="1119"/>
      <c r="I117" s="1119"/>
      <c r="M117" s="1119"/>
      <c r="N117" s="1061"/>
      <c r="O117" s="1061"/>
      <c r="P117" s="1061"/>
      <c r="Q117" s="1118"/>
      <c r="R117" s="1061"/>
      <c r="S117" s="1061"/>
      <c r="T117" s="1061"/>
      <c r="U117" s="1118"/>
      <c r="V117" s="1061"/>
      <c r="W117" s="1061"/>
      <c r="X117" s="1061"/>
      <c r="Y117" s="1118"/>
    </row>
    <row r="118" spans="2:25" s="408" customFormat="1" x14ac:dyDescent="0.2">
      <c r="B118" s="1120"/>
      <c r="E118" s="1119"/>
      <c r="I118" s="1119"/>
      <c r="M118" s="1119"/>
      <c r="N118" s="1061"/>
      <c r="O118" s="1061"/>
      <c r="P118" s="1061"/>
      <c r="Q118" s="1118"/>
      <c r="R118" s="1061"/>
      <c r="S118" s="1061"/>
      <c r="T118" s="1061"/>
      <c r="U118" s="1118"/>
      <c r="V118" s="1061"/>
      <c r="W118" s="1061"/>
      <c r="X118" s="1061"/>
      <c r="Y118" s="1118"/>
    </row>
    <row r="119" spans="2:25" s="408" customFormat="1" x14ac:dyDescent="0.2">
      <c r="B119" s="1120"/>
      <c r="E119" s="1119"/>
      <c r="I119" s="1119"/>
      <c r="M119" s="1119"/>
      <c r="N119" s="1061"/>
      <c r="O119" s="1061"/>
      <c r="P119" s="1061"/>
      <c r="Q119" s="1118"/>
      <c r="R119" s="1061"/>
      <c r="S119" s="1061"/>
      <c r="T119" s="1061"/>
      <c r="U119" s="1118"/>
      <c r="V119" s="1061"/>
      <c r="W119" s="1061"/>
      <c r="X119" s="1061"/>
      <c r="Y119" s="1118"/>
    </row>
    <row r="120" spans="2:25" s="408" customFormat="1" x14ac:dyDescent="0.2">
      <c r="B120" s="1120"/>
      <c r="E120" s="1119"/>
      <c r="I120" s="1119"/>
      <c r="M120" s="1119"/>
      <c r="N120" s="1061"/>
      <c r="O120" s="1061"/>
      <c r="P120" s="1061"/>
      <c r="Q120" s="1118"/>
      <c r="R120" s="1061"/>
      <c r="S120" s="1061"/>
      <c r="T120" s="1061"/>
      <c r="U120" s="1118"/>
      <c r="V120" s="1061"/>
      <c r="W120" s="1061"/>
      <c r="X120" s="1061"/>
      <c r="Y120" s="1118"/>
    </row>
    <row r="121" spans="2:25" s="408" customFormat="1" x14ac:dyDescent="0.2">
      <c r="B121" s="1120"/>
      <c r="E121" s="1119"/>
      <c r="I121" s="1119"/>
      <c r="M121" s="1119"/>
      <c r="N121" s="1061"/>
      <c r="O121" s="1061"/>
      <c r="P121" s="1061"/>
      <c r="Q121" s="1118"/>
      <c r="R121" s="1061"/>
      <c r="S121" s="1061"/>
      <c r="T121" s="1061"/>
      <c r="U121" s="1118"/>
      <c r="V121" s="1061"/>
      <c r="W121" s="1061"/>
      <c r="X121" s="1061"/>
      <c r="Y121" s="1118"/>
    </row>
    <row r="122" spans="2:25" s="408" customFormat="1" x14ac:dyDescent="0.2">
      <c r="B122" s="1120"/>
      <c r="E122" s="1119"/>
      <c r="I122" s="1119"/>
      <c r="M122" s="1119"/>
      <c r="N122" s="1061"/>
      <c r="O122" s="1061"/>
      <c r="P122" s="1061"/>
      <c r="Q122" s="1118"/>
      <c r="R122" s="1061"/>
      <c r="S122" s="1061"/>
      <c r="T122" s="1061"/>
      <c r="U122" s="1118"/>
      <c r="V122" s="1061"/>
      <c r="W122" s="1061"/>
      <c r="X122" s="1061"/>
      <c r="Y122" s="1118"/>
    </row>
    <row r="123" spans="2:25" s="408" customFormat="1" x14ac:dyDescent="0.2">
      <c r="B123" s="1120"/>
      <c r="E123" s="1119"/>
      <c r="I123" s="1119"/>
      <c r="M123" s="1119"/>
      <c r="N123" s="1061"/>
      <c r="O123" s="1061"/>
      <c r="P123" s="1061"/>
      <c r="Q123" s="1118"/>
      <c r="R123" s="1061"/>
      <c r="S123" s="1061"/>
      <c r="T123" s="1061"/>
      <c r="U123" s="1118"/>
      <c r="V123" s="1061"/>
      <c r="W123" s="1061"/>
      <c r="X123" s="1061"/>
      <c r="Y123" s="1118"/>
    </row>
    <row r="124" spans="2:25" s="408" customFormat="1" x14ac:dyDescent="0.2">
      <c r="B124" s="1120"/>
      <c r="E124" s="1119"/>
      <c r="I124" s="1119"/>
      <c r="M124" s="1119"/>
      <c r="N124" s="1061"/>
      <c r="O124" s="1061"/>
      <c r="P124" s="1061"/>
      <c r="Q124" s="1118"/>
      <c r="R124" s="1061"/>
      <c r="S124" s="1061"/>
      <c r="T124" s="1061"/>
      <c r="U124" s="1118"/>
      <c r="V124" s="1061"/>
      <c r="W124" s="1061"/>
      <c r="X124" s="1061"/>
      <c r="Y124" s="1118"/>
    </row>
    <row r="125" spans="2:25" s="408" customFormat="1" x14ac:dyDescent="0.2">
      <c r="B125" s="1120"/>
      <c r="E125" s="1119"/>
      <c r="I125" s="1119"/>
      <c r="M125" s="1119"/>
      <c r="N125" s="1061"/>
      <c r="O125" s="1061"/>
      <c r="P125" s="1061"/>
      <c r="Q125" s="1118"/>
      <c r="R125" s="1061"/>
      <c r="S125" s="1061"/>
      <c r="T125" s="1061"/>
      <c r="U125" s="1118"/>
      <c r="V125" s="1061"/>
      <c r="W125" s="1061"/>
      <c r="X125" s="1061"/>
      <c r="Y125" s="1118"/>
    </row>
    <row r="126" spans="2:25" s="408" customFormat="1" x14ac:dyDescent="0.2">
      <c r="B126" s="1120"/>
      <c r="E126" s="1119"/>
      <c r="I126" s="1119"/>
      <c r="M126" s="1119"/>
      <c r="N126" s="1061"/>
      <c r="O126" s="1061"/>
      <c r="P126" s="1061"/>
      <c r="Q126" s="1118"/>
      <c r="R126" s="1061"/>
      <c r="S126" s="1061"/>
      <c r="T126" s="1061"/>
      <c r="U126" s="1118"/>
      <c r="V126" s="1061"/>
      <c r="W126" s="1061"/>
      <c r="X126" s="1061"/>
      <c r="Y126" s="1118"/>
    </row>
    <row r="127" spans="2:25" s="408" customFormat="1" x14ac:dyDescent="0.2">
      <c r="B127" s="1120"/>
      <c r="E127" s="1119"/>
      <c r="I127" s="1119"/>
      <c r="M127" s="1119"/>
      <c r="N127" s="1061"/>
      <c r="O127" s="1061"/>
      <c r="P127" s="1061"/>
      <c r="Q127" s="1118"/>
      <c r="R127" s="1061"/>
      <c r="S127" s="1061"/>
      <c r="T127" s="1061"/>
      <c r="U127" s="1118"/>
      <c r="V127" s="1061"/>
      <c r="W127" s="1061"/>
      <c r="X127" s="1061"/>
      <c r="Y127" s="1118"/>
    </row>
    <row r="128" spans="2:25" s="408" customFormat="1" x14ac:dyDescent="0.2">
      <c r="B128" s="1120"/>
      <c r="E128" s="1119"/>
      <c r="I128" s="1119"/>
      <c r="M128" s="1119"/>
      <c r="N128" s="1061"/>
      <c r="O128" s="1061"/>
      <c r="P128" s="1061"/>
      <c r="Q128" s="1118"/>
      <c r="R128" s="1061"/>
      <c r="S128" s="1061"/>
      <c r="T128" s="1061"/>
      <c r="U128" s="1118"/>
      <c r="V128" s="1061"/>
      <c r="W128" s="1061"/>
      <c r="X128" s="1061"/>
      <c r="Y128" s="1118"/>
    </row>
    <row r="129" spans="2:25" s="408" customFormat="1" x14ac:dyDescent="0.2">
      <c r="B129" s="1120"/>
      <c r="E129" s="1119"/>
      <c r="I129" s="1119"/>
      <c r="M129" s="1119"/>
      <c r="N129" s="1061"/>
      <c r="O129" s="1061"/>
      <c r="P129" s="1061"/>
      <c r="Q129" s="1118"/>
      <c r="R129" s="1061"/>
      <c r="S129" s="1061"/>
      <c r="T129" s="1061"/>
      <c r="U129" s="1118"/>
      <c r="V129" s="1061"/>
      <c r="W129" s="1061"/>
      <c r="X129" s="1061"/>
      <c r="Y129" s="1118"/>
    </row>
    <row r="130" spans="2:25" s="408" customFormat="1" x14ac:dyDescent="0.2">
      <c r="B130" s="1120"/>
      <c r="E130" s="1119"/>
      <c r="I130" s="1119"/>
      <c r="M130" s="1119"/>
      <c r="N130" s="1061"/>
      <c r="O130" s="1061"/>
      <c r="P130" s="1061"/>
      <c r="Q130" s="1118"/>
      <c r="R130" s="1061"/>
      <c r="S130" s="1061"/>
      <c r="T130" s="1061"/>
      <c r="U130" s="1118"/>
      <c r="V130" s="1061"/>
      <c r="W130" s="1061"/>
      <c r="X130" s="1061"/>
      <c r="Y130" s="1118"/>
    </row>
    <row r="131" spans="2:25" s="408" customFormat="1" x14ac:dyDescent="0.2">
      <c r="B131" s="1120"/>
      <c r="E131" s="1119"/>
      <c r="I131" s="1119"/>
      <c r="M131" s="1119"/>
      <c r="N131" s="1061"/>
      <c r="O131" s="1061"/>
      <c r="P131" s="1061"/>
      <c r="Q131" s="1118"/>
      <c r="R131" s="1061"/>
      <c r="S131" s="1061"/>
      <c r="T131" s="1061"/>
      <c r="U131" s="1118"/>
      <c r="V131" s="1061"/>
      <c r="W131" s="1061"/>
      <c r="X131" s="1061"/>
      <c r="Y131" s="1118"/>
    </row>
    <row r="132" spans="2:25" s="408" customFormat="1" x14ac:dyDescent="0.2">
      <c r="B132" s="1120"/>
      <c r="E132" s="1119"/>
      <c r="I132" s="1119"/>
      <c r="M132" s="1119"/>
      <c r="N132" s="1061"/>
      <c r="O132" s="1061"/>
      <c r="P132" s="1061"/>
      <c r="Q132" s="1118"/>
      <c r="R132" s="1061"/>
      <c r="S132" s="1061"/>
      <c r="T132" s="1061"/>
      <c r="U132" s="1118"/>
      <c r="V132" s="1061"/>
      <c r="W132" s="1061"/>
      <c r="X132" s="1061"/>
      <c r="Y132" s="1118"/>
    </row>
    <row r="133" spans="2:25" s="408" customFormat="1" x14ac:dyDescent="0.2">
      <c r="B133" s="1120"/>
      <c r="E133" s="1119"/>
      <c r="I133" s="1119"/>
      <c r="M133" s="1119"/>
      <c r="N133" s="1061"/>
      <c r="O133" s="1061"/>
      <c r="P133" s="1061"/>
      <c r="Q133" s="1118"/>
      <c r="R133" s="1061"/>
      <c r="S133" s="1061"/>
      <c r="T133" s="1061"/>
      <c r="U133" s="1118"/>
      <c r="V133" s="1061"/>
      <c r="W133" s="1061"/>
      <c r="X133" s="1061"/>
      <c r="Y133" s="1118"/>
    </row>
    <row r="134" spans="2:25" s="408" customFormat="1" x14ac:dyDescent="0.2">
      <c r="B134" s="1120"/>
      <c r="E134" s="1119"/>
      <c r="I134" s="1119"/>
      <c r="M134" s="1119"/>
      <c r="N134" s="1061"/>
      <c r="O134" s="1061"/>
      <c r="P134" s="1061"/>
      <c r="Q134" s="1118"/>
      <c r="R134" s="1061"/>
      <c r="S134" s="1061"/>
      <c r="T134" s="1061"/>
      <c r="U134" s="1118"/>
      <c r="V134" s="1061"/>
      <c r="W134" s="1061"/>
      <c r="X134" s="1061"/>
      <c r="Y134" s="1118"/>
    </row>
    <row r="135" spans="2:25" s="408" customFormat="1" x14ac:dyDescent="0.2">
      <c r="B135" s="1120"/>
      <c r="E135" s="1119"/>
      <c r="I135" s="1119"/>
      <c r="M135" s="1119"/>
      <c r="N135" s="1061"/>
      <c r="O135" s="1061"/>
      <c r="P135" s="1061"/>
      <c r="Q135" s="1118"/>
      <c r="R135" s="1061"/>
      <c r="S135" s="1061"/>
      <c r="T135" s="1061"/>
      <c r="U135" s="1118"/>
      <c r="V135" s="1061"/>
      <c r="W135" s="1061"/>
      <c r="X135" s="1061"/>
      <c r="Y135" s="1118"/>
    </row>
    <row r="136" spans="2:25" s="408" customFormat="1" x14ac:dyDescent="0.2">
      <c r="B136" s="1120"/>
      <c r="E136" s="1119"/>
      <c r="I136" s="1119"/>
      <c r="M136" s="1119"/>
      <c r="N136" s="1061"/>
      <c r="O136" s="1061"/>
      <c r="P136" s="1061"/>
      <c r="Q136" s="1118"/>
      <c r="R136" s="1061"/>
      <c r="S136" s="1061"/>
      <c r="T136" s="1061"/>
      <c r="U136" s="1118"/>
      <c r="V136" s="1061"/>
      <c r="W136" s="1061"/>
      <c r="X136" s="1061"/>
      <c r="Y136" s="1118"/>
    </row>
    <row r="137" spans="2:25" s="408" customFormat="1" x14ac:dyDescent="0.2">
      <c r="B137" s="1120"/>
      <c r="E137" s="1119"/>
      <c r="I137" s="1119"/>
      <c r="M137" s="1119"/>
      <c r="N137" s="1061"/>
      <c r="O137" s="1061"/>
      <c r="P137" s="1061"/>
      <c r="Q137" s="1118"/>
      <c r="R137" s="1061"/>
      <c r="S137" s="1061"/>
      <c r="T137" s="1061"/>
      <c r="U137" s="1118"/>
      <c r="V137" s="1061"/>
      <c r="W137" s="1061"/>
      <c r="X137" s="1061"/>
      <c r="Y137" s="1118"/>
    </row>
    <row r="138" spans="2:25" s="408" customFormat="1" x14ac:dyDescent="0.2">
      <c r="B138" s="1120"/>
      <c r="E138" s="1119"/>
      <c r="I138" s="1119"/>
      <c r="M138" s="1119"/>
      <c r="N138" s="1061"/>
      <c r="O138" s="1061"/>
      <c r="P138" s="1061"/>
      <c r="Q138" s="1118"/>
      <c r="R138" s="1061"/>
      <c r="S138" s="1061"/>
      <c r="T138" s="1061"/>
      <c r="U138" s="1118"/>
      <c r="V138" s="1061"/>
      <c r="W138" s="1061"/>
      <c r="X138" s="1061"/>
      <c r="Y138" s="1118"/>
    </row>
    <row r="139" spans="2:25" s="408" customFormat="1" x14ac:dyDescent="0.2">
      <c r="B139" s="1120"/>
      <c r="E139" s="1119"/>
      <c r="I139" s="1119"/>
      <c r="M139" s="1119"/>
      <c r="N139" s="1061"/>
      <c r="O139" s="1061"/>
      <c r="P139" s="1061"/>
      <c r="Q139" s="1118"/>
      <c r="R139" s="1061"/>
      <c r="S139" s="1061"/>
      <c r="T139" s="1061"/>
      <c r="U139" s="1118"/>
      <c r="V139" s="1061"/>
      <c r="W139" s="1061"/>
      <c r="X139" s="1061"/>
      <c r="Y139" s="1118"/>
    </row>
    <row r="140" spans="2:25" s="408" customFormat="1" x14ac:dyDescent="0.2">
      <c r="B140" s="1120"/>
      <c r="E140" s="1119"/>
      <c r="I140" s="1119"/>
      <c r="M140" s="1119"/>
      <c r="N140" s="1061"/>
      <c r="O140" s="1061"/>
      <c r="P140" s="1061"/>
      <c r="Q140" s="1118"/>
      <c r="R140" s="1061"/>
      <c r="S140" s="1061"/>
      <c r="T140" s="1061"/>
      <c r="U140" s="1118"/>
      <c r="V140" s="1061"/>
      <c r="W140" s="1061"/>
      <c r="X140" s="1061"/>
      <c r="Y140" s="1118"/>
    </row>
    <row r="141" spans="2:25" s="408" customFormat="1" x14ac:dyDescent="0.2">
      <c r="B141" s="1120"/>
      <c r="E141" s="1119"/>
      <c r="I141" s="1119"/>
      <c r="M141" s="1119"/>
      <c r="N141" s="1061"/>
      <c r="O141" s="1061"/>
      <c r="P141" s="1061"/>
      <c r="Q141" s="1118"/>
      <c r="R141" s="1061"/>
      <c r="S141" s="1061"/>
      <c r="T141" s="1061"/>
      <c r="U141" s="1118"/>
      <c r="V141" s="1061"/>
      <c r="W141" s="1061"/>
      <c r="X141" s="1061"/>
      <c r="Y141" s="1118"/>
    </row>
    <row r="142" spans="2:25" s="408" customFormat="1" x14ac:dyDescent="0.2">
      <c r="B142" s="1120"/>
      <c r="E142" s="1119"/>
      <c r="I142" s="1119"/>
      <c r="M142" s="1119"/>
      <c r="N142" s="1061"/>
      <c r="O142" s="1061"/>
      <c r="P142" s="1061"/>
      <c r="Q142" s="1118"/>
      <c r="R142" s="1061"/>
      <c r="S142" s="1061"/>
      <c r="T142" s="1061"/>
      <c r="U142" s="1118"/>
      <c r="V142" s="1061"/>
      <c r="W142" s="1061"/>
      <c r="X142" s="1061"/>
      <c r="Y142" s="1118"/>
    </row>
    <row r="143" spans="2:25" s="408" customFormat="1" x14ac:dyDescent="0.2">
      <c r="B143" s="1120"/>
      <c r="E143" s="1119"/>
      <c r="I143" s="1119"/>
      <c r="M143" s="1119"/>
      <c r="N143" s="1061"/>
      <c r="O143" s="1061"/>
      <c r="P143" s="1061"/>
      <c r="Q143" s="1118"/>
      <c r="R143" s="1061"/>
      <c r="S143" s="1061"/>
      <c r="T143" s="1061"/>
      <c r="U143" s="1118"/>
      <c r="V143" s="1061"/>
      <c r="W143" s="1061"/>
      <c r="X143" s="1061"/>
      <c r="Y143" s="1118"/>
    </row>
    <row r="144" spans="2:25" s="408" customFormat="1" x14ac:dyDescent="0.2">
      <c r="B144" s="1120"/>
      <c r="E144" s="1119"/>
      <c r="I144" s="1119"/>
      <c r="M144" s="1119"/>
      <c r="N144" s="1061"/>
      <c r="O144" s="1061"/>
      <c r="P144" s="1061"/>
      <c r="Q144" s="1118"/>
      <c r="R144" s="1061"/>
      <c r="S144" s="1061"/>
      <c r="T144" s="1061"/>
      <c r="U144" s="1118"/>
      <c r="V144" s="1061"/>
      <c r="W144" s="1061"/>
      <c r="X144" s="1061"/>
      <c r="Y144" s="1118"/>
    </row>
    <row r="145" spans="2:25" s="408" customFormat="1" x14ac:dyDescent="0.2">
      <c r="B145" s="1120"/>
      <c r="E145" s="1119"/>
      <c r="I145" s="1119"/>
      <c r="M145" s="1119"/>
      <c r="N145" s="1061"/>
      <c r="O145" s="1061"/>
      <c r="P145" s="1061"/>
      <c r="Q145" s="1118"/>
      <c r="R145" s="1061"/>
      <c r="S145" s="1061"/>
      <c r="T145" s="1061"/>
      <c r="U145" s="1118"/>
      <c r="V145" s="1061"/>
      <c r="W145" s="1061"/>
      <c r="X145" s="1061"/>
      <c r="Y145" s="1118"/>
    </row>
    <row r="146" spans="2:25" s="408" customFormat="1" x14ac:dyDescent="0.2">
      <c r="B146" s="1120"/>
      <c r="E146" s="1119"/>
      <c r="I146" s="1119"/>
      <c r="M146" s="1119"/>
      <c r="N146" s="1061"/>
      <c r="O146" s="1061"/>
      <c r="P146" s="1061"/>
      <c r="Q146" s="1118"/>
      <c r="R146" s="1061"/>
      <c r="S146" s="1061"/>
      <c r="T146" s="1061"/>
      <c r="U146" s="1118"/>
      <c r="V146" s="1061"/>
      <c r="W146" s="1061"/>
      <c r="X146" s="1061"/>
      <c r="Y146" s="1118"/>
    </row>
    <row r="147" spans="2:25" s="408" customFormat="1" x14ac:dyDescent="0.2">
      <c r="B147" s="1120"/>
      <c r="E147" s="1119"/>
      <c r="I147" s="1119"/>
      <c r="M147" s="1119"/>
      <c r="N147" s="1061"/>
      <c r="O147" s="1061"/>
      <c r="P147" s="1061"/>
      <c r="Q147" s="1118"/>
      <c r="R147" s="1061"/>
      <c r="S147" s="1061"/>
      <c r="T147" s="1061"/>
      <c r="U147" s="1118"/>
      <c r="V147" s="1061"/>
      <c r="W147" s="1061"/>
      <c r="X147" s="1061"/>
      <c r="Y147" s="1118"/>
    </row>
    <row r="148" spans="2:25" s="408" customFormat="1" x14ac:dyDescent="0.2">
      <c r="B148" s="1120"/>
      <c r="E148" s="1119"/>
      <c r="I148" s="1119"/>
      <c r="M148" s="1119"/>
      <c r="N148" s="1061"/>
      <c r="O148" s="1061"/>
      <c r="P148" s="1061"/>
      <c r="Q148" s="1118"/>
      <c r="R148" s="1061"/>
      <c r="S148" s="1061"/>
      <c r="T148" s="1061"/>
      <c r="U148" s="1118"/>
      <c r="V148" s="1061"/>
      <c r="W148" s="1061"/>
      <c r="X148" s="1061"/>
      <c r="Y148" s="1118"/>
    </row>
    <row r="149" spans="2:25" s="408" customFormat="1" x14ac:dyDescent="0.2">
      <c r="B149" s="1120"/>
      <c r="E149" s="1119"/>
      <c r="I149" s="1119"/>
      <c r="M149" s="1119"/>
      <c r="N149" s="1061"/>
      <c r="O149" s="1061"/>
      <c r="P149" s="1061"/>
      <c r="Q149" s="1118"/>
      <c r="R149" s="1061"/>
      <c r="S149" s="1061"/>
      <c r="T149" s="1061"/>
      <c r="U149" s="1118"/>
      <c r="V149" s="1061"/>
      <c r="W149" s="1061"/>
      <c r="X149" s="1061"/>
      <c r="Y149" s="1118"/>
    </row>
    <row r="150" spans="2:25" s="408" customFormat="1" x14ac:dyDescent="0.2">
      <c r="B150" s="1120"/>
      <c r="E150" s="1119"/>
      <c r="I150" s="1119"/>
      <c r="M150" s="1119"/>
      <c r="N150" s="1061"/>
      <c r="O150" s="1061"/>
      <c r="P150" s="1061"/>
      <c r="Q150" s="1118"/>
      <c r="R150" s="1061"/>
      <c r="S150" s="1061"/>
      <c r="T150" s="1061"/>
      <c r="U150" s="1118"/>
      <c r="V150" s="1061"/>
      <c r="W150" s="1061"/>
      <c r="X150" s="1061"/>
      <c r="Y150" s="1118"/>
    </row>
    <row r="151" spans="2:25" s="408" customFormat="1" x14ac:dyDescent="0.2">
      <c r="B151" s="1120"/>
      <c r="E151" s="1119"/>
      <c r="I151" s="1119"/>
      <c r="M151" s="1119"/>
      <c r="N151" s="1061"/>
      <c r="O151" s="1061"/>
      <c r="P151" s="1061"/>
      <c r="Q151" s="1118"/>
      <c r="R151" s="1061"/>
      <c r="S151" s="1061"/>
      <c r="T151" s="1061"/>
      <c r="U151" s="1118"/>
      <c r="V151" s="1061"/>
      <c r="W151" s="1061"/>
      <c r="X151" s="1061"/>
      <c r="Y151" s="1118"/>
    </row>
    <row r="152" spans="2:25" s="408" customFormat="1" x14ac:dyDescent="0.2">
      <c r="B152" s="1120"/>
      <c r="E152" s="1119"/>
      <c r="I152" s="1119"/>
      <c r="M152" s="1119"/>
      <c r="N152" s="1061"/>
      <c r="O152" s="1061"/>
      <c r="P152" s="1061"/>
      <c r="Q152" s="1118"/>
      <c r="R152" s="1061"/>
      <c r="S152" s="1061"/>
      <c r="T152" s="1061"/>
      <c r="U152" s="1118"/>
      <c r="V152" s="1061"/>
      <c r="W152" s="1061"/>
      <c r="X152" s="1061"/>
      <c r="Y152" s="1118"/>
    </row>
    <row r="153" spans="2:25" s="408" customFormat="1" x14ac:dyDescent="0.2">
      <c r="B153" s="1120"/>
      <c r="E153" s="1119"/>
      <c r="I153" s="1119"/>
      <c r="M153" s="1119"/>
      <c r="N153" s="1061"/>
      <c r="O153" s="1061"/>
      <c r="P153" s="1061"/>
      <c r="Q153" s="1118"/>
      <c r="R153" s="1061"/>
      <c r="S153" s="1061"/>
      <c r="T153" s="1061"/>
      <c r="U153" s="1118"/>
      <c r="V153" s="1061"/>
      <c r="W153" s="1061"/>
      <c r="X153" s="1061"/>
      <c r="Y153" s="1118"/>
    </row>
    <row r="154" spans="2:25" s="408" customFormat="1" x14ac:dyDescent="0.2">
      <c r="B154" s="1120"/>
      <c r="E154" s="1119"/>
      <c r="I154" s="1119"/>
      <c r="M154" s="1119"/>
      <c r="N154" s="1061"/>
      <c r="O154" s="1061"/>
      <c r="P154" s="1061"/>
      <c r="Q154" s="1118"/>
      <c r="R154" s="1061"/>
      <c r="S154" s="1061"/>
      <c r="T154" s="1061"/>
      <c r="U154" s="1118"/>
      <c r="V154" s="1061"/>
      <c r="W154" s="1061"/>
      <c r="X154" s="1061"/>
      <c r="Y154" s="1118"/>
    </row>
    <row r="155" spans="2:25" s="408" customFormat="1" x14ac:dyDescent="0.2">
      <c r="B155" s="1120"/>
      <c r="E155" s="1119"/>
      <c r="I155" s="1119"/>
      <c r="M155" s="1119"/>
      <c r="N155" s="1061"/>
      <c r="O155" s="1061"/>
      <c r="P155" s="1061"/>
      <c r="Q155" s="1118"/>
      <c r="R155" s="1061"/>
      <c r="S155" s="1061"/>
      <c r="T155" s="1061"/>
      <c r="U155" s="1118"/>
      <c r="V155" s="1061"/>
      <c r="W155" s="1061"/>
      <c r="X155" s="1061"/>
      <c r="Y155" s="1118"/>
    </row>
  </sheetData>
  <mergeCells count="34">
    <mergeCell ref="X3:Y3"/>
    <mergeCell ref="X1:Y1"/>
    <mergeCell ref="W5:W6"/>
    <mergeCell ref="V4:Y4"/>
    <mergeCell ref="Q5:Q6"/>
    <mergeCell ref="R5:R6"/>
    <mergeCell ref="U5:U6"/>
    <mergeCell ref="L5:L6"/>
    <mergeCell ref="Y5:Y6"/>
    <mergeCell ref="X5:X6"/>
    <mergeCell ref="P5:P6"/>
    <mergeCell ref="V5:V6"/>
    <mergeCell ref="R4:U4"/>
    <mergeCell ref="N5:N6"/>
    <mergeCell ref="T5:T6"/>
    <mergeCell ref="S5:S6"/>
    <mergeCell ref="A5:A6"/>
    <mergeCell ref="B5:B6"/>
    <mergeCell ref="C5:C6"/>
    <mergeCell ref="D5:D6"/>
    <mergeCell ref="E5:E6"/>
    <mergeCell ref="G5:G6"/>
    <mergeCell ref="K5:K6"/>
    <mergeCell ref="O5:O6"/>
    <mergeCell ref="C3:M3"/>
    <mergeCell ref="C4:E4"/>
    <mergeCell ref="F4:I4"/>
    <mergeCell ref="J4:M4"/>
    <mergeCell ref="M5:M6"/>
    <mergeCell ref="F5:F6"/>
    <mergeCell ref="N4:Q4"/>
    <mergeCell ref="H5:H6"/>
    <mergeCell ref="J5:J6"/>
    <mergeCell ref="I5:I6"/>
  </mergeCells>
  <printOptions horizontalCentered="1" verticalCentered="1"/>
  <pageMargins left="0.25" right="0.25" top="0.75" bottom="0.75" header="0.3" footer="0.3"/>
  <pageSetup paperSize="9" scale="52" orientation="landscape" r:id="rId1"/>
  <headerFooter alignWithMargins="0">
    <oddHeader>&amp;C&amp;"Times New Roman,Félkövér"&amp;10A   9/2021. ( II.16.) önk.rendelethez Budapest Főváros IV. kerület Újpest Önkormányzat Gazdasági Intézményéhez tartozó 
egyéb intézmények bevételei és kiadásai</oddHeader>
    <oddFooter>&amp;P. oldal</oddFooter>
  </headerFooter>
  <rowBreaks count="1" manualBreakCount="1">
    <brk id="40" max="16383" man="1"/>
  </rowBreaks>
  <colBreaks count="1" manualBreakCount="1">
    <brk id="13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N154"/>
  <sheetViews>
    <sheetView view="pageLayout" topLeftCell="AL1" zoomScaleNormal="85" workbookViewId="0">
      <selection activeCell="AT8" sqref="AT8"/>
    </sheetView>
  </sheetViews>
  <sheetFormatPr defaultColWidth="9.140625" defaultRowHeight="12.75" x14ac:dyDescent="0.2"/>
  <cols>
    <col min="1" max="1" width="6.7109375" style="1" customWidth="1"/>
    <col min="2" max="2" width="34.85546875" style="1" customWidth="1"/>
    <col min="3" max="3" width="11.85546875" style="1" hidden="1" customWidth="1"/>
    <col min="4" max="4" width="11.85546875" style="1" customWidth="1"/>
    <col min="5" max="5" width="10.140625" style="1" bestFit="1" customWidth="1"/>
    <col min="6" max="6" width="10.5703125" style="2" customWidth="1"/>
    <col min="7" max="7" width="11.85546875" style="1" hidden="1" customWidth="1"/>
    <col min="8" max="8" width="11.85546875" style="1" customWidth="1"/>
    <col min="9" max="9" width="10.140625" style="1" bestFit="1" customWidth="1"/>
    <col min="10" max="10" width="10.5703125" style="2" customWidth="1"/>
    <col min="11" max="11" width="11.85546875" style="1" hidden="1" customWidth="1"/>
    <col min="12" max="12" width="11.85546875" style="1" customWidth="1"/>
    <col min="13" max="13" width="10.140625" style="1" bestFit="1" customWidth="1"/>
    <col min="14" max="14" width="10.5703125" style="2" customWidth="1"/>
    <col min="15" max="15" width="11.85546875" style="1" hidden="1" customWidth="1"/>
    <col min="16" max="16" width="11.85546875" style="1" customWidth="1"/>
    <col min="17" max="17" width="10.140625" style="1" bestFit="1" customWidth="1"/>
    <col min="18" max="18" width="10.5703125" style="2" customWidth="1"/>
    <col min="19" max="19" width="11.85546875" style="1" hidden="1" customWidth="1"/>
    <col min="20" max="20" width="11.85546875" style="1" customWidth="1"/>
    <col min="21" max="21" width="10.140625" style="1" bestFit="1" customWidth="1"/>
    <col min="22" max="22" width="10.5703125" style="2" customWidth="1"/>
    <col min="23" max="23" width="11.85546875" style="1" hidden="1" customWidth="1"/>
    <col min="24" max="24" width="11.85546875" style="1" customWidth="1"/>
    <col min="25" max="25" width="10.140625" style="1" bestFit="1" customWidth="1"/>
    <col min="26" max="26" width="10.5703125" style="2" customWidth="1"/>
    <col min="27" max="27" width="11.85546875" style="1" hidden="1" customWidth="1"/>
    <col min="28" max="28" width="11.85546875" style="1" customWidth="1"/>
    <col min="29" max="29" width="10.140625" style="1" bestFit="1" customWidth="1"/>
    <col min="30" max="30" width="10.5703125" style="2" customWidth="1"/>
    <col min="31" max="31" width="11.85546875" style="1" hidden="1" customWidth="1"/>
    <col min="32" max="32" width="11.85546875" style="1" customWidth="1"/>
    <col min="33" max="33" width="10.140625" style="1" bestFit="1" customWidth="1"/>
    <col min="34" max="34" width="10.5703125" style="2" customWidth="1"/>
    <col min="35" max="35" width="11.85546875" style="1" hidden="1" customWidth="1"/>
    <col min="36" max="36" width="11.85546875" style="1" customWidth="1"/>
    <col min="37" max="37" width="10.140625" style="1" bestFit="1" customWidth="1"/>
    <col min="38" max="38" width="10.5703125" style="2" customWidth="1"/>
    <col min="39" max="39" width="11.85546875" style="1" hidden="1" customWidth="1"/>
    <col min="40" max="40" width="11.85546875" style="1" customWidth="1"/>
    <col min="41" max="41" width="10.140625" style="1" bestFit="1" customWidth="1"/>
    <col min="42" max="42" width="10.5703125" style="2" customWidth="1"/>
    <col min="43" max="43" width="11.85546875" style="1" hidden="1" customWidth="1"/>
    <col min="44" max="44" width="11.85546875" style="1" customWidth="1"/>
    <col min="45" max="45" width="10.140625" style="1" bestFit="1" customWidth="1"/>
    <col min="46" max="46" width="10.5703125" style="2" customWidth="1"/>
    <col min="47" max="47" width="11.85546875" style="1" hidden="1" customWidth="1"/>
    <col min="48" max="48" width="11.85546875" style="1" customWidth="1"/>
    <col min="49" max="49" width="10.140625" style="1" bestFit="1" customWidth="1"/>
    <col min="50" max="50" width="10.5703125" style="2" customWidth="1"/>
    <col min="51" max="51" width="11.85546875" style="1" hidden="1" customWidth="1"/>
    <col min="52" max="52" width="11.85546875" style="1" customWidth="1"/>
    <col min="53" max="53" width="10.140625" style="1" bestFit="1" customWidth="1"/>
    <col min="54" max="54" width="10.5703125" style="2" customWidth="1"/>
    <col min="55" max="55" width="11.85546875" style="1" hidden="1" customWidth="1"/>
    <col min="56" max="56" width="11.85546875" style="1" customWidth="1"/>
    <col min="57" max="57" width="10.140625" style="1" bestFit="1" customWidth="1"/>
    <col min="58" max="58" width="10.5703125" style="2" customWidth="1"/>
    <col min="59" max="59" width="12.42578125" style="455" hidden="1" customWidth="1"/>
    <col min="60" max="60" width="12.42578125" style="455" customWidth="1"/>
    <col min="61" max="61" width="10.42578125" style="455" customWidth="1"/>
    <col min="62" max="62" width="10.5703125" style="1059" customWidth="1"/>
    <col min="63" max="16384" width="9.140625" style="1"/>
  </cols>
  <sheetData>
    <row r="1" spans="1:62" x14ac:dyDescent="0.2">
      <c r="BI1" s="1355" t="s">
        <v>861</v>
      </c>
      <c r="BJ1" s="1355"/>
    </row>
    <row r="2" spans="1:62" x14ac:dyDescent="0.2">
      <c r="BI2" s="1269"/>
      <c r="BJ2" s="1269"/>
    </row>
    <row r="3" spans="1:62" ht="12.6" customHeight="1" thickBot="1" x14ac:dyDescent="0.25">
      <c r="A3" s="1356"/>
      <c r="B3" s="1357"/>
      <c r="C3" s="1357"/>
      <c r="D3" s="1357"/>
      <c r="E3" s="1357"/>
      <c r="F3" s="1357"/>
      <c r="BI3" s="1363" t="s">
        <v>277</v>
      </c>
      <c r="BJ3" s="1363"/>
    </row>
    <row r="4" spans="1:62" s="1114" customFormat="1" ht="27" customHeight="1" thickTop="1" x14ac:dyDescent="0.2">
      <c r="A4" s="1058"/>
      <c r="B4" s="1057" t="s">
        <v>438</v>
      </c>
      <c r="C4" s="1329" t="s">
        <v>831</v>
      </c>
      <c r="D4" s="1329"/>
      <c r="E4" s="1330"/>
      <c r="F4" s="1331"/>
      <c r="G4" s="1328" t="s">
        <v>852</v>
      </c>
      <c r="H4" s="1329"/>
      <c r="I4" s="1330"/>
      <c r="J4" s="1331"/>
      <c r="K4" s="1328" t="s">
        <v>851</v>
      </c>
      <c r="L4" s="1329"/>
      <c r="M4" s="1330"/>
      <c r="N4" s="1358"/>
      <c r="O4" s="1359" t="s">
        <v>850</v>
      </c>
      <c r="P4" s="1360"/>
      <c r="Q4" s="1361"/>
      <c r="R4" s="1362"/>
      <c r="S4" s="1329" t="s">
        <v>827</v>
      </c>
      <c r="T4" s="1329"/>
      <c r="U4" s="1330"/>
      <c r="V4" s="1331"/>
      <c r="W4" s="1328" t="s">
        <v>826</v>
      </c>
      <c r="X4" s="1329"/>
      <c r="Y4" s="1330"/>
      <c r="Z4" s="1331"/>
      <c r="AA4" s="1328" t="s">
        <v>825</v>
      </c>
      <c r="AB4" s="1329"/>
      <c r="AC4" s="1330"/>
      <c r="AD4" s="1331"/>
      <c r="AE4" s="1328" t="s">
        <v>824</v>
      </c>
      <c r="AF4" s="1329"/>
      <c r="AG4" s="1330"/>
      <c r="AH4" s="1331"/>
      <c r="AI4" s="1328" t="s">
        <v>849</v>
      </c>
      <c r="AJ4" s="1329"/>
      <c r="AK4" s="1330"/>
      <c r="AL4" s="1331"/>
      <c r="AM4" s="1328" t="s">
        <v>848</v>
      </c>
      <c r="AN4" s="1329"/>
      <c r="AO4" s="1330"/>
      <c r="AP4" s="1331"/>
      <c r="AQ4" s="1328" t="s">
        <v>821</v>
      </c>
      <c r="AR4" s="1329"/>
      <c r="AS4" s="1330"/>
      <c r="AT4" s="1331"/>
      <c r="AU4" s="1328" t="s">
        <v>847</v>
      </c>
      <c r="AV4" s="1329"/>
      <c r="AW4" s="1330"/>
      <c r="AX4" s="1331"/>
      <c r="AY4" s="1328" t="s">
        <v>819</v>
      </c>
      <c r="AZ4" s="1329"/>
      <c r="BA4" s="1330"/>
      <c r="BB4" s="1331"/>
      <c r="BC4" s="1328" t="s">
        <v>818</v>
      </c>
      <c r="BD4" s="1329"/>
      <c r="BE4" s="1330"/>
      <c r="BF4" s="1331"/>
      <c r="BG4" s="1339" t="s">
        <v>817</v>
      </c>
      <c r="BH4" s="1340"/>
      <c r="BI4" s="1341"/>
      <c r="BJ4" s="1342"/>
    </row>
    <row r="5" spans="1:62" s="860" customFormat="1" ht="12.75" customHeight="1" x14ac:dyDescent="0.25">
      <c r="A5" s="1332"/>
      <c r="B5" s="1334" t="s">
        <v>778</v>
      </c>
      <c r="C5" s="1346" t="s">
        <v>777</v>
      </c>
      <c r="D5" s="1346" t="s">
        <v>835</v>
      </c>
      <c r="E5" s="1346" t="s">
        <v>846</v>
      </c>
      <c r="F5" s="1320" t="s">
        <v>840</v>
      </c>
      <c r="G5" s="1346" t="s">
        <v>777</v>
      </c>
      <c r="H5" s="1346" t="s">
        <v>835</v>
      </c>
      <c r="I5" s="1346" t="s">
        <v>846</v>
      </c>
      <c r="J5" s="1320" t="s">
        <v>840</v>
      </c>
      <c r="K5" s="1346" t="s">
        <v>777</v>
      </c>
      <c r="L5" s="1346" t="s">
        <v>835</v>
      </c>
      <c r="M5" s="1346" t="s">
        <v>846</v>
      </c>
      <c r="N5" s="1320" t="s">
        <v>840</v>
      </c>
      <c r="O5" s="1346" t="s">
        <v>777</v>
      </c>
      <c r="P5" s="1346" t="s">
        <v>835</v>
      </c>
      <c r="Q5" s="1346" t="s">
        <v>846</v>
      </c>
      <c r="R5" s="1320" t="s">
        <v>840</v>
      </c>
      <c r="S5" s="1346" t="s">
        <v>777</v>
      </c>
      <c r="T5" s="1346" t="s">
        <v>835</v>
      </c>
      <c r="U5" s="1346" t="s">
        <v>846</v>
      </c>
      <c r="V5" s="1320" t="s">
        <v>840</v>
      </c>
      <c r="W5" s="1346" t="s">
        <v>777</v>
      </c>
      <c r="X5" s="1346" t="s">
        <v>835</v>
      </c>
      <c r="Y5" s="1346" t="s">
        <v>846</v>
      </c>
      <c r="Z5" s="1320" t="s">
        <v>840</v>
      </c>
      <c r="AA5" s="1346" t="s">
        <v>777</v>
      </c>
      <c r="AB5" s="1346" t="s">
        <v>835</v>
      </c>
      <c r="AC5" s="1346" t="s">
        <v>846</v>
      </c>
      <c r="AD5" s="1320" t="s">
        <v>840</v>
      </c>
      <c r="AE5" s="1346" t="s">
        <v>777</v>
      </c>
      <c r="AF5" s="1346" t="s">
        <v>835</v>
      </c>
      <c r="AG5" s="1346" t="s">
        <v>846</v>
      </c>
      <c r="AH5" s="1320" t="s">
        <v>840</v>
      </c>
      <c r="AI5" s="1346" t="s">
        <v>777</v>
      </c>
      <c r="AJ5" s="1346" t="s">
        <v>835</v>
      </c>
      <c r="AK5" s="1346" t="s">
        <v>846</v>
      </c>
      <c r="AL5" s="1320" t="s">
        <v>840</v>
      </c>
      <c r="AM5" s="1346" t="s">
        <v>777</v>
      </c>
      <c r="AN5" s="1346" t="s">
        <v>835</v>
      </c>
      <c r="AO5" s="1346" t="s">
        <v>846</v>
      </c>
      <c r="AP5" s="1320" t="s">
        <v>840</v>
      </c>
      <c r="AQ5" s="1346" t="s">
        <v>777</v>
      </c>
      <c r="AR5" s="1346" t="s">
        <v>835</v>
      </c>
      <c r="AS5" s="1346" t="s">
        <v>846</v>
      </c>
      <c r="AT5" s="1320" t="s">
        <v>840</v>
      </c>
      <c r="AU5" s="1346" t="s">
        <v>777</v>
      </c>
      <c r="AV5" s="1346" t="s">
        <v>835</v>
      </c>
      <c r="AW5" s="1346" t="s">
        <v>846</v>
      </c>
      <c r="AX5" s="1320" t="s">
        <v>840</v>
      </c>
      <c r="AY5" s="1346" t="s">
        <v>777</v>
      </c>
      <c r="AZ5" s="1346" t="s">
        <v>835</v>
      </c>
      <c r="BA5" s="1346" t="s">
        <v>846</v>
      </c>
      <c r="BB5" s="1320" t="s">
        <v>840</v>
      </c>
      <c r="BC5" s="1346" t="s">
        <v>777</v>
      </c>
      <c r="BD5" s="1346" t="s">
        <v>835</v>
      </c>
      <c r="BE5" s="1346" t="s">
        <v>846</v>
      </c>
      <c r="BF5" s="1320" t="s">
        <v>840</v>
      </c>
      <c r="BG5" s="1346" t="s">
        <v>777</v>
      </c>
      <c r="BH5" s="1346" t="s">
        <v>835</v>
      </c>
      <c r="BI5" s="1346" t="s">
        <v>846</v>
      </c>
      <c r="BJ5" s="1324" t="s">
        <v>840</v>
      </c>
    </row>
    <row r="6" spans="1:62" s="854" customFormat="1" ht="13.5" customHeight="1" thickBot="1" x14ac:dyDescent="0.25">
      <c r="A6" s="1333"/>
      <c r="B6" s="1335"/>
      <c r="C6" s="1347"/>
      <c r="D6" s="1347"/>
      <c r="E6" s="1347"/>
      <c r="F6" s="1321"/>
      <c r="G6" s="1347"/>
      <c r="H6" s="1347"/>
      <c r="I6" s="1347"/>
      <c r="J6" s="1321"/>
      <c r="K6" s="1347"/>
      <c r="L6" s="1347"/>
      <c r="M6" s="1347"/>
      <c r="N6" s="1321"/>
      <c r="O6" s="1347"/>
      <c r="P6" s="1347"/>
      <c r="Q6" s="1347"/>
      <c r="R6" s="1321"/>
      <c r="S6" s="1347"/>
      <c r="T6" s="1347"/>
      <c r="U6" s="1347"/>
      <c r="V6" s="1321"/>
      <c r="W6" s="1347"/>
      <c r="X6" s="1347"/>
      <c r="Y6" s="1347"/>
      <c r="Z6" s="1321"/>
      <c r="AA6" s="1347"/>
      <c r="AB6" s="1347"/>
      <c r="AC6" s="1347"/>
      <c r="AD6" s="1321"/>
      <c r="AE6" s="1347"/>
      <c r="AF6" s="1347"/>
      <c r="AG6" s="1347"/>
      <c r="AH6" s="1321"/>
      <c r="AI6" s="1347"/>
      <c r="AJ6" s="1347"/>
      <c r="AK6" s="1347"/>
      <c r="AL6" s="1321"/>
      <c r="AM6" s="1347"/>
      <c r="AN6" s="1347"/>
      <c r="AO6" s="1347"/>
      <c r="AP6" s="1321"/>
      <c r="AQ6" s="1347"/>
      <c r="AR6" s="1347"/>
      <c r="AS6" s="1347"/>
      <c r="AT6" s="1321"/>
      <c r="AU6" s="1347"/>
      <c r="AV6" s="1347"/>
      <c r="AW6" s="1347"/>
      <c r="AX6" s="1321"/>
      <c r="AY6" s="1347"/>
      <c r="AZ6" s="1347"/>
      <c r="BA6" s="1347"/>
      <c r="BB6" s="1321"/>
      <c r="BC6" s="1347"/>
      <c r="BD6" s="1347"/>
      <c r="BE6" s="1347"/>
      <c r="BF6" s="1321"/>
      <c r="BG6" s="1347"/>
      <c r="BH6" s="1347"/>
      <c r="BI6" s="1347"/>
      <c r="BJ6" s="1325"/>
    </row>
    <row r="7" spans="1:62" s="183" customFormat="1" ht="18.75" customHeight="1" x14ac:dyDescent="0.2">
      <c r="A7" s="1056" t="s">
        <v>64</v>
      </c>
      <c r="B7" s="1055" t="s">
        <v>424</v>
      </c>
      <c r="C7" s="1112"/>
      <c r="D7" s="1112"/>
      <c r="E7" s="1112"/>
      <c r="F7" s="1111"/>
      <c r="G7" s="1112"/>
      <c r="H7" s="1112"/>
      <c r="I7" s="1112"/>
      <c r="J7" s="1111"/>
      <c r="K7" s="1112"/>
      <c r="L7" s="1112"/>
      <c r="M7" s="1112"/>
      <c r="N7" s="1111"/>
      <c r="O7" s="1113"/>
      <c r="P7" s="1113"/>
      <c r="Q7" s="1113"/>
      <c r="R7" s="1111"/>
      <c r="S7" s="1112"/>
      <c r="T7" s="1112"/>
      <c r="U7" s="1112"/>
      <c r="V7" s="1111"/>
      <c r="W7" s="1112"/>
      <c r="X7" s="1112"/>
      <c r="Y7" s="1112"/>
      <c r="Z7" s="1111"/>
      <c r="AA7" s="1112"/>
      <c r="AB7" s="1112"/>
      <c r="AC7" s="1112"/>
      <c r="AD7" s="1111"/>
      <c r="AE7" s="1112"/>
      <c r="AF7" s="1112"/>
      <c r="AG7" s="1112"/>
      <c r="AH7" s="1111"/>
      <c r="AI7" s="1112"/>
      <c r="AJ7" s="1112"/>
      <c r="AK7" s="1112"/>
      <c r="AL7" s="1111"/>
      <c r="AM7" s="1112"/>
      <c r="AN7" s="1112"/>
      <c r="AO7" s="1112"/>
      <c r="AP7" s="1111"/>
      <c r="AQ7" s="1112"/>
      <c r="AR7" s="1112"/>
      <c r="AS7" s="1112"/>
      <c r="AT7" s="1111"/>
      <c r="AU7" s="1112"/>
      <c r="AV7" s="1112"/>
      <c r="AW7" s="1112"/>
      <c r="AX7" s="1111"/>
      <c r="AY7" s="1112"/>
      <c r="AZ7" s="1112"/>
      <c r="BA7" s="1112"/>
      <c r="BB7" s="1111"/>
      <c r="BC7" s="1112"/>
      <c r="BD7" s="1112"/>
      <c r="BE7" s="1112"/>
      <c r="BF7" s="1111"/>
      <c r="BG7" s="1110"/>
      <c r="BH7" s="1109"/>
      <c r="BI7" s="1109"/>
      <c r="BJ7" s="1108"/>
    </row>
    <row r="8" spans="1:62" s="977" customFormat="1" ht="28.5" x14ac:dyDescent="0.2">
      <c r="A8" s="1079" t="s">
        <v>72</v>
      </c>
      <c r="B8" s="1097" t="s">
        <v>267</v>
      </c>
      <c r="C8" s="1049"/>
      <c r="D8" s="1049"/>
      <c r="E8" s="1049"/>
      <c r="F8" s="1107"/>
      <c r="G8" s="1049"/>
      <c r="H8" s="1049"/>
      <c r="I8" s="1049"/>
      <c r="J8" s="1107"/>
      <c r="K8" s="1049"/>
      <c r="L8" s="1049"/>
      <c r="M8" s="1049"/>
      <c r="N8" s="1107"/>
      <c r="O8" s="1045"/>
      <c r="P8" s="1045"/>
      <c r="Q8" s="1045"/>
      <c r="R8" s="1105"/>
      <c r="S8" s="1049"/>
      <c r="T8" s="1049"/>
      <c r="U8" s="1049"/>
      <c r="V8" s="1107"/>
      <c r="W8" s="1049"/>
      <c r="X8" s="1049"/>
      <c r="Y8" s="1049"/>
      <c r="Z8" s="1107"/>
      <c r="AA8" s="1049"/>
      <c r="AB8" s="1049"/>
      <c r="AC8" s="1049"/>
      <c r="AD8" s="1107"/>
      <c r="AE8" s="1049"/>
      <c r="AF8" s="1049"/>
      <c r="AG8" s="1049"/>
      <c r="AH8" s="1107"/>
      <c r="AI8" s="1049"/>
      <c r="AJ8" s="1049"/>
      <c r="AK8" s="1049"/>
      <c r="AL8" s="1107"/>
      <c r="AM8" s="1049"/>
      <c r="AN8" s="1049"/>
      <c r="AO8" s="1049"/>
      <c r="AP8" s="1107"/>
      <c r="AQ8" s="1049"/>
      <c r="AR8" s="1049"/>
      <c r="AS8" s="1049"/>
      <c r="AT8" s="1107"/>
      <c r="AU8" s="1049"/>
      <c r="AV8" s="1049"/>
      <c r="AW8" s="1049"/>
      <c r="AX8" s="1107"/>
      <c r="AY8" s="1049"/>
      <c r="AZ8" s="1049"/>
      <c r="BA8" s="1049"/>
      <c r="BB8" s="1107"/>
      <c r="BC8" s="1049"/>
      <c r="BD8" s="1049"/>
      <c r="BE8" s="1049"/>
      <c r="BF8" s="1107"/>
      <c r="BG8" s="1066">
        <f t="shared" ref="BG8:BG40" si="0">C8+G8+K8+O8+S8+W8+AA8+AE8+AI8+AM8+AQ8+AU8+AY8+BC8</f>
        <v>0</v>
      </c>
      <c r="BH8" s="1069">
        <f t="shared" ref="BH8:BH40" si="1">D8+H8+L8+P8+T8+X8+AB8+AF8+AJ8+AN8+AR8+AV8+AZ8+BD8</f>
        <v>0</v>
      </c>
      <c r="BI8" s="1069">
        <f t="shared" ref="BI8:BI40" si="2">E8+I8+M8+Q8+U8+Y8+AC8+AG8+AK8+AO8+AS8+AW8+BA8+BE8</f>
        <v>0</v>
      </c>
      <c r="BJ8" s="1106"/>
    </row>
    <row r="9" spans="1:62" s="153" customFormat="1" ht="12.75" hidden="1" customHeight="1" x14ac:dyDescent="0.2">
      <c r="A9" s="992"/>
      <c r="B9" s="991" t="s">
        <v>839</v>
      </c>
      <c r="C9" s="1099"/>
      <c r="D9" s="1099"/>
      <c r="E9" s="1099"/>
      <c r="F9" s="988"/>
      <c r="G9" s="1099"/>
      <c r="H9" s="1099"/>
      <c r="I9" s="1099"/>
      <c r="J9" s="988"/>
      <c r="K9" s="1099"/>
      <c r="L9" s="1099"/>
      <c r="M9" s="1099"/>
      <c r="N9" s="988"/>
      <c r="O9" s="1100"/>
      <c r="P9" s="1100"/>
      <c r="Q9" s="1100"/>
      <c r="R9" s="1098"/>
      <c r="S9" s="1099"/>
      <c r="T9" s="1099"/>
      <c r="U9" s="1099"/>
      <c r="V9" s="988"/>
      <c r="W9" s="1099"/>
      <c r="X9" s="1099"/>
      <c r="Y9" s="1099"/>
      <c r="Z9" s="988"/>
      <c r="AA9" s="1099"/>
      <c r="AB9" s="1099"/>
      <c r="AC9" s="1099"/>
      <c r="AD9" s="988"/>
      <c r="AE9" s="1099"/>
      <c r="AF9" s="1099"/>
      <c r="AG9" s="1099"/>
      <c r="AH9" s="988"/>
      <c r="AI9" s="1099"/>
      <c r="AJ9" s="1099"/>
      <c r="AK9" s="1099"/>
      <c r="AL9" s="988"/>
      <c r="AM9" s="1099"/>
      <c r="AN9" s="1099"/>
      <c r="AO9" s="1099"/>
      <c r="AP9" s="988"/>
      <c r="AQ9" s="1099"/>
      <c r="AR9" s="1099"/>
      <c r="AS9" s="1099"/>
      <c r="AT9" s="988"/>
      <c r="AU9" s="1099"/>
      <c r="AV9" s="1099"/>
      <c r="AW9" s="1099"/>
      <c r="AX9" s="988"/>
      <c r="AY9" s="1099"/>
      <c r="AZ9" s="1099"/>
      <c r="BA9" s="1099"/>
      <c r="BB9" s="988"/>
      <c r="BC9" s="1099"/>
      <c r="BD9" s="1099"/>
      <c r="BE9" s="1099"/>
      <c r="BF9" s="988"/>
      <c r="BG9" s="1066">
        <f t="shared" si="0"/>
        <v>0</v>
      </c>
      <c r="BH9" s="1069">
        <f t="shared" si="1"/>
        <v>0</v>
      </c>
      <c r="BI9" s="1069">
        <f t="shared" si="2"/>
        <v>0</v>
      </c>
      <c r="BJ9" s="1103"/>
    </row>
    <row r="10" spans="1:62" s="153" customFormat="1" ht="12.75" hidden="1" customHeight="1" x14ac:dyDescent="0.2">
      <c r="A10" s="992"/>
      <c r="B10" s="991" t="s">
        <v>838</v>
      </c>
      <c r="C10" s="1099"/>
      <c r="D10" s="1099"/>
      <c r="E10" s="1099"/>
      <c r="F10" s="988"/>
      <c r="G10" s="1099"/>
      <c r="H10" s="1099"/>
      <c r="I10" s="1099"/>
      <c r="J10" s="988"/>
      <c r="K10" s="1099"/>
      <c r="L10" s="1099"/>
      <c r="M10" s="1099"/>
      <c r="N10" s="988"/>
      <c r="O10" s="1100"/>
      <c r="P10" s="1100"/>
      <c r="Q10" s="1100"/>
      <c r="R10" s="1098"/>
      <c r="S10" s="1099"/>
      <c r="T10" s="1099"/>
      <c r="U10" s="1099"/>
      <c r="V10" s="988"/>
      <c r="W10" s="1099"/>
      <c r="X10" s="1099"/>
      <c r="Y10" s="1099"/>
      <c r="Z10" s="988"/>
      <c r="AA10" s="1099"/>
      <c r="AB10" s="1099"/>
      <c r="AC10" s="1099"/>
      <c r="AD10" s="988"/>
      <c r="AE10" s="1099"/>
      <c r="AF10" s="1099"/>
      <c r="AG10" s="1099"/>
      <c r="AH10" s="988"/>
      <c r="AI10" s="1099"/>
      <c r="AJ10" s="1099"/>
      <c r="AK10" s="1099"/>
      <c r="AL10" s="988"/>
      <c r="AM10" s="1099"/>
      <c r="AN10" s="1099"/>
      <c r="AO10" s="1099"/>
      <c r="AP10" s="988"/>
      <c r="AQ10" s="1099"/>
      <c r="AR10" s="1099"/>
      <c r="AS10" s="1099"/>
      <c r="AT10" s="988"/>
      <c r="AU10" s="1099"/>
      <c r="AV10" s="1099"/>
      <c r="AW10" s="1099"/>
      <c r="AX10" s="988"/>
      <c r="AY10" s="1099"/>
      <c r="AZ10" s="1099"/>
      <c r="BA10" s="1099"/>
      <c r="BB10" s="988"/>
      <c r="BC10" s="1099"/>
      <c r="BD10" s="1099"/>
      <c r="BE10" s="1099"/>
      <c r="BF10" s="988"/>
      <c r="BG10" s="1066">
        <f t="shared" si="0"/>
        <v>0</v>
      </c>
      <c r="BH10" s="1069">
        <f t="shared" si="1"/>
        <v>0</v>
      </c>
      <c r="BI10" s="1069">
        <f t="shared" si="2"/>
        <v>0</v>
      </c>
      <c r="BJ10" s="1103"/>
    </row>
    <row r="11" spans="1:62" s="153" customFormat="1" ht="12.75" hidden="1" customHeight="1" x14ac:dyDescent="0.2">
      <c r="A11" s="992"/>
      <c r="B11" s="991" t="s">
        <v>837</v>
      </c>
      <c r="C11" s="1099"/>
      <c r="D11" s="1099"/>
      <c r="E11" s="1099"/>
      <c r="F11" s="988"/>
      <c r="G11" s="1099"/>
      <c r="H11" s="1099"/>
      <c r="I11" s="1099"/>
      <c r="J11" s="988"/>
      <c r="K11" s="1099"/>
      <c r="L11" s="1099"/>
      <c r="M11" s="1099"/>
      <c r="N11" s="988"/>
      <c r="O11" s="1100"/>
      <c r="P11" s="1100"/>
      <c r="Q11" s="1100"/>
      <c r="R11" s="1098"/>
      <c r="S11" s="1099"/>
      <c r="T11" s="1099"/>
      <c r="U11" s="1099"/>
      <c r="V11" s="988"/>
      <c r="W11" s="1099"/>
      <c r="X11" s="1099"/>
      <c r="Y11" s="1099"/>
      <c r="Z11" s="988"/>
      <c r="AA11" s="1099"/>
      <c r="AB11" s="1099"/>
      <c r="AC11" s="1099"/>
      <c r="AD11" s="988"/>
      <c r="AE11" s="1099"/>
      <c r="AF11" s="1099"/>
      <c r="AG11" s="1099"/>
      <c r="AH11" s="988"/>
      <c r="AI11" s="1099"/>
      <c r="AJ11" s="1099"/>
      <c r="AK11" s="1099"/>
      <c r="AL11" s="988"/>
      <c r="AM11" s="1099"/>
      <c r="AN11" s="1099"/>
      <c r="AO11" s="1099"/>
      <c r="AP11" s="988"/>
      <c r="AQ11" s="1099"/>
      <c r="AR11" s="1099"/>
      <c r="AS11" s="1099"/>
      <c r="AT11" s="988"/>
      <c r="AU11" s="1099"/>
      <c r="AV11" s="1099"/>
      <c r="AW11" s="1099"/>
      <c r="AX11" s="988"/>
      <c r="AY11" s="1099"/>
      <c r="AZ11" s="1099"/>
      <c r="BA11" s="1099"/>
      <c r="BB11" s="988"/>
      <c r="BC11" s="1099"/>
      <c r="BD11" s="1099"/>
      <c r="BE11" s="1099"/>
      <c r="BF11" s="988"/>
      <c r="BG11" s="1066">
        <f t="shared" si="0"/>
        <v>0</v>
      </c>
      <c r="BH11" s="1069">
        <f t="shared" si="1"/>
        <v>0</v>
      </c>
      <c r="BI11" s="1069">
        <f t="shared" si="2"/>
        <v>0</v>
      </c>
      <c r="BJ11" s="1103"/>
    </row>
    <row r="12" spans="1:62" s="977" customFormat="1" ht="28.5" x14ac:dyDescent="0.2">
      <c r="A12" s="1087" t="s">
        <v>70</v>
      </c>
      <c r="B12" s="1097" t="s">
        <v>232</v>
      </c>
      <c r="C12" s="1045"/>
      <c r="D12" s="1045"/>
      <c r="E12" s="1045"/>
      <c r="F12" s="1105"/>
      <c r="G12" s="1045"/>
      <c r="H12" s="1045"/>
      <c r="I12" s="1045"/>
      <c r="J12" s="1105"/>
      <c r="K12" s="1045"/>
      <c r="L12" s="1045"/>
      <c r="M12" s="1045"/>
      <c r="N12" s="1105"/>
      <c r="O12" s="1045"/>
      <c r="P12" s="1045"/>
      <c r="Q12" s="1045"/>
      <c r="R12" s="1105"/>
      <c r="S12" s="1045"/>
      <c r="T12" s="1045"/>
      <c r="U12" s="1045"/>
      <c r="V12" s="1105"/>
      <c r="W12" s="1045"/>
      <c r="X12" s="1045"/>
      <c r="Y12" s="1045"/>
      <c r="Z12" s="1105"/>
      <c r="AA12" s="1045"/>
      <c r="AB12" s="1045"/>
      <c r="AC12" s="1045"/>
      <c r="AD12" s="1105"/>
      <c r="AE12" s="1045"/>
      <c r="AF12" s="1045"/>
      <c r="AG12" s="1045"/>
      <c r="AH12" s="1105"/>
      <c r="AI12" s="1045"/>
      <c r="AJ12" s="1045"/>
      <c r="AK12" s="1045"/>
      <c r="AL12" s="1105"/>
      <c r="AM12" s="1045"/>
      <c r="AN12" s="1045"/>
      <c r="AO12" s="1045"/>
      <c r="AP12" s="1105"/>
      <c r="AQ12" s="1045"/>
      <c r="AR12" s="1045"/>
      <c r="AS12" s="1045"/>
      <c r="AT12" s="1105"/>
      <c r="AU12" s="1045"/>
      <c r="AV12" s="1045"/>
      <c r="AW12" s="1045"/>
      <c r="AX12" s="1105"/>
      <c r="AY12" s="1045"/>
      <c r="AZ12" s="1045"/>
      <c r="BA12" s="1045"/>
      <c r="BB12" s="1105"/>
      <c r="BC12" s="1045"/>
      <c r="BD12" s="1045"/>
      <c r="BE12" s="1045"/>
      <c r="BF12" s="1105"/>
      <c r="BG12" s="1066">
        <f t="shared" si="0"/>
        <v>0</v>
      </c>
      <c r="BH12" s="1069">
        <f t="shared" si="1"/>
        <v>0</v>
      </c>
      <c r="BI12" s="1069">
        <f t="shared" si="2"/>
        <v>0</v>
      </c>
      <c r="BJ12" s="1104"/>
    </row>
    <row r="13" spans="1:62" s="153" customFormat="1" ht="12.75" hidden="1" customHeight="1" x14ac:dyDescent="0.2">
      <c r="A13" s="992"/>
      <c r="B13" s="991" t="s">
        <v>839</v>
      </c>
      <c r="C13" s="1099"/>
      <c r="D13" s="1099"/>
      <c r="E13" s="1099"/>
      <c r="F13" s="988"/>
      <c r="G13" s="1099"/>
      <c r="H13" s="1099"/>
      <c r="I13" s="1099"/>
      <c r="J13" s="988"/>
      <c r="K13" s="1099"/>
      <c r="L13" s="1099"/>
      <c r="M13" s="1099"/>
      <c r="N13" s="988"/>
      <c r="O13" s="1100"/>
      <c r="P13" s="1100"/>
      <c r="Q13" s="1100"/>
      <c r="R13" s="1098"/>
      <c r="S13" s="1099"/>
      <c r="T13" s="1099"/>
      <c r="U13" s="1099"/>
      <c r="V13" s="988"/>
      <c r="W13" s="1099"/>
      <c r="X13" s="1099"/>
      <c r="Y13" s="1099"/>
      <c r="Z13" s="988"/>
      <c r="AA13" s="1099"/>
      <c r="AB13" s="1099"/>
      <c r="AC13" s="1099"/>
      <c r="AD13" s="988"/>
      <c r="AE13" s="1099"/>
      <c r="AF13" s="1099"/>
      <c r="AG13" s="1099"/>
      <c r="AH13" s="988"/>
      <c r="AI13" s="1099"/>
      <c r="AJ13" s="1099"/>
      <c r="AK13" s="1099"/>
      <c r="AL13" s="988"/>
      <c r="AM13" s="1099"/>
      <c r="AN13" s="1099"/>
      <c r="AO13" s="1099"/>
      <c r="AP13" s="988"/>
      <c r="AQ13" s="1099"/>
      <c r="AR13" s="1099"/>
      <c r="AS13" s="1099"/>
      <c r="AT13" s="988"/>
      <c r="AU13" s="1099"/>
      <c r="AV13" s="1099"/>
      <c r="AW13" s="1099"/>
      <c r="AX13" s="988"/>
      <c r="AY13" s="1099"/>
      <c r="AZ13" s="1099"/>
      <c r="BA13" s="1099"/>
      <c r="BB13" s="988"/>
      <c r="BC13" s="1099"/>
      <c r="BD13" s="1099"/>
      <c r="BE13" s="1099"/>
      <c r="BF13" s="988"/>
      <c r="BG13" s="1066">
        <f t="shared" si="0"/>
        <v>0</v>
      </c>
      <c r="BH13" s="1069">
        <f t="shared" si="1"/>
        <v>0</v>
      </c>
      <c r="BI13" s="1069">
        <f t="shared" si="2"/>
        <v>0</v>
      </c>
      <c r="BJ13" s="1103"/>
    </row>
    <row r="14" spans="1:62" s="153" customFormat="1" ht="12.75" hidden="1" customHeight="1" x14ac:dyDescent="0.2">
      <c r="A14" s="992"/>
      <c r="B14" s="991" t="s">
        <v>838</v>
      </c>
      <c r="C14" s="1099"/>
      <c r="D14" s="1099"/>
      <c r="E14" s="1099"/>
      <c r="F14" s="988"/>
      <c r="G14" s="1099"/>
      <c r="H14" s="1099"/>
      <c r="I14" s="1099"/>
      <c r="J14" s="988"/>
      <c r="K14" s="1099"/>
      <c r="L14" s="1099"/>
      <c r="M14" s="1099"/>
      <c r="N14" s="988"/>
      <c r="O14" s="1100"/>
      <c r="P14" s="1100"/>
      <c r="Q14" s="1100"/>
      <c r="R14" s="1098"/>
      <c r="S14" s="1099"/>
      <c r="T14" s="1099"/>
      <c r="U14" s="1099"/>
      <c r="V14" s="988"/>
      <c r="W14" s="1099"/>
      <c r="X14" s="1099"/>
      <c r="Y14" s="1099"/>
      <c r="Z14" s="988"/>
      <c r="AA14" s="1099"/>
      <c r="AB14" s="1099"/>
      <c r="AC14" s="1099"/>
      <c r="AD14" s="988"/>
      <c r="AE14" s="1099"/>
      <c r="AF14" s="1099"/>
      <c r="AG14" s="1099"/>
      <c r="AH14" s="988"/>
      <c r="AI14" s="1099"/>
      <c r="AJ14" s="1099"/>
      <c r="AK14" s="1099"/>
      <c r="AL14" s="988"/>
      <c r="AM14" s="1099"/>
      <c r="AN14" s="1099"/>
      <c r="AO14" s="1099"/>
      <c r="AP14" s="988"/>
      <c r="AQ14" s="1099"/>
      <c r="AR14" s="1099"/>
      <c r="AS14" s="1099"/>
      <c r="AT14" s="988"/>
      <c r="AU14" s="1099"/>
      <c r="AV14" s="1099"/>
      <c r="AW14" s="1099"/>
      <c r="AX14" s="988"/>
      <c r="AY14" s="1099"/>
      <c r="AZ14" s="1099"/>
      <c r="BA14" s="1099"/>
      <c r="BB14" s="988"/>
      <c r="BC14" s="1099"/>
      <c r="BD14" s="1099"/>
      <c r="BE14" s="1099"/>
      <c r="BF14" s="988"/>
      <c r="BG14" s="1066">
        <f t="shared" si="0"/>
        <v>0</v>
      </c>
      <c r="BH14" s="1069">
        <f t="shared" si="1"/>
        <v>0</v>
      </c>
      <c r="BI14" s="1069">
        <f t="shared" si="2"/>
        <v>0</v>
      </c>
      <c r="BJ14" s="1103"/>
    </row>
    <row r="15" spans="1:62" s="153" customFormat="1" ht="12.75" hidden="1" customHeight="1" x14ac:dyDescent="0.2">
      <c r="A15" s="992"/>
      <c r="B15" s="991" t="s">
        <v>837</v>
      </c>
      <c r="C15" s="1099"/>
      <c r="D15" s="1099"/>
      <c r="E15" s="1099"/>
      <c r="F15" s="988"/>
      <c r="G15" s="1099"/>
      <c r="H15" s="1099"/>
      <c r="I15" s="1099"/>
      <c r="J15" s="988"/>
      <c r="K15" s="1099"/>
      <c r="L15" s="1099"/>
      <c r="M15" s="1099"/>
      <c r="N15" s="988"/>
      <c r="O15" s="1100"/>
      <c r="P15" s="1100"/>
      <c r="Q15" s="1100"/>
      <c r="R15" s="1098"/>
      <c r="S15" s="1099"/>
      <c r="T15" s="1099"/>
      <c r="U15" s="1099"/>
      <c r="V15" s="988"/>
      <c r="W15" s="1099"/>
      <c r="X15" s="1099"/>
      <c r="Y15" s="1099"/>
      <c r="Z15" s="988"/>
      <c r="AA15" s="1099"/>
      <c r="AB15" s="1099"/>
      <c r="AC15" s="1099"/>
      <c r="AD15" s="988"/>
      <c r="AE15" s="1099"/>
      <c r="AF15" s="1099"/>
      <c r="AG15" s="1099"/>
      <c r="AH15" s="988"/>
      <c r="AI15" s="1099"/>
      <c r="AJ15" s="1099"/>
      <c r="AK15" s="1099"/>
      <c r="AL15" s="988"/>
      <c r="AM15" s="1099"/>
      <c r="AN15" s="1099"/>
      <c r="AO15" s="1099"/>
      <c r="AP15" s="988"/>
      <c r="AQ15" s="1099"/>
      <c r="AR15" s="1099"/>
      <c r="AS15" s="1099"/>
      <c r="AT15" s="988"/>
      <c r="AU15" s="1099"/>
      <c r="AV15" s="1099"/>
      <c r="AW15" s="1099"/>
      <c r="AX15" s="988"/>
      <c r="AY15" s="1099"/>
      <c r="AZ15" s="1099"/>
      <c r="BA15" s="1099"/>
      <c r="BB15" s="988"/>
      <c r="BC15" s="1099"/>
      <c r="BD15" s="1099"/>
      <c r="BE15" s="1099"/>
      <c r="BF15" s="988"/>
      <c r="BG15" s="1066">
        <f t="shared" si="0"/>
        <v>0</v>
      </c>
      <c r="BH15" s="1069">
        <f t="shared" si="1"/>
        <v>0</v>
      </c>
      <c r="BI15" s="1069">
        <f t="shared" si="2"/>
        <v>0</v>
      </c>
      <c r="BJ15" s="1103"/>
    </row>
    <row r="16" spans="1:62" s="977" customFormat="1" ht="14.25" x14ac:dyDescent="0.2">
      <c r="A16" s="1087" t="s">
        <v>91</v>
      </c>
      <c r="B16" s="1097" t="s">
        <v>225</v>
      </c>
      <c r="C16" s="1045"/>
      <c r="D16" s="1045"/>
      <c r="E16" s="1045"/>
      <c r="F16" s="1105"/>
      <c r="G16" s="1045"/>
      <c r="H16" s="1045"/>
      <c r="I16" s="1045"/>
      <c r="J16" s="1105"/>
      <c r="K16" s="1045"/>
      <c r="L16" s="1045"/>
      <c r="M16" s="1045"/>
      <c r="N16" s="1105"/>
      <c r="O16" s="1045"/>
      <c r="P16" s="1045"/>
      <c r="Q16" s="1045"/>
      <c r="R16" s="1105"/>
      <c r="S16" s="1045"/>
      <c r="T16" s="1045"/>
      <c r="U16" s="1045"/>
      <c r="V16" s="1105"/>
      <c r="W16" s="1045"/>
      <c r="X16" s="1045"/>
      <c r="Y16" s="1045"/>
      <c r="Z16" s="1105"/>
      <c r="AA16" s="1045"/>
      <c r="AB16" s="1045"/>
      <c r="AC16" s="1045"/>
      <c r="AD16" s="1105"/>
      <c r="AE16" s="1045"/>
      <c r="AF16" s="1045"/>
      <c r="AG16" s="1045"/>
      <c r="AH16" s="1105"/>
      <c r="AI16" s="1045"/>
      <c r="AJ16" s="1045"/>
      <c r="AK16" s="1045"/>
      <c r="AL16" s="1105"/>
      <c r="AM16" s="1045"/>
      <c r="AN16" s="1045"/>
      <c r="AO16" s="1045"/>
      <c r="AP16" s="1105"/>
      <c r="AQ16" s="1045"/>
      <c r="AR16" s="1045"/>
      <c r="AS16" s="1045"/>
      <c r="AT16" s="1105"/>
      <c r="AU16" s="1045"/>
      <c r="AV16" s="1045"/>
      <c r="AW16" s="1045"/>
      <c r="AX16" s="1105"/>
      <c r="AY16" s="1045"/>
      <c r="AZ16" s="1045"/>
      <c r="BA16" s="1045"/>
      <c r="BB16" s="1105"/>
      <c r="BC16" s="1045"/>
      <c r="BD16" s="1045"/>
      <c r="BE16" s="1045"/>
      <c r="BF16" s="1105"/>
      <c r="BG16" s="1066">
        <f t="shared" si="0"/>
        <v>0</v>
      </c>
      <c r="BH16" s="1069">
        <f t="shared" si="1"/>
        <v>0</v>
      </c>
      <c r="BI16" s="1069">
        <f t="shared" si="2"/>
        <v>0</v>
      </c>
      <c r="BJ16" s="1104"/>
    </row>
    <row r="17" spans="1:65" s="153" customFormat="1" ht="12.75" hidden="1" customHeight="1" x14ac:dyDescent="0.2">
      <c r="A17" s="992"/>
      <c r="B17" s="991" t="s">
        <v>839</v>
      </c>
      <c r="C17" s="1099"/>
      <c r="D17" s="1099"/>
      <c r="E17" s="1099"/>
      <c r="F17" s="988"/>
      <c r="G17" s="1099"/>
      <c r="H17" s="1099"/>
      <c r="I17" s="1099"/>
      <c r="J17" s="988"/>
      <c r="K17" s="1099"/>
      <c r="L17" s="1099"/>
      <c r="M17" s="1099"/>
      <c r="N17" s="988"/>
      <c r="O17" s="1100"/>
      <c r="P17" s="1100"/>
      <c r="Q17" s="1100"/>
      <c r="R17" s="1098"/>
      <c r="S17" s="1099"/>
      <c r="T17" s="1099"/>
      <c r="U17" s="1099"/>
      <c r="V17" s="988"/>
      <c r="W17" s="1099"/>
      <c r="X17" s="1099"/>
      <c r="Y17" s="1099"/>
      <c r="Z17" s="988"/>
      <c r="AA17" s="1099"/>
      <c r="AB17" s="1099"/>
      <c r="AC17" s="1099"/>
      <c r="AD17" s="988"/>
      <c r="AE17" s="1099"/>
      <c r="AF17" s="1099"/>
      <c r="AG17" s="1099"/>
      <c r="AH17" s="988"/>
      <c r="AI17" s="1099"/>
      <c r="AJ17" s="1099"/>
      <c r="AK17" s="1099"/>
      <c r="AL17" s="988"/>
      <c r="AM17" s="1099"/>
      <c r="AN17" s="1099"/>
      <c r="AO17" s="1099"/>
      <c r="AP17" s="988"/>
      <c r="AQ17" s="1099"/>
      <c r="AR17" s="1099"/>
      <c r="AS17" s="1099"/>
      <c r="AT17" s="988"/>
      <c r="AU17" s="1099"/>
      <c r="AV17" s="1099"/>
      <c r="AW17" s="1099"/>
      <c r="AX17" s="988"/>
      <c r="AY17" s="1099"/>
      <c r="AZ17" s="1099"/>
      <c r="BA17" s="1099"/>
      <c r="BB17" s="988"/>
      <c r="BC17" s="1099"/>
      <c r="BD17" s="1099"/>
      <c r="BE17" s="1099"/>
      <c r="BF17" s="988"/>
      <c r="BG17" s="1066">
        <f t="shared" si="0"/>
        <v>0</v>
      </c>
      <c r="BH17" s="1069">
        <f t="shared" si="1"/>
        <v>0</v>
      </c>
      <c r="BI17" s="1069">
        <f t="shared" si="2"/>
        <v>0</v>
      </c>
      <c r="BJ17" s="1103"/>
    </row>
    <row r="18" spans="1:65" s="153" customFormat="1" ht="12.75" hidden="1" customHeight="1" x14ac:dyDescent="0.2">
      <c r="A18" s="992"/>
      <c r="B18" s="991" t="s">
        <v>838</v>
      </c>
      <c r="C18" s="1099"/>
      <c r="D18" s="1099"/>
      <c r="E18" s="1099"/>
      <c r="F18" s="988"/>
      <c r="G18" s="1099"/>
      <c r="H18" s="1099"/>
      <c r="I18" s="1099"/>
      <c r="J18" s="988"/>
      <c r="K18" s="1099"/>
      <c r="L18" s="1099"/>
      <c r="M18" s="1099"/>
      <c r="N18" s="988"/>
      <c r="O18" s="1100"/>
      <c r="P18" s="1100"/>
      <c r="Q18" s="1100"/>
      <c r="R18" s="1098"/>
      <c r="S18" s="1099"/>
      <c r="T18" s="1099"/>
      <c r="U18" s="1099"/>
      <c r="V18" s="988"/>
      <c r="W18" s="1099"/>
      <c r="X18" s="1099"/>
      <c r="Y18" s="1099"/>
      <c r="Z18" s="988"/>
      <c r="AA18" s="1099"/>
      <c r="AB18" s="1099"/>
      <c r="AC18" s="1099"/>
      <c r="AD18" s="988"/>
      <c r="AE18" s="1099"/>
      <c r="AF18" s="1099"/>
      <c r="AG18" s="1099"/>
      <c r="AH18" s="988"/>
      <c r="AI18" s="1099"/>
      <c r="AJ18" s="1099"/>
      <c r="AK18" s="1099"/>
      <c r="AL18" s="988"/>
      <c r="AM18" s="1099"/>
      <c r="AN18" s="1099"/>
      <c r="AO18" s="1099"/>
      <c r="AP18" s="988"/>
      <c r="AQ18" s="1099"/>
      <c r="AR18" s="1099"/>
      <c r="AS18" s="1099"/>
      <c r="AT18" s="988"/>
      <c r="AU18" s="1099"/>
      <c r="AV18" s="1099"/>
      <c r="AW18" s="1099"/>
      <c r="AX18" s="988"/>
      <c r="AY18" s="1099"/>
      <c r="AZ18" s="1099"/>
      <c r="BA18" s="1099"/>
      <c r="BB18" s="988"/>
      <c r="BC18" s="1099"/>
      <c r="BD18" s="1099"/>
      <c r="BE18" s="1099"/>
      <c r="BF18" s="988"/>
      <c r="BG18" s="1066">
        <f t="shared" si="0"/>
        <v>0</v>
      </c>
      <c r="BH18" s="1069">
        <f t="shared" si="1"/>
        <v>0</v>
      </c>
      <c r="BI18" s="1069">
        <f t="shared" si="2"/>
        <v>0</v>
      </c>
      <c r="BJ18" s="1103"/>
    </row>
    <row r="19" spans="1:65" s="153" customFormat="1" ht="12.75" hidden="1" customHeight="1" x14ac:dyDescent="0.2">
      <c r="A19" s="992"/>
      <c r="B19" s="991" t="s">
        <v>837</v>
      </c>
      <c r="C19" s="1099"/>
      <c r="D19" s="1099"/>
      <c r="E19" s="1099"/>
      <c r="F19" s="988"/>
      <c r="G19" s="1099"/>
      <c r="H19" s="1099"/>
      <c r="I19" s="1099"/>
      <c r="J19" s="988"/>
      <c r="K19" s="1099"/>
      <c r="L19" s="1099"/>
      <c r="M19" s="1099"/>
      <c r="N19" s="988"/>
      <c r="O19" s="1100"/>
      <c r="P19" s="1100"/>
      <c r="Q19" s="1100"/>
      <c r="R19" s="1098"/>
      <c r="S19" s="1099"/>
      <c r="T19" s="1099"/>
      <c r="U19" s="1099"/>
      <c r="V19" s="988"/>
      <c r="W19" s="1099"/>
      <c r="X19" s="1099"/>
      <c r="Y19" s="1099"/>
      <c r="Z19" s="988"/>
      <c r="AA19" s="1099"/>
      <c r="AB19" s="1099"/>
      <c r="AC19" s="1099"/>
      <c r="AD19" s="988"/>
      <c r="AE19" s="1099"/>
      <c r="AF19" s="1099"/>
      <c r="AG19" s="1099"/>
      <c r="AH19" s="988"/>
      <c r="AI19" s="1099"/>
      <c r="AJ19" s="1099"/>
      <c r="AK19" s="1099"/>
      <c r="AL19" s="988"/>
      <c r="AM19" s="1099"/>
      <c r="AN19" s="1099"/>
      <c r="AO19" s="1099"/>
      <c r="AP19" s="988"/>
      <c r="AQ19" s="1099"/>
      <c r="AR19" s="1099"/>
      <c r="AS19" s="1099"/>
      <c r="AT19" s="988"/>
      <c r="AU19" s="1099"/>
      <c r="AV19" s="1099"/>
      <c r="AW19" s="1099"/>
      <c r="AX19" s="988"/>
      <c r="AY19" s="1099"/>
      <c r="AZ19" s="1099"/>
      <c r="BA19" s="1099"/>
      <c r="BB19" s="988"/>
      <c r="BC19" s="1099"/>
      <c r="BD19" s="1099"/>
      <c r="BE19" s="1099"/>
      <c r="BF19" s="988"/>
      <c r="BG19" s="1066">
        <f t="shared" si="0"/>
        <v>0</v>
      </c>
      <c r="BH19" s="1069">
        <f t="shared" si="1"/>
        <v>0</v>
      </c>
      <c r="BI19" s="1069">
        <f t="shared" si="2"/>
        <v>0</v>
      </c>
      <c r="BJ19" s="1103"/>
    </row>
    <row r="20" spans="1:65" s="977" customFormat="1" ht="14.25" x14ac:dyDescent="0.2">
      <c r="A20" s="1087" t="s">
        <v>66</v>
      </c>
      <c r="B20" s="1097" t="s">
        <v>187</v>
      </c>
      <c r="C20" s="1039">
        <f>C21+C22+C23</f>
        <v>0</v>
      </c>
      <c r="D20" s="1039">
        <f>D21+D22+D23</f>
        <v>0</v>
      </c>
      <c r="E20" s="1039">
        <f>E21+E22+E23</f>
        <v>0</v>
      </c>
      <c r="F20" s="1101"/>
      <c r="G20" s="1039">
        <f>G21+G22+G23</f>
        <v>0</v>
      </c>
      <c r="H20" s="1039">
        <f>H21+H22+H23</f>
        <v>0</v>
      </c>
      <c r="I20" s="1039">
        <f>I21+I22+I23</f>
        <v>0</v>
      </c>
      <c r="J20" s="1085"/>
      <c r="K20" s="1039">
        <f>K21+K22+K23</f>
        <v>0</v>
      </c>
      <c r="L20" s="1039">
        <f>L21+L22+L23</f>
        <v>0</v>
      </c>
      <c r="M20" s="1039">
        <f>M21+M22+M23</f>
        <v>0</v>
      </c>
      <c r="N20" s="1101"/>
      <c r="O20" s="1039">
        <f>O21+O22+O23</f>
        <v>254</v>
      </c>
      <c r="P20" s="1039">
        <f>P21+P22+P23</f>
        <v>0</v>
      </c>
      <c r="Q20" s="1039">
        <f>Q21+Q22+Q23</f>
        <v>0</v>
      </c>
      <c r="R20" s="1085"/>
      <c r="S20" s="1039">
        <f>S21+S22+S23</f>
        <v>208</v>
      </c>
      <c r="T20" s="1039">
        <f>T21+T22+T23</f>
        <v>208</v>
      </c>
      <c r="U20" s="1039">
        <f>U21+U22+U23</f>
        <v>208</v>
      </c>
      <c r="V20" s="1085">
        <f>U20/T20</f>
        <v>1</v>
      </c>
      <c r="W20" s="1039">
        <f>W21+W22+W23</f>
        <v>0</v>
      </c>
      <c r="X20" s="1039">
        <f>X21+X22+X23</f>
        <v>0</v>
      </c>
      <c r="Y20" s="1039">
        <f>Y21+Y22+Y23</f>
        <v>0</v>
      </c>
      <c r="Z20" s="1085"/>
      <c r="AA20" s="1039">
        <f>AA21+AA22+AA23</f>
        <v>373</v>
      </c>
      <c r="AB20" s="1039">
        <f>AB21+AB22+AB23</f>
        <v>373</v>
      </c>
      <c r="AC20" s="1039">
        <f>AC21+AC22+AC23</f>
        <v>373</v>
      </c>
      <c r="AD20" s="1085">
        <f>AC20/AB20</f>
        <v>1</v>
      </c>
      <c r="AE20" s="1039">
        <f>AE21+AE22+AE23</f>
        <v>0</v>
      </c>
      <c r="AF20" s="1039">
        <f>AF21+AF22+AF23</f>
        <v>0</v>
      </c>
      <c r="AG20" s="1039">
        <f>AG21+AG22+AG23</f>
        <v>0</v>
      </c>
      <c r="AH20" s="1085"/>
      <c r="AI20" s="1039">
        <f>AI21+AI22+AI23</f>
        <v>318</v>
      </c>
      <c r="AJ20" s="1039">
        <f>AJ21+AJ22+AJ23</f>
        <v>318</v>
      </c>
      <c r="AK20" s="1039">
        <f>AK21+AK22+AK23</f>
        <v>318</v>
      </c>
      <c r="AL20" s="1085">
        <f>AK20/AJ20</f>
        <v>1</v>
      </c>
      <c r="AM20" s="1039">
        <f>AM21+AM22+AM23</f>
        <v>53</v>
      </c>
      <c r="AN20" s="1039">
        <f>AN21+AN22+AN23</f>
        <v>56</v>
      </c>
      <c r="AO20" s="1039">
        <f>AO21+AO22+AO23</f>
        <v>56</v>
      </c>
      <c r="AP20" s="1085">
        <f>AO20/AN20</f>
        <v>1</v>
      </c>
      <c r="AQ20" s="1039">
        <f>AQ21+AQ22+AQ23</f>
        <v>100</v>
      </c>
      <c r="AR20" s="1039">
        <f>AR21+AR22+AR23</f>
        <v>40</v>
      </c>
      <c r="AS20" s="1039">
        <f>AS21+AS22+AS23</f>
        <v>40</v>
      </c>
      <c r="AT20" s="1085">
        <f>AS20/AR20</f>
        <v>1</v>
      </c>
      <c r="AU20" s="1039">
        <f>AU21+AU22+AU23</f>
        <v>889</v>
      </c>
      <c r="AV20" s="1039">
        <f>AV21+AV22+AV23</f>
        <v>700</v>
      </c>
      <c r="AW20" s="1039">
        <f>AW21+AW22+AW23</f>
        <v>700</v>
      </c>
      <c r="AX20" s="1085">
        <f>AW20/AV20</f>
        <v>1</v>
      </c>
      <c r="AY20" s="1039">
        <f>AY21+AY22+AY23</f>
        <v>431</v>
      </c>
      <c r="AZ20" s="1039">
        <f>AZ21+AZ22+AZ23</f>
        <v>0</v>
      </c>
      <c r="BA20" s="1039">
        <f>BA21+BA22+BA23</f>
        <v>0</v>
      </c>
      <c r="BB20" s="1085"/>
      <c r="BC20" s="1039">
        <f>BC21+BC22+BC23</f>
        <v>95</v>
      </c>
      <c r="BD20" s="1039">
        <f>BD21+BD22+BD23</f>
        <v>0</v>
      </c>
      <c r="BE20" s="1039">
        <f>BE21+BE22+BE23</f>
        <v>0</v>
      </c>
      <c r="BF20" s="1085"/>
      <c r="BG20" s="1086">
        <f t="shared" si="0"/>
        <v>2721</v>
      </c>
      <c r="BH20" s="995">
        <f t="shared" si="1"/>
        <v>1695</v>
      </c>
      <c r="BI20" s="995">
        <f t="shared" si="2"/>
        <v>1695</v>
      </c>
      <c r="BJ20" s="1085">
        <f>BI20/BH20</f>
        <v>1</v>
      </c>
    </row>
    <row r="21" spans="1:65" s="153" customFormat="1" ht="14.25" hidden="1" customHeight="1" x14ac:dyDescent="0.2">
      <c r="A21" s="992"/>
      <c r="B21" s="991" t="s">
        <v>839</v>
      </c>
      <c r="C21" s="1099"/>
      <c r="D21" s="1099"/>
      <c r="E21" s="1099"/>
      <c r="F21" s="988"/>
      <c r="G21" s="1099"/>
      <c r="H21" s="1099"/>
      <c r="I21" s="1099"/>
      <c r="J21" s="1007"/>
      <c r="K21" s="1099"/>
      <c r="L21" s="1099"/>
      <c r="M21" s="1099"/>
      <c r="N21" s="988"/>
      <c r="O21" s="1100"/>
      <c r="P21" s="1100"/>
      <c r="Q21" s="1100"/>
      <c r="R21" s="1098"/>
      <c r="S21" s="1099"/>
      <c r="T21" s="1099"/>
      <c r="U21" s="1099"/>
      <c r="V21" s="1098" t="e">
        <f>U21/T21</f>
        <v>#DIV/0!</v>
      </c>
      <c r="W21" s="1099"/>
      <c r="X21" s="1099"/>
      <c r="Y21" s="1099"/>
      <c r="Z21" s="988"/>
      <c r="AA21" s="1099"/>
      <c r="AB21" s="1099"/>
      <c r="AC21" s="1099"/>
      <c r="AD21" s="1098" t="e">
        <f>AC21/AB21</f>
        <v>#DIV/0!</v>
      </c>
      <c r="AE21" s="1099"/>
      <c r="AF21" s="1099"/>
      <c r="AG21" s="1099"/>
      <c r="AH21" s="988"/>
      <c r="AI21" s="1099"/>
      <c r="AJ21" s="1099"/>
      <c r="AK21" s="1099"/>
      <c r="AL21" s="1098" t="e">
        <f>AK21/AJ21</f>
        <v>#DIV/0!</v>
      </c>
      <c r="AM21" s="1099"/>
      <c r="AN21" s="1099"/>
      <c r="AO21" s="1099"/>
      <c r="AP21" s="1098" t="e">
        <f>AO21/AN21</f>
        <v>#DIV/0!</v>
      </c>
      <c r="AQ21" s="1099"/>
      <c r="AR21" s="1099"/>
      <c r="AS21" s="1099"/>
      <c r="AT21" s="1098" t="e">
        <f>AS21/AR21</f>
        <v>#DIV/0!</v>
      </c>
      <c r="AU21" s="1099"/>
      <c r="AV21" s="1099"/>
      <c r="AW21" s="1099"/>
      <c r="AX21" s="1098" t="e">
        <f>AW21/AV21</f>
        <v>#DIV/0!</v>
      </c>
      <c r="AY21" s="1099"/>
      <c r="AZ21" s="1099"/>
      <c r="BA21" s="1099"/>
      <c r="BB21" s="988"/>
      <c r="BC21" s="1099"/>
      <c r="BD21" s="1099"/>
      <c r="BE21" s="1099"/>
      <c r="BF21" s="988"/>
      <c r="BG21" s="1066">
        <f t="shared" si="0"/>
        <v>0</v>
      </c>
      <c r="BH21" s="1069">
        <f t="shared" si="1"/>
        <v>0</v>
      </c>
      <c r="BI21" s="1069">
        <f t="shared" si="2"/>
        <v>0</v>
      </c>
      <c r="BJ21" s="1098" t="e">
        <f>BI21/BH21</f>
        <v>#DIV/0!</v>
      </c>
    </row>
    <row r="22" spans="1:65" s="153" customFormat="1" ht="12.75" hidden="1" customHeight="1" x14ac:dyDescent="0.2">
      <c r="A22" s="992"/>
      <c r="B22" s="991" t="s">
        <v>838</v>
      </c>
      <c r="C22" s="1036"/>
      <c r="D22" s="1036"/>
      <c r="E22" s="1036"/>
      <c r="F22" s="1102"/>
      <c r="G22" s="1036">
        <v>0</v>
      </c>
      <c r="H22" s="1036">
        <v>0</v>
      </c>
      <c r="I22" s="1036">
        <v>0</v>
      </c>
      <c r="J22" s="1083"/>
      <c r="K22" s="1036"/>
      <c r="L22" s="1036"/>
      <c r="M22" s="1036"/>
      <c r="N22" s="1102"/>
      <c r="O22" s="1036">
        <v>254</v>
      </c>
      <c r="P22" s="1036"/>
      <c r="Q22" s="1036"/>
      <c r="R22" s="1083">
        <f>Q22/O22</f>
        <v>0</v>
      </c>
      <c r="S22" s="1036">
        <v>208</v>
      </c>
      <c r="T22" s="1036">
        <v>208</v>
      </c>
      <c r="U22" s="1036">
        <v>208</v>
      </c>
      <c r="V22" s="1083">
        <f>U22/T22</f>
        <v>1</v>
      </c>
      <c r="W22" s="1036">
        <v>0</v>
      </c>
      <c r="X22" s="1036">
        <v>0</v>
      </c>
      <c r="Y22" s="1036">
        <v>0</v>
      </c>
      <c r="Z22" s="1083"/>
      <c r="AA22" s="1036">
        <v>373</v>
      </c>
      <c r="AB22" s="1036">
        <v>373</v>
      </c>
      <c r="AC22" s="1036">
        <v>373</v>
      </c>
      <c r="AD22" s="1083">
        <f>AC22/AB22</f>
        <v>1</v>
      </c>
      <c r="AE22" s="1036">
        <v>0</v>
      </c>
      <c r="AF22" s="1036">
        <v>0</v>
      </c>
      <c r="AG22" s="1036">
        <v>0</v>
      </c>
      <c r="AH22" s="1083"/>
      <c r="AI22" s="1036">
        <v>318</v>
      </c>
      <c r="AJ22" s="1036">
        <v>318</v>
      </c>
      <c r="AK22" s="1036">
        <v>318</v>
      </c>
      <c r="AL22" s="1083">
        <f>AK22/AJ22</f>
        <v>1</v>
      </c>
      <c r="AM22" s="1036">
        <v>53</v>
      </c>
      <c r="AN22" s="1036">
        <v>56</v>
      </c>
      <c r="AO22" s="1036">
        <v>56</v>
      </c>
      <c r="AP22" s="1083">
        <f>AO22/AN22</f>
        <v>1</v>
      </c>
      <c r="AQ22" s="1036">
        <v>100</v>
      </c>
      <c r="AR22" s="1036">
        <v>40</v>
      </c>
      <c r="AS22" s="1036">
        <v>40</v>
      </c>
      <c r="AT22" s="1083">
        <f>AS22/AR22</f>
        <v>1</v>
      </c>
      <c r="AU22" s="1036">
        <v>889</v>
      </c>
      <c r="AV22" s="1036">
        <v>700</v>
      </c>
      <c r="AW22" s="1036">
        <v>700</v>
      </c>
      <c r="AX22" s="1083">
        <f>AW22/AV22</f>
        <v>1</v>
      </c>
      <c r="AY22" s="1036">
        <v>431</v>
      </c>
      <c r="AZ22" s="1036"/>
      <c r="BA22" s="1036"/>
      <c r="BB22" s="1083">
        <f>BA22/AY22</f>
        <v>0</v>
      </c>
      <c r="BC22" s="1036">
        <v>95</v>
      </c>
      <c r="BD22" s="1036"/>
      <c r="BE22" s="1036"/>
      <c r="BF22" s="1083">
        <f>BE22/BC22</f>
        <v>0</v>
      </c>
      <c r="BG22" s="1095">
        <f t="shared" si="0"/>
        <v>2721</v>
      </c>
      <c r="BH22" s="1036">
        <f t="shared" si="1"/>
        <v>1695</v>
      </c>
      <c r="BI22" s="1036">
        <f t="shared" si="2"/>
        <v>1695</v>
      </c>
      <c r="BJ22" s="1083">
        <f>BI22/BH22</f>
        <v>1</v>
      </c>
    </row>
    <row r="23" spans="1:65" s="153" customFormat="1" ht="14.25" hidden="1" customHeight="1" x14ac:dyDescent="0.2">
      <c r="A23" s="992"/>
      <c r="B23" s="991" t="s">
        <v>837</v>
      </c>
      <c r="C23" s="1099"/>
      <c r="D23" s="1099"/>
      <c r="E23" s="1099"/>
      <c r="F23" s="988"/>
      <c r="G23" s="1099"/>
      <c r="H23" s="1099"/>
      <c r="I23" s="1099"/>
      <c r="J23" s="988"/>
      <c r="K23" s="1099"/>
      <c r="L23" s="1099"/>
      <c r="M23" s="1099"/>
      <c r="N23" s="988"/>
      <c r="O23" s="1100"/>
      <c r="P23" s="1100"/>
      <c r="Q23" s="1100"/>
      <c r="R23" s="1098"/>
      <c r="S23" s="1099"/>
      <c r="T23" s="1099"/>
      <c r="U23" s="1099"/>
      <c r="V23" s="1098" t="e">
        <f>U23/T23</f>
        <v>#DIV/0!</v>
      </c>
      <c r="W23" s="1099"/>
      <c r="X23" s="1099"/>
      <c r="Y23" s="1099"/>
      <c r="Z23" s="988"/>
      <c r="AA23" s="1099"/>
      <c r="AB23" s="1099"/>
      <c r="AC23" s="1099"/>
      <c r="AD23" s="1098" t="e">
        <f>AC23/AB23</f>
        <v>#DIV/0!</v>
      </c>
      <c r="AE23" s="1099"/>
      <c r="AF23" s="1099"/>
      <c r="AG23" s="1099"/>
      <c r="AH23" s="988"/>
      <c r="AI23" s="1099"/>
      <c r="AJ23" s="1099"/>
      <c r="AK23" s="1099"/>
      <c r="AL23" s="1098" t="e">
        <f>AK23/AJ23</f>
        <v>#DIV/0!</v>
      </c>
      <c r="AM23" s="1099"/>
      <c r="AN23" s="1099"/>
      <c r="AO23" s="1099"/>
      <c r="AP23" s="1098" t="e">
        <f>AO23/AN23</f>
        <v>#DIV/0!</v>
      </c>
      <c r="AQ23" s="1099"/>
      <c r="AR23" s="1099"/>
      <c r="AS23" s="1099"/>
      <c r="AT23" s="1098" t="e">
        <f>AS23/AR23</f>
        <v>#DIV/0!</v>
      </c>
      <c r="AU23" s="1099"/>
      <c r="AV23" s="1099"/>
      <c r="AW23" s="1099"/>
      <c r="AX23" s="1098" t="e">
        <f>AW23/AV23</f>
        <v>#DIV/0!</v>
      </c>
      <c r="AY23" s="1099"/>
      <c r="AZ23" s="1099"/>
      <c r="BA23" s="1099"/>
      <c r="BB23" s="988"/>
      <c r="BC23" s="1099"/>
      <c r="BD23" s="1099"/>
      <c r="BE23" s="1099"/>
      <c r="BF23" s="988"/>
      <c r="BG23" s="1066">
        <f t="shared" si="0"/>
        <v>0</v>
      </c>
      <c r="BH23" s="1069">
        <f t="shared" si="1"/>
        <v>0</v>
      </c>
      <c r="BI23" s="1069">
        <f t="shared" si="2"/>
        <v>0</v>
      </c>
      <c r="BJ23" s="1098" t="e">
        <f>BI23/BH23</f>
        <v>#DIV/0!</v>
      </c>
    </row>
    <row r="24" spans="1:65" s="977" customFormat="1" ht="14.25" x14ac:dyDescent="0.2">
      <c r="A24" s="1087" t="s">
        <v>200</v>
      </c>
      <c r="B24" s="1097" t="s">
        <v>152</v>
      </c>
      <c r="C24" s="1029"/>
      <c r="D24" s="1029"/>
      <c r="E24" s="1029"/>
      <c r="F24" s="1101"/>
      <c r="G24" s="1029"/>
      <c r="H24" s="1029"/>
      <c r="I24" s="1029"/>
      <c r="J24" s="1101"/>
      <c r="K24" s="1029"/>
      <c r="L24" s="1029"/>
      <c r="M24" s="1029"/>
      <c r="N24" s="1101"/>
      <c r="O24" s="1029"/>
      <c r="P24" s="1029"/>
      <c r="Q24" s="1029"/>
      <c r="R24" s="1101"/>
      <c r="S24" s="1029"/>
      <c r="T24" s="1029"/>
      <c r="U24" s="1029"/>
      <c r="V24" s="1101"/>
      <c r="W24" s="1029"/>
      <c r="X24" s="1029"/>
      <c r="Y24" s="1029"/>
      <c r="Z24" s="1101"/>
      <c r="AA24" s="1029"/>
      <c r="AB24" s="1029"/>
      <c r="AC24" s="1029"/>
      <c r="AD24" s="1101"/>
      <c r="AE24" s="1029"/>
      <c r="AF24" s="1029"/>
      <c r="AG24" s="1029"/>
      <c r="AH24" s="1101"/>
      <c r="AI24" s="1029"/>
      <c r="AJ24" s="1029"/>
      <c r="AK24" s="1029"/>
      <c r="AL24" s="1101"/>
      <c r="AM24" s="1029"/>
      <c r="AN24" s="1029"/>
      <c r="AO24" s="1029"/>
      <c r="AP24" s="1101"/>
      <c r="AQ24" s="1029"/>
      <c r="AR24" s="1029"/>
      <c r="AS24" s="1029"/>
      <c r="AT24" s="1101"/>
      <c r="AU24" s="1029"/>
      <c r="AV24" s="1029"/>
      <c r="AW24" s="1029"/>
      <c r="AX24" s="1101"/>
      <c r="AY24" s="1029"/>
      <c r="AZ24" s="1029"/>
      <c r="BA24" s="1029"/>
      <c r="BB24" s="1101"/>
      <c r="BC24" s="1029"/>
      <c r="BD24" s="1029"/>
      <c r="BE24" s="1029"/>
      <c r="BF24" s="1101"/>
      <c r="BG24" s="1066">
        <f t="shared" si="0"/>
        <v>0</v>
      </c>
      <c r="BH24" s="1069">
        <f t="shared" si="1"/>
        <v>0</v>
      </c>
      <c r="BI24" s="1069">
        <f t="shared" si="2"/>
        <v>0</v>
      </c>
      <c r="BJ24" s="1101"/>
    </row>
    <row r="25" spans="1:65" s="153" customFormat="1" ht="14.25" hidden="1" customHeight="1" x14ac:dyDescent="0.2">
      <c r="A25" s="992"/>
      <c r="B25" s="991" t="s">
        <v>839</v>
      </c>
      <c r="C25" s="1099"/>
      <c r="D25" s="1099"/>
      <c r="E25" s="1099"/>
      <c r="F25" s="988"/>
      <c r="G25" s="1099"/>
      <c r="H25" s="1099"/>
      <c r="I25" s="1099"/>
      <c r="J25" s="988"/>
      <c r="K25" s="1099"/>
      <c r="L25" s="1099"/>
      <c r="M25" s="1099"/>
      <c r="N25" s="988"/>
      <c r="O25" s="1100"/>
      <c r="P25" s="1100"/>
      <c r="Q25" s="1100"/>
      <c r="R25" s="1098"/>
      <c r="S25" s="1099"/>
      <c r="T25" s="1099"/>
      <c r="U25" s="1099"/>
      <c r="V25" s="1098"/>
      <c r="W25" s="1099"/>
      <c r="X25" s="1099"/>
      <c r="Y25" s="1099"/>
      <c r="Z25" s="988"/>
      <c r="AA25" s="1099"/>
      <c r="AB25" s="1099"/>
      <c r="AC25" s="1099"/>
      <c r="AD25" s="1098"/>
      <c r="AE25" s="1099"/>
      <c r="AF25" s="1099"/>
      <c r="AG25" s="1099"/>
      <c r="AH25" s="988"/>
      <c r="AI25" s="1099"/>
      <c r="AJ25" s="1099"/>
      <c r="AK25" s="1099"/>
      <c r="AL25" s="1098"/>
      <c r="AM25" s="1099"/>
      <c r="AN25" s="1099"/>
      <c r="AO25" s="1099"/>
      <c r="AP25" s="1098"/>
      <c r="AQ25" s="1099"/>
      <c r="AR25" s="1099"/>
      <c r="AS25" s="1099"/>
      <c r="AT25" s="1098"/>
      <c r="AU25" s="1099"/>
      <c r="AV25" s="1099"/>
      <c r="AW25" s="1099"/>
      <c r="AX25" s="1098"/>
      <c r="AY25" s="1099"/>
      <c r="AZ25" s="1099"/>
      <c r="BA25" s="1099"/>
      <c r="BB25" s="988"/>
      <c r="BC25" s="1099"/>
      <c r="BD25" s="1099"/>
      <c r="BE25" s="1099"/>
      <c r="BF25" s="988"/>
      <c r="BG25" s="1066">
        <f t="shared" si="0"/>
        <v>0</v>
      </c>
      <c r="BH25" s="1069">
        <f t="shared" si="1"/>
        <v>0</v>
      </c>
      <c r="BI25" s="1069">
        <f t="shared" si="2"/>
        <v>0</v>
      </c>
      <c r="BJ25" s="1098"/>
    </row>
    <row r="26" spans="1:65" s="153" customFormat="1" ht="14.25" hidden="1" customHeight="1" x14ac:dyDescent="0.2">
      <c r="A26" s="992"/>
      <c r="B26" s="991" t="s">
        <v>838</v>
      </c>
      <c r="C26" s="1099"/>
      <c r="D26" s="1099"/>
      <c r="E26" s="1099"/>
      <c r="F26" s="988"/>
      <c r="G26" s="1099"/>
      <c r="H26" s="1099"/>
      <c r="I26" s="1099"/>
      <c r="J26" s="988"/>
      <c r="K26" s="1099"/>
      <c r="L26" s="1099"/>
      <c r="M26" s="1099"/>
      <c r="N26" s="988"/>
      <c r="O26" s="1100"/>
      <c r="P26" s="1100"/>
      <c r="Q26" s="1100"/>
      <c r="R26" s="1098"/>
      <c r="S26" s="1099"/>
      <c r="T26" s="1099"/>
      <c r="U26" s="1099"/>
      <c r="V26" s="1098"/>
      <c r="W26" s="1099"/>
      <c r="X26" s="1099"/>
      <c r="Y26" s="1099"/>
      <c r="Z26" s="988"/>
      <c r="AA26" s="1099"/>
      <c r="AB26" s="1099"/>
      <c r="AC26" s="1099"/>
      <c r="AD26" s="1098"/>
      <c r="AE26" s="1099"/>
      <c r="AF26" s="1099"/>
      <c r="AG26" s="1099"/>
      <c r="AH26" s="988"/>
      <c r="AI26" s="1099"/>
      <c r="AJ26" s="1099"/>
      <c r="AK26" s="1099"/>
      <c r="AL26" s="1098"/>
      <c r="AM26" s="1099"/>
      <c r="AN26" s="1099"/>
      <c r="AO26" s="1099"/>
      <c r="AP26" s="1098"/>
      <c r="AQ26" s="1099"/>
      <c r="AR26" s="1099"/>
      <c r="AS26" s="1099"/>
      <c r="AT26" s="1098"/>
      <c r="AU26" s="1099"/>
      <c r="AV26" s="1099"/>
      <c r="AW26" s="1099"/>
      <c r="AX26" s="1098"/>
      <c r="AY26" s="1099"/>
      <c r="AZ26" s="1099"/>
      <c r="BA26" s="1099"/>
      <c r="BB26" s="988"/>
      <c r="BC26" s="1099"/>
      <c r="BD26" s="1099"/>
      <c r="BE26" s="1099"/>
      <c r="BF26" s="988"/>
      <c r="BG26" s="1066">
        <f t="shared" si="0"/>
        <v>0</v>
      </c>
      <c r="BH26" s="1069">
        <f t="shared" si="1"/>
        <v>0</v>
      </c>
      <c r="BI26" s="1069">
        <f t="shared" si="2"/>
        <v>0</v>
      </c>
      <c r="BJ26" s="1098"/>
    </row>
    <row r="27" spans="1:65" s="153" customFormat="1" ht="14.25" hidden="1" customHeight="1" x14ac:dyDescent="0.2">
      <c r="A27" s="992"/>
      <c r="B27" s="991" t="s">
        <v>837</v>
      </c>
      <c r="C27" s="1099"/>
      <c r="D27" s="1099"/>
      <c r="E27" s="1099"/>
      <c r="F27" s="988"/>
      <c r="G27" s="1099"/>
      <c r="H27" s="1099"/>
      <c r="I27" s="1099"/>
      <c r="J27" s="988"/>
      <c r="K27" s="1099"/>
      <c r="L27" s="1099"/>
      <c r="M27" s="1099"/>
      <c r="N27" s="988"/>
      <c r="O27" s="1100"/>
      <c r="P27" s="1100"/>
      <c r="Q27" s="1100"/>
      <c r="R27" s="1098"/>
      <c r="S27" s="1099"/>
      <c r="T27" s="1099"/>
      <c r="U27" s="1099"/>
      <c r="V27" s="1098"/>
      <c r="W27" s="1099"/>
      <c r="X27" s="1099"/>
      <c r="Y27" s="1099"/>
      <c r="Z27" s="988"/>
      <c r="AA27" s="1099"/>
      <c r="AB27" s="1099"/>
      <c r="AC27" s="1099"/>
      <c r="AD27" s="1098"/>
      <c r="AE27" s="1099"/>
      <c r="AF27" s="1099"/>
      <c r="AG27" s="1099"/>
      <c r="AH27" s="988"/>
      <c r="AI27" s="1099"/>
      <c r="AJ27" s="1099"/>
      <c r="AK27" s="1099"/>
      <c r="AL27" s="1098"/>
      <c r="AM27" s="1099"/>
      <c r="AN27" s="1099"/>
      <c r="AO27" s="1099"/>
      <c r="AP27" s="1098"/>
      <c r="AQ27" s="1099"/>
      <c r="AR27" s="1099"/>
      <c r="AS27" s="1099"/>
      <c r="AT27" s="1098"/>
      <c r="AU27" s="1099"/>
      <c r="AV27" s="1099"/>
      <c r="AW27" s="1099"/>
      <c r="AX27" s="1098"/>
      <c r="AY27" s="1099"/>
      <c r="AZ27" s="1099"/>
      <c r="BA27" s="1099"/>
      <c r="BB27" s="988"/>
      <c r="BC27" s="1099"/>
      <c r="BD27" s="1099"/>
      <c r="BE27" s="1099"/>
      <c r="BF27" s="988"/>
      <c r="BG27" s="1066">
        <f t="shared" si="0"/>
        <v>0</v>
      </c>
      <c r="BH27" s="1069">
        <f t="shared" si="1"/>
        <v>0</v>
      </c>
      <c r="BI27" s="1069">
        <f t="shared" si="2"/>
        <v>0</v>
      </c>
      <c r="BJ27" s="1098"/>
    </row>
    <row r="28" spans="1:65" s="977" customFormat="1" ht="28.5" x14ac:dyDescent="0.2">
      <c r="A28" s="1087" t="s">
        <v>420</v>
      </c>
      <c r="B28" s="1097" t="s">
        <v>137</v>
      </c>
      <c r="C28" s="1029"/>
      <c r="D28" s="1029"/>
      <c r="E28" s="1029"/>
      <c r="F28" s="1101"/>
      <c r="G28" s="1029">
        <f>SUM(G29:G31)</f>
        <v>0</v>
      </c>
      <c r="H28" s="1029">
        <f>SUM(H29:H31)</f>
        <v>0</v>
      </c>
      <c r="I28" s="1029">
        <f>SUM(I29:I31)</f>
        <v>0</v>
      </c>
      <c r="J28" s="1101"/>
      <c r="K28" s="1029"/>
      <c r="L28" s="1029"/>
      <c r="M28" s="1029"/>
      <c r="N28" s="1101"/>
      <c r="O28" s="1029"/>
      <c r="P28" s="1029"/>
      <c r="Q28" s="1029"/>
      <c r="R28" s="1101"/>
      <c r="S28" s="1029"/>
      <c r="T28" s="1029"/>
      <c r="U28" s="1029"/>
      <c r="V28" s="1101"/>
      <c r="W28" s="1029"/>
      <c r="X28" s="1029"/>
      <c r="Y28" s="1029"/>
      <c r="Z28" s="1101"/>
      <c r="AA28" s="1029"/>
      <c r="AB28" s="1029"/>
      <c r="AC28" s="1029"/>
      <c r="AD28" s="1101"/>
      <c r="AE28" s="1029"/>
      <c r="AF28" s="1029"/>
      <c r="AG28" s="1029"/>
      <c r="AH28" s="1101"/>
      <c r="AI28" s="1029"/>
      <c r="AJ28" s="1029"/>
      <c r="AK28" s="1029"/>
      <c r="AL28" s="1101"/>
      <c r="AM28" s="1029"/>
      <c r="AN28" s="1029"/>
      <c r="AO28" s="1029"/>
      <c r="AP28" s="1101"/>
      <c r="AQ28" s="1029"/>
      <c r="AR28" s="1029"/>
      <c r="AS28" s="1029"/>
      <c r="AT28" s="1101"/>
      <c r="AU28" s="1029"/>
      <c r="AV28" s="1029"/>
      <c r="AW28" s="1029"/>
      <c r="AX28" s="1101"/>
      <c r="AY28" s="1029"/>
      <c r="AZ28" s="1029"/>
      <c r="BA28" s="1029"/>
      <c r="BB28" s="1101"/>
      <c r="BC28" s="1029"/>
      <c r="BD28" s="1029"/>
      <c r="BE28" s="1029"/>
      <c r="BF28" s="1101"/>
      <c r="BG28" s="1066">
        <f t="shared" si="0"/>
        <v>0</v>
      </c>
      <c r="BH28" s="1069">
        <f t="shared" si="1"/>
        <v>0</v>
      </c>
      <c r="BI28" s="1069">
        <f t="shared" si="2"/>
        <v>0</v>
      </c>
      <c r="BJ28" s="1101"/>
    </row>
    <row r="29" spans="1:65" s="153" customFormat="1" ht="14.25" hidden="1" customHeight="1" x14ac:dyDescent="0.2">
      <c r="A29" s="992"/>
      <c r="B29" s="991" t="s">
        <v>839</v>
      </c>
      <c r="C29" s="1099"/>
      <c r="D29" s="1099"/>
      <c r="E29" s="1099"/>
      <c r="F29" s="988"/>
      <c r="G29" s="1099"/>
      <c r="H29" s="1099"/>
      <c r="I29" s="1099"/>
      <c r="J29" s="988"/>
      <c r="K29" s="1099"/>
      <c r="L29" s="1099"/>
      <c r="M29" s="1099"/>
      <c r="N29" s="988"/>
      <c r="O29" s="1100"/>
      <c r="P29" s="1100"/>
      <c r="Q29" s="1100"/>
      <c r="R29" s="1098"/>
      <c r="S29" s="1099"/>
      <c r="T29" s="1099"/>
      <c r="U29" s="1099"/>
      <c r="V29" s="1098"/>
      <c r="W29" s="1099"/>
      <c r="X29" s="1099"/>
      <c r="Y29" s="1099"/>
      <c r="Z29" s="988"/>
      <c r="AA29" s="1099"/>
      <c r="AB29" s="1099"/>
      <c r="AC29" s="1099"/>
      <c r="AD29" s="1098"/>
      <c r="AE29" s="1099"/>
      <c r="AF29" s="1099"/>
      <c r="AG29" s="1099"/>
      <c r="AH29" s="988"/>
      <c r="AI29" s="1099"/>
      <c r="AJ29" s="1099"/>
      <c r="AK29" s="1099"/>
      <c r="AL29" s="1098"/>
      <c r="AM29" s="1099"/>
      <c r="AN29" s="1099"/>
      <c r="AO29" s="1099"/>
      <c r="AP29" s="1098"/>
      <c r="AQ29" s="1099"/>
      <c r="AR29" s="1099"/>
      <c r="AS29" s="1099"/>
      <c r="AT29" s="1098"/>
      <c r="AU29" s="1099"/>
      <c r="AV29" s="1099"/>
      <c r="AW29" s="1099"/>
      <c r="AX29" s="1098"/>
      <c r="AY29" s="1099"/>
      <c r="AZ29" s="1099"/>
      <c r="BA29" s="1099"/>
      <c r="BB29" s="988"/>
      <c r="BC29" s="1099"/>
      <c r="BD29" s="1099"/>
      <c r="BE29" s="1099"/>
      <c r="BF29" s="988"/>
      <c r="BG29" s="1066">
        <f t="shared" si="0"/>
        <v>0</v>
      </c>
      <c r="BH29" s="1069">
        <f t="shared" si="1"/>
        <v>0</v>
      </c>
      <c r="BI29" s="1069">
        <f t="shared" si="2"/>
        <v>0</v>
      </c>
      <c r="BJ29" s="1098"/>
    </row>
    <row r="30" spans="1:65" s="153" customFormat="1" ht="14.25" hidden="1" customHeight="1" x14ac:dyDescent="0.2">
      <c r="A30" s="992"/>
      <c r="B30" s="991" t="s">
        <v>838</v>
      </c>
      <c r="C30" s="1099"/>
      <c r="D30" s="1099"/>
      <c r="E30" s="1099"/>
      <c r="F30" s="988"/>
      <c r="G30" s="1099"/>
      <c r="H30" s="1099"/>
      <c r="I30" s="1099"/>
      <c r="J30" s="988"/>
      <c r="K30" s="1099"/>
      <c r="L30" s="1099"/>
      <c r="M30" s="1099"/>
      <c r="N30" s="988"/>
      <c r="O30" s="1100"/>
      <c r="P30" s="1100"/>
      <c r="Q30" s="1100"/>
      <c r="R30" s="1098"/>
      <c r="S30" s="1099"/>
      <c r="T30" s="1099"/>
      <c r="U30" s="1099"/>
      <c r="V30" s="1098"/>
      <c r="W30" s="1099"/>
      <c r="X30" s="1099"/>
      <c r="Y30" s="1099"/>
      <c r="Z30" s="988"/>
      <c r="AA30" s="1099"/>
      <c r="AB30" s="1099"/>
      <c r="AC30" s="1099"/>
      <c r="AD30" s="1098"/>
      <c r="AE30" s="1099"/>
      <c r="AF30" s="1099"/>
      <c r="AG30" s="1099"/>
      <c r="AH30" s="988"/>
      <c r="AI30" s="1099"/>
      <c r="AJ30" s="1099"/>
      <c r="AK30" s="1099"/>
      <c r="AL30" s="1098"/>
      <c r="AM30" s="1099"/>
      <c r="AN30" s="1099"/>
      <c r="AO30" s="1099"/>
      <c r="AP30" s="1098"/>
      <c r="AQ30" s="1099"/>
      <c r="AR30" s="1099"/>
      <c r="AS30" s="1099"/>
      <c r="AT30" s="1098"/>
      <c r="AU30" s="1099"/>
      <c r="AV30" s="1099"/>
      <c r="AW30" s="1099"/>
      <c r="AX30" s="1098"/>
      <c r="AY30" s="1099"/>
      <c r="AZ30" s="1099"/>
      <c r="BA30" s="1099"/>
      <c r="BB30" s="988"/>
      <c r="BC30" s="1099"/>
      <c r="BD30" s="1099"/>
      <c r="BE30" s="1099"/>
      <c r="BF30" s="988"/>
      <c r="BG30" s="1066">
        <f t="shared" si="0"/>
        <v>0</v>
      </c>
      <c r="BH30" s="1069">
        <f t="shared" si="1"/>
        <v>0</v>
      </c>
      <c r="BI30" s="1069">
        <f t="shared" si="2"/>
        <v>0</v>
      </c>
      <c r="BJ30" s="1098"/>
    </row>
    <row r="31" spans="1:65" s="153" customFormat="1" ht="14.25" hidden="1" customHeight="1" x14ac:dyDescent="0.2">
      <c r="A31" s="992"/>
      <c r="B31" s="991" t="s">
        <v>837</v>
      </c>
      <c r="C31" s="1099"/>
      <c r="D31" s="1099"/>
      <c r="E31" s="1099"/>
      <c r="F31" s="988"/>
      <c r="G31" s="1099"/>
      <c r="H31" s="1099"/>
      <c r="I31" s="1099"/>
      <c r="J31" s="988"/>
      <c r="K31" s="1099"/>
      <c r="L31" s="1099"/>
      <c r="M31" s="1099"/>
      <c r="N31" s="988"/>
      <c r="O31" s="1100"/>
      <c r="P31" s="1100"/>
      <c r="Q31" s="1100"/>
      <c r="R31" s="1098"/>
      <c r="S31" s="1099"/>
      <c r="T31" s="1099"/>
      <c r="U31" s="1099"/>
      <c r="V31" s="1098"/>
      <c r="W31" s="1099"/>
      <c r="X31" s="1099"/>
      <c r="Y31" s="1099"/>
      <c r="Z31" s="988"/>
      <c r="AA31" s="1099"/>
      <c r="AB31" s="1099"/>
      <c r="AC31" s="1099"/>
      <c r="AD31" s="1098"/>
      <c r="AE31" s="1099"/>
      <c r="AF31" s="1099"/>
      <c r="AG31" s="1099"/>
      <c r="AH31" s="988"/>
      <c r="AI31" s="1099"/>
      <c r="AJ31" s="1099"/>
      <c r="AK31" s="1099"/>
      <c r="AL31" s="1098"/>
      <c r="AM31" s="1099"/>
      <c r="AN31" s="1099"/>
      <c r="AO31" s="1099"/>
      <c r="AP31" s="1098"/>
      <c r="AQ31" s="1099"/>
      <c r="AR31" s="1099"/>
      <c r="AS31" s="1099"/>
      <c r="AT31" s="1098"/>
      <c r="AU31" s="1099"/>
      <c r="AV31" s="1099"/>
      <c r="AW31" s="1099"/>
      <c r="AX31" s="1098"/>
      <c r="AY31" s="1099"/>
      <c r="AZ31" s="1099"/>
      <c r="BA31" s="1099"/>
      <c r="BB31" s="988"/>
      <c r="BC31" s="1099"/>
      <c r="BD31" s="1099"/>
      <c r="BE31" s="1099"/>
      <c r="BF31" s="988"/>
      <c r="BG31" s="1066">
        <f t="shared" si="0"/>
        <v>0</v>
      </c>
      <c r="BH31" s="1069">
        <f t="shared" si="1"/>
        <v>0</v>
      </c>
      <c r="BI31" s="1069">
        <f t="shared" si="2"/>
        <v>0</v>
      </c>
      <c r="BJ31" s="1098"/>
    </row>
    <row r="32" spans="1:65" s="977" customFormat="1" ht="28.5" x14ac:dyDescent="0.2">
      <c r="A32" s="1087" t="s">
        <v>419</v>
      </c>
      <c r="B32" s="1097" t="s">
        <v>130</v>
      </c>
      <c r="C32" s="1029"/>
      <c r="D32" s="1029"/>
      <c r="E32" s="1029"/>
      <c r="F32" s="1101"/>
      <c r="G32" s="1029"/>
      <c r="H32" s="1029"/>
      <c r="I32" s="1029"/>
      <c r="J32" s="1101"/>
      <c r="K32" s="1029"/>
      <c r="L32" s="1029"/>
      <c r="M32" s="1029"/>
      <c r="N32" s="1101"/>
      <c r="O32" s="1029"/>
      <c r="P32" s="1029"/>
      <c r="Q32" s="1029"/>
      <c r="R32" s="1101"/>
      <c r="S32" s="1029"/>
      <c r="T32" s="1029"/>
      <c r="U32" s="1029"/>
      <c r="V32" s="1101"/>
      <c r="W32" s="1029"/>
      <c r="X32" s="1029"/>
      <c r="Y32" s="1029"/>
      <c r="Z32" s="1101"/>
      <c r="AA32" s="1029"/>
      <c r="AB32" s="1029"/>
      <c r="AC32" s="1029"/>
      <c r="AD32" s="1101"/>
      <c r="AE32" s="1029"/>
      <c r="AF32" s="1029"/>
      <c r="AG32" s="1029"/>
      <c r="AH32" s="1101"/>
      <c r="AI32" s="1029"/>
      <c r="AJ32" s="1029"/>
      <c r="AK32" s="1029"/>
      <c r="AL32" s="1101"/>
      <c r="AM32" s="1029"/>
      <c r="AN32" s="1029"/>
      <c r="AO32" s="1029"/>
      <c r="AP32" s="1101"/>
      <c r="AQ32" s="1029"/>
      <c r="AR32" s="1029"/>
      <c r="AS32" s="1029"/>
      <c r="AT32" s="1101"/>
      <c r="AU32" s="1029"/>
      <c r="AV32" s="1029"/>
      <c r="AW32" s="1029"/>
      <c r="AX32" s="1101"/>
      <c r="AY32" s="1029"/>
      <c r="AZ32" s="1029"/>
      <c r="BA32" s="1029"/>
      <c r="BB32" s="1101"/>
      <c r="BC32" s="1029"/>
      <c r="BD32" s="1029"/>
      <c r="BE32" s="1029"/>
      <c r="BF32" s="1101"/>
      <c r="BG32" s="1066">
        <f t="shared" si="0"/>
        <v>0</v>
      </c>
      <c r="BH32" s="1069">
        <f t="shared" si="1"/>
        <v>0</v>
      </c>
      <c r="BI32" s="1069">
        <f t="shared" si="2"/>
        <v>0</v>
      </c>
      <c r="BJ32" s="1101"/>
      <c r="BM32" s="153"/>
    </row>
    <row r="33" spans="1:62" s="153" customFormat="1" ht="14.25" hidden="1" customHeight="1" x14ac:dyDescent="0.2">
      <c r="A33" s="992"/>
      <c r="B33" s="991" t="s">
        <v>839</v>
      </c>
      <c r="C33" s="1099"/>
      <c r="D33" s="1099"/>
      <c r="E33" s="1099"/>
      <c r="F33" s="988"/>
      <c r="G33" s="1099"/>
      <c r="H33" s="1099"/>
      <c r="I33" s="1099"/>
      <c r="J33" s="988"/>
      <c r="K33" s="1099"/>
      <c r="L33" s="1099"/>
      <c r="M33" s="1099"/>
      <c r="N33" s="988"/>
      <c r="O33" s="1100"/>
      <c r="P33" s="1100"/>
      <c r="Q33" s="1100"/>
      <c r="R33" s="1098"/>
      <c r="S33" s="1099"/>
      <c r="T33" s="1099"/>
      <c r="U33" s="1099"/>
      <c r="V33" s="1098" t="e">
        <f t="shared" ref="V33:V40" si="3">U33/T33</f>
        <v>#DIV/0!</v>
      </c>
      <c r="W33" s="1099"/>
      <c r="X33" s="1099"/>
      <c r="Y33" s="1099"/>
      <c r="Z33" s="988"/>
      <c r="AA33" s="1099"/>
      <c r="AB33" s="1099"/>
      <c r="AC33" s="1099"/>
      <c r="AD33" s="1098" t="e">
        <f t="shared" ref="AD33:AD40" si="4">AC33/AB33</f>
        <v>#DIV/0!</v>
      </c>
      <c r="AE33" s="1099"/>
      <c r="AF33" s="1099"/>
      <c r="AG33" s="1099"/>
      <c r="AH33" s="988"/>
      <c r="AI33" s="1099"/>
      <c r="AJ33" s="1099"/>
      <c r="AK33" s="1099"/>
      <c r="AL33" s="1098" t="e">
        <f t="shared" ref="AL33:AL40" si="5">AK33/AJ33</f>
        <v>#DIV/0!</v>
      </c>
      <c r="AM33" s="1099"/>
      <c r="AN33" s="1099"/>
      <c r="AO33" s="1099"/>
      <c r="AP33" s="1098" t="e">
        <f t="shared" ref="AP33:AP40" si="6">AO33/AN33</f>
        <v>#DIV/0!</v>
      </c>
      <c r="AQ33" s="1099"/>
      <c r="AR33" s="1099"/>
      <c r="AS33" s="1099"/>
      <c r="AT33" s="1098" t="e">
        <f t="shared" ref="AT33:AT40" si="7">AS33/AR33</f>
        <v>#DIV/0!</v>
      </c>
      <c r="AU33" s="1099"/>
      <c r="AV33" s="1099"/>
      <c r="AW33" s="1099"/>
      <c r="AX33" s="1098" t="e">
        <f t="shared" ref="AX33:AX40" si="8">AW33/AV33</f>
        <v>#DIV/0!</v>
      </c>
      <c r="AY33" s="1099"/>
      <c r="AZ33" s="1099"/>
      <c r="BA33" s="1099"/>
      <c r="BB33" s="988"/>
      <c r="BC33" s="1099"/>
      <c r="BD33" s="1099"/>
      <c r="BE33" s="1099"/>
      <c r="BF33" s="988"/>
      <c r="BG33" s="1066">
        <f t="shared" si="0"/>
        <v>0</v>
      </c>
      <c r="BH33" s="1069">
        <f t="shared" si="1"/>
        <v>0</v>
      </c>
      <c r="BI33" s="1069">
        <f t="shared" si="2"/>
        <v>0</v>
      </c>
      <c r="BJ33" s="1098" t="e">
        <f t="shared" ref="BJ33:BJ40" si="9">BI33/BH33</f>
        <v>#DIV/0!</v>
      </c>
    </row>
    <row r="34" spans="1:62" s="153" customFormat="1" ht="14.25" hidden="1" customHeight="1" x14ac:dyDescent="0.2">
      <c r="A34" s="992"/>
      <c r="B34" s="991" t="s">
        <v>838</v>
      </c>
      <c r="C34" s="1099"/>
      <c r="D34" s="1099"/>
      <c r="E34" s="1099"/>
      <c r="F34" s="988"/>
      <c r="G34" s="1099"/>
      <c r="H34" s="1099"/>
      <c r="I34" s="1099"/>
      <c r="J34" s="988"/>
      <c r="K34" s="1099"/>
      <c r="L34" s="1099"/>
      <c r="M34" s="1099"/>
      <c r="N34" s="988"/>
      <c r="O34" s="1100"/>
      <c r="P34" s="1100"/>
      <c r="Q34" s="1100"/>
      <c r="R34" s="1098"/>
      <c r="S34" s="1099"/>
      <c r="T34" s="1099"/>
      <c r="U34" s="1099"/>
      <c r="V34" s="1098" t="e">
        <f t="shared" si="3"/>
        <v>#DIV/0!</v>
      </c>
      <c r="W34" s="1099"/>
      <c r="X34" s="1099"/>
      <c r="Y34" s="1099"/>
      <c r="Z34" s="988"/>
      <c r="AA34" s="1099"/>
      <c r="AB34" s="1099"/>
      <c r="AC34" s="1099"/>
      <c r="AD34" s="1098" t="e">
        <f t="shared" si="4"/>
        <v>#DIV/0!</v>
      </c>
      <c r="AE34" s="1099"/>
      <c r="AF34" s="1099"/>
      <c r="AG34" s="1099"/>
      <c r="AH34" s="988"/>
      <c r="AI34" s="1099"/>
      <c r="AJ34" s="1099"/>
      <c r="AK34" s="1099"/>
      <c r="AL34" s="1098" t="e">
        <f t="shared" si="5"/>
        <v>#DIV/0!</v>
      </c>
      <c r="AM34" s="1099"/>
      <c r="AN34" s="1099"/>
      <c r="AO34" s="1099"/>
      <c r="AP34" s="1098" t="e">
        <f t="shared" si="6"/>
        <v>#DIV/0!</v>
      </c>
      <c r="AQ34" s="1099"/>
      <c r="AR34" s="1099"/>
      <c r="AS34" s="1099"/>
      <c r="AT34" s="1098" t="e">
        <f t="shared" si="7"/>
        <v>#DIV/0!</v>
      </c>
      <c r="AU34" s="1099"/>
      <c r="AV34" s="1099"/>
      <c r="AW34" s="1099"/>
      <c r="AX34" s="1098" t="e">
        <f t="shared" si="8"/>
        <v>#DIV/0!</v>
      </c>
      <c r="AY34" s="1099"/>
      <c r="AZ34" s="1099"/>
      <c r="BA34" s="1099"/>
      <c r="BB34" s="988"/>
      <c r="BC34" s="1099"/>
      <c r="BD34" s="1099"/>
      <c r="BE34" s="1099"/>
      <c r="BF34" s="988"/>
      <c r="BG34" s="1066">
        <f t="shared" si="0"/>
        <v>0</v>
      </c>
      <c r="BH34" s="1069">
        <f t="shared" si="1"/>
        <v>0</v>
      </c>
      <c r="BI34" s="1069">
        <f t="shared" si="2"/>
        <v>0</v>
      </c>
      <c r="BJ34" s="1098" t="e">
        <f t="shared" si="9"/>
        <v>#DIV/0!</v>
      </c>
    </row>
    <row r="35" spans="1:62" s="153" customFormat="1" ht="14.25" hidden="1" customHeight="1" x14ac:dyDescent="0.2">
      <c r="A35" s="992"/>
      <c r="B35" s="991" t="s">
        <v>837</v>
      </c>
      <c r="C35" s="1099"/>
      <c r="D35" s="1099"/>
      <c r="E35" s="1099"/>
      <c r="F35" s="988"/>
      <c r="G35" s="1099"/>
      <c r="H35" s="1099"/>
      <c r="I35" s="1099"/>
      <c r="J35" s="988"/>
      <c r="K35" s="1099"/>
      <c r="L35" s="1099"/>
      <c r="M35" s="1099"/>
      <c r="N35" s="988"/>
      <c r="O35" s="1100"/>
      <c r="P35" s="1100"/>
      <c r="Q35" s="1100"/>
      <c r="R35" s="1098"/>
      <c r="S35" s="1099"/>
      <c r="T35" s="1099"/>
      <c r="U35" s="1099"/>
      <c r="V35" s="1098" t="e">
        <f t="shared" si="3"/>
        <v>#DIV/0!</v>
      </c>
      <c r="W35" s="1099"/>
      <c r="X35" s="1099"/>
      <c r="Y35" s="1099"/>
      <c r="Z35" s="988"/>
      <c r="AA35" s="1099"/>
      <c r="AB35" s="1099"/>
      <c r="AC35" s="1099"/>
      <c r="AD35" s="1098" t="e">
        <f t="shared" si="4"/>
        <v>#DIV/0!</v>
      </c>
      <c r="AE35" s="1099"/>
      <c r="AF35" s="1099"/>
      <c r="AG35" s="1099"/>
      <c r="AH35" s="988"/>
      <c r="AI35" s="1099"/>
      <c r="AJ35" s="1099"/>
      <c r="AK35" s="1099"/>
      <c r="AL35" s="1098" t="e">
        <f t="shared" si="5"/>
        <v>#DIV/0!</v>
      </c>
      <c r="AM35" s="1099"/>
      <c r="AN35" s="1099"/>
      <c r="AO35" s="1099"/>
      <c r="AP35" s="1098" t="e">
        <f t="shared" si="6"/>
        <v>#DIV/0!</v>
      </c>
      <c r="AQ35" s="1099"/>
      <c r="AR35" s="1099"/>
      <c r="AS35" s="1099"/>
      <c r="AT35" s="1098" t="e">
        <f t="shared" si="7"/>
        <v>#DIV/0!</v>
      </c>
      <c r="AU35" s="1099"/>
      <c r="AV35" s="1099"/>
      <c r="AW35" s="1099"/>
      <c r="AX35" s="1098" t="e">
        <f t="shared" si="8"/>
        <v>#DIV/0!</v>
      </c>
      <c r="AY35" s="1099"/>
      <c r="AZ35" s="1099"/>
      <c r="BA35" s="1099"/>
      <c r="BB35" s="988"/>
      <c r="BC35" s="1099"/>
      <c r="BD35" s="1099"/>
      <c r="BE35" s="1099"/>
      <c r="BF35" s="988"/>
      <c r="BG35" s="1066">
        <f t="shared" si="0"/>
        <v>0</v>
      </c>
      <c r="BH35" s="1069">
        <f t="shared" si="1"/>
        <v>0</v>
      </c>
      <c r="BI35" s="1069">
        <f t="shared" si="2"/>
        <v>0</v>
      </c>
      <c r="BJ35" s="1098" t="e">
        <f t="shared" si="9"/>
        <v>#DIV/0!</v>
      </c>
    </row>
    <row r="36" spans="1:62" s="1096" customFormat="1" ht="15.75" thickBot="1" x14ac:dyDescent="0.3">
      <c r="A36" s="1087" t="s">
        <v>418</v>
      </c>
      <c r="B36" s="1097" t="s">
        <v>423</v>
      </c>
      <c r="C36" s="1023">
        <f>C37+C38+C39</f>
        <v>5061</v>
      </c>
      <c r="D36" s="1023">
        <f>D37+D38+D39</f>
        <v>4169</v>
      </c>
      <c r="E36" s="1023">
        <f>E37+E38+E39</f>
        <v>4169</v>
      </c>
      <c r="F36" s="1085">
        <f>E36/D36</f>
        <v>1</v>
      </c>
      <c r="G36" s="1023">
        <f>G37+G38+G39</f>
        <v>8216</v>
      </c>
      <c r="H36" s="1023">
        <f>H37+H38+H39</f>
        <v>7029</v>
      </c>
      <c r="I36" s="1023">
        <f>I37+I38+I39</f>
        <v>7029</v>
      </c>
      <c r="J36" s="1085">
        <f>I36/H36</f>
        <v>1</v>
      </c>
      <c r="K36" s="1023">
        <f>K37+K38+K39</f>
        <v>4883</v>
      </c>
      <c r="L36" s="1023">
        <f>L37+L38+L39</f>
        <v>4444</v>
      </c>
      <c r="M36" s="1023">
        <f>M37+M38+M39</f>
        <v>4444</v>
      </c>
      <c r="N36" s="1085">
        <f>M36/L36</f>
        <v>1</v>
      </c>
      <c r="O36" s="1023">
        <f>O37+O38+O39</f>
        <v>6909</v>
      </c>
      <c r="P36" s="1023">
        <f>P37+P38+P39</f>
        <v>6961</v>
      </c>
      <c r="Q36" s="1023">
        <f>Q37+Q38+Q39</f>
        <v>6961</v>
      </c>
      <c r="R36" s="1085">
        <f>Q36/P36</f>
        <v>1</v>
      </c>
      <c r="S36" s="1023">
        <f>S37+S38+S39</f>
        <v>3526</v>
      </c>
      <c r="T36" s="1023">
        <f>T37+T38+T39</f>
        <v>3473</v>
      </c>
      <c r="U36" s="1023">
        <f>U37+U38+U39</f>
        <v>3473</v>
      </c>
      <c r="V36" s="1085">
        <f t="shared" si="3"/>
        <v>1</v>
      </c>
      <c r="W36" s="1023">
        <f>W37+W38+W39</f>
        <v>4851</v>
      </c>
      <c r="X36" s="1023">
        <f>X37+X38+X39</f>
        <v>3184</v>
      </c>
      <c r="Y36" s="1023">
        <f>Y37+Y38+Y39</f>
        <v>3184</v>
      </c>
      <c r="Z36" s="1085">
        <f>Y36/X36</f>
        <v>1</v>
      </c>
      <c r="AA36" s="1023">
        <f>AA37+AA38+AA39</f>
        <v>3469</v>
      </c>
      <c r="AB36" s="1023">
        <f>AB37+AB38+AB39</f>
        <v>3192</v>
      </c>
      <c r="AC36" s="1023">
        <f>AC37+AC38+AC39</f>
        <v>3192</v>
      </c>
      <c r="AD36" s="1085">
        <f t="shared" si="4"/>
        <v>1</v>
      </c>
      <c r="AE36" s="1023">
        <f>AE37+AE38+AE39</f>
        <v>4585</v>
      </c>
      <c r="AF36" s="1023">
        <f>AF37+AF38+AF39</f>
        <v>3915</v>
      </c>
      <c r="AG36" s="1023">
        <f>AG37+AG38+AG39</f>
        <v>3915</v>
      </c>
      <c r="AH36" s="1085">
        <f>AG36/AF36</f>
        <v>1</v>
      </c>
      <c r="AI36" s="1023">
        <f>AI37+AI38+AI39</f>
        <v>5181</v>
      </c>
      <c r="AJ36" s="1023">
        <f>AJ37+AJ38+AJ39</f>
        <v>3759</v>
      </c>
      <c r="AK36" s="1023">
        <f>AK37+AK38+AK39</f>
        <v>3759</v>
      </c>
      <c r="AL36" s="1085">
        <f t="shared" si="5"/>
        <v>1</v>
      </c>
      <c r="AM36" s="1023">
        <f>AM37+AM38+AM39</f>
        <v>5535</v>
      </c>
      <c r="AN36" s="1023">
        <f>AN37+AN38+AN39</f>
        <v>4546</v>
      </c>
      <c r="AO36" s="1023">
        <f>AO37+AO38+AO39</f>
        <v>4546</v>
      </c>
      <c r="AP36" s="1085">
        <f t="shared" si="6"/>
        <v>1</v>
      </c>
      <c r="AQ36" s="1023">
        <f>AQ37+AQ38+AQ39</f>
        <v>8661</v>
      </c>
      <c r="AR36" s="1023">
        <f>AR37+AR38+AR39</f>
        <v>3547</v>
      </c>
      <c r="AS36" s="1023">
        <f>AS37+AS38+AS39</f>
        <v>3547</v>
      </c>
      <c r="AT36" s="1085">
        <f t="shared" si="7"/>
        <v>1</v>
      </c>
      <c r="AU36" s="1023">
        <f>AU37+AU38+AU39</f>
        <v>5353</v>
      </c>
      <c r="AV36" s="1023">
        <f>AV37+AV38+AV39</f>
        <v>5346</v>
      </c>
      <c r="AW36" s="1023">
        <f>AW37+AW38+AW39</f>
        <v>5346</v>
      </c>
      <c r="AX36" s="1085">
        <f t="shared" si="8"/>
        <v>1</v>
      </c>
      <c r="AY36" s="1023">
        <f>AY37+AY38+AY39</f>
        <v>3373</v>
      </c>
      <c r="AZ36" s="1023">
        <f>AZ37+AZ38+AZ39</f>
        <v>4056</v>
      </c>
      <c r="BA36" s="1023">
        <f>BA37+BA38+BA39</f>
        <v>4056</v>
      </c>
      <c r="BB36" s="1085">
        <f>BA36/AZ36</f>
        <v>1</v>
      </c>
      <c r="BC36" s="1023">
        <f>BC37+BC38+BC39</f>
        <v>4179</v>
      </c>
      <c r="BD36" s="1023">
        <f>BD37+BD38+BD39</f>
        <v>3606</v>
      </c>
      <c r="BE36" s="1023">
        <f>BE37+BE38+BE39</f>
        <v>3606</v>
      </c>
      <c r="BF36" s="1085">
        <f>BE36/BD36</f>
        <v>1</v>
      </c>
      <c r="BG36" s="1086">
        <f t="shared" si="0"/>
        <v>73782</v>
      </c>
      <c r="BH36" s="995">
        <f t="shared" si="1"/>
        <v>61227</v>
      </c>
      <c r="BI36" s="995">
        <f t="shared" si="2"/>
        <v>61227</v>
      </c>
      <c r="BJ36" s="1085">
        <f t="shared" si="9"/>
        <v>1</v>
      </c>
    </row>
    <row r="37" spans="1:62" s="153" customFormat="1" ht="12.75" hidden="1" customHeight="1" x14ac:dyDescent="0.2">
      <c r="A37" s="992"/>
      <c r="B37" s="991" t="s">
        <v>839</v>
      </c>
      <c r="C37" s="1071"/>
      <c r="D37" s="1071"/>
      <c r="E37" s="1071"/>
      <c r="F37" s="988" t="e">
        <f>E37/D37</f>
        <v>#DIV/0!</v>
      </c>
      <c r="G37" s="1070"/>
      <c r="H37" s="1070"/>
      <c r="I37" s="1070"/>
      <c r="J37" s="988" t="e">
        <f>I37/H37</f>
        <v>#DIV/0!</v>
      </c>
      <c r="K37" s="1070"/>
      <c r="L37" s="1070"/>
      <c r="M37" s="1070"/>
      <c r="N37" s="988" t="e">
        <f>M37/L37</f>
        <v>#DIV/0!</v>
      </c>
      <c r="O37" s="1071"/>
      <c r="P37" s="1071"/>
      <c r="Q37" s="1071"/>
      <c r="R37" s="988" t="e">
        <f>Q37/P37</f>
        <v>#DIV/0!</v>
      </c>
      <c r="S37" s="1070"/>
      <c r="T37" s="1070"/>
      <c r="U37" s="1070"/>
      <c r="V37" s="988" t="e">
        <f t="shared" si="3"/>
        <v>#DIV/0!</v>
      </c>
      <c r="W37" s="1071"/>
      <c r="X37" s="1071"/>
      <c r="Y37" s="1071"/>
      <c r="Z37" s="988" t="e">
        <f>Y37/X37</f>
        <v>#DIV/0!</v>
      </c>
      <c r="AA37" s="1071"/>
      <c r="AB37" s="1071"/>
      <c r="AC37" s="1071"/>
      <c r="AD37" s="988" t="e">
        <f t="shared" si="4"/>
        <v>#DIV/0!</v>
      </c>
      <c r="AE37" s="1070"/>
      <c r="AF37" s="1070"/>
      <c r="AG37" s="1070"/>
      <c r="AH37" s="988" t="e">
        <f>AG37/AF37</f>
        <v>#DIV/0!</v>
      </c>
      <c r="AI37" s="1070"/>
      <c r="AJ37" s="1070"/>
      <c r="AK37" s="1070"/>
      <c r="AL37" s="988" t="e">
        <f t="shared" si="5"/>
        <v>#DIV/0!</v>
      </c>
      <c r="AM37" s="1070"/>
      <c r="AN37" s="1070"/>
      <c r="AO37" s="1070"/>
      <c r="AP37" s="988" t="e">
        <f t="shared" si="6"/>
        <v>#DIV/0!</v>
      </c>
      <c r="AQ37" s="1070"/>
      <c r="AR37" s="1070"/>
      <c r="AS37" s="1070"/>
      <c r="AT37" s="988" t="e">
        <f t="shared" si="7"/>
        <v>#DIV/0!</v>
      </c>
      <c r="AU37" s="1070"/>
      <c r="AV37" s="1070"/>
      <c r="AW37" s="1070"/>
      <c r="AX37" s="988" t="e">
        <f t="shared" si="8"/>
        <v>#DIV/0!</v>
      </c>
      <c r="AY37" s="1070"/>
      <c r="AZ37" s="1070"/>
      <c r="BA37" s="1070"/>
      <c r="BB37" s="988" t="e">
        <f>BA37/AZ37</f>
        <v>#DIV/0!</v>
      </c>
      <c r="BC37" s="1070"/>
      <c r="BD37" s="1070"/>
      <c r="BE37" s="1070"/>
      <c r="BF37" s="988" t="e">
        <f>BE37/BD37</f>
        <v>#DIV/0!</v>
      </c>
      <c r="BG37" s="1066">
        <f t="shared" si="0"/>
        <v>0</v>
      </c>
      <c r="BH37" s="1069">
        <f t="shared" si="1"/>
        <v>0</v>
      </c>
      <c r="BI37" s="1069">
        <f t="shared" si="2"/>
        <v>0</v>
      </c>
      <c r="BJ37" s="988" t="e">
        <f t="shared" si="9"/>
        <v>#DIV/0!</v>
      </c>
    </row>
    <row r="38" spans="1:62" s="153" customFormat="1" ht="12.75" hidden="1" customHeight="1" x14ac:dyDescent="0.2">
      <c r="A38" s="992"/>
      <c r="B38" s="991" t="s">
        <v>838</v>
      </c>
      <c r="C38" s="1021">
        <f>C82-C8-C12-C16-C20-C24-C28-C32</f>
        <v>5061</v>
      </c>
      <c r="D38" s="1021">
        <f>D82-D8-D12-D16-D20-D24-D28-D32</f>
        <v>4169</v>
      </c>
      <c r="E38" s="1021">
        <f>E82-E8-E12-E16-E20-E24-E28-E32</f>
        <v>4169</v>
      </c>
      <c r="F38" s="1083">
        <f>E38/D38</f>
        <v>1</v>
      </c>
      <c r="G38" s="1021">
        <f>G82-G8-G12-G16-G20-G24-G28-G32</f>
        <v>8216</v>
      </c>
      <c r="H38" s="1021">
        <f>H82-H8-H12-H16-H20-H24-H28-H32</f>
        <v>7029</v>
      </c>
      <c r="I38" s="1021">
        <f>I82-I8-I12-I16-I20-I24-I28-I32</f>
        <v>7029</v>
      </c>
      <c r="J38" s="1083">
        <f>I38/H38</f>
        <v>1</v>
      </c>
      <c r="K38" s="1021">
        <f>K82-K8-K12-K16-K20-K24-K28-K32</f>
        <v>4883</v>
      </c>
      <c r="L38" s="1021">
        <f>L82-L8-L12-L16-L20-L24-L28-L32</f>
        <v>4444</v>
      </c>
      <c r="M38" s="1021">
        <f>M82-M8-M12-M16-M20-M24-M28-M32</f>
        <v>4444</v>
      </c>
      <c r="N38" s="1083">
        <f>M38/L38</f>
        <v>1</v>
      </c>
      <c r="O38" s="1021">
        <f>O82-O8-O12-O16-O20-O24-O28-O32</f>
        <v>6909</v>
      </c>
      <c r="P38" s="1021">
        <f>P82-P8-P12-P16-P20-P24-P28-P32</f>
        <v>6961</v>
      </c>
      <c r="Q38" s="1021">
        <f>Q82-Q8-Q12-Q16-Q20-Q24-Q28-Q32</f>
        <v>6961</v>
      </c>
      <c r="R38" s="1083">
        <f>Q38/P38</f>
        <v>1</v>
      </c>
      <c r="S38" s="1021">
        <f>S82-S8-S12-S16-S20-S24-S28-S32</f>
        <v>3526</v>
      </c>
      <c r="T38" s="1021">
        <f>T82-T8-T12-T16-T20-T24-T28-T32</f>
        <v>3473</v>
      </c>
      <c r="U38" s="1021">
        <f>U82-U8-U12-U16-U20-U24-U28-U32</f>
        <v>3473</v>
      </c>
      <c r="V38" s="1083">
        <f t="shared" si="3"/>
        <v>1</v>
      </c>
      <c r="W38" s="1021">
        <f>W82-W8-W12-W16-W20-W24-W28-W32</f>
        <v>4851</v>
      </c>
      <c r="X38" s="1021">
        <f>X82-X8-X12-X16-X20-X24-X28-X32</f>
        <v>3184</v>
      </c>
      <c r="Y38" s="1021">
        <f>Y82-Y8-Y12-Y16-Y20-Y24-Y28-Y32</f>
        <v>3184</v>
      </c>
      <c r="Z38" s="1083">
        <f>Y38/X38</f>
        <v>1</v>
      </c>
      <c r="AA38" s="1021">
        <f>AA82-AA8-AA12-AA16-AA20-AA24-AA28-AA32</f>
        <v>3469</v>
      </c>
      <c r="AB38" s="1021">
        <f>AB82-AB8-AB12-AB16-AB20-AB24-AB28-AB32</f>
        <v>3192</v>
      </c>
      <c r="AC38" s="1021">
        <f>AC82-AC8-AC12-AC16-AC20-AC24-AC28-AC32</f>
        <v>3192</v>
      </c>
      <c r="AD38" s="1083">
        <f t="shared" si="4"/>
        <v>1</v>
      </c>
      <c r="AE38" s="1021">
        <f>AE82-AE8-AE12-AE16-AE20-AE24-AE28-AE32</f>
        <v>4585</v>
      </c>
      <c r="AF38" s="1021">
        <f>AF82-AF8-AF12-AF16-AF20-AF24-AF28-AF32</f>
        <v>3915</v>
      </c>
      <c r="AG38" s="1021">
        <f>AG82-AG8-AG12-AG16-AG20-AG24-AG28-AG32</f>
        <v>3915</v>
      </c>
      <c r="AH38" s="1083">
        <f>AG38/AF38</f>
        <v>1</v>
      </c>
      <c r="AI38" s="1021">
        <f>AI82-AI8-AI12-AI16-AI20-AI24-AI28-AI32</f>
        <v>5181</v>
      </c>
      <c r="AJ38" s="1021">
        <f>AJ82-AJ8-AJ12-AJ16-AJ20-AJ24-AJ28-AJ32</f>
        <v>3759</v>
      </c>
      <c r="AK38" s="1021">
        <f>AK82-AK8-AK12-AK16-AK20-AK24-AK28-AK32</f>
        <v>3759</v>
      </c>
      <c r="AL38" s="1083">
        <f t="shared" si="5"/>
        <v>1</v>
      </c>
      <c r="AM38" s="1021">
        <f>AM82-AM8-AM12-AM16-AM20-AM24-AM28-AM32</f>
        <v>5535</v>
      </c>
      <c r="AN38" s="1021">
        <f>AN82-AN8-AN12-AN16-AN20-AN24-AN28-AN32</f>
        <v>4546</v>
      </c>
      <c r="AO38" s="1021">
        <f>AO82-AO8-AO12-AO16-AO20-AO24-AO28-AO32</f>
        <v>4546</v>
      </c>
      <c r="AP38" s="1083">
        <f t="shared" si="6"/>
        <v>1</v>
      </c>
      <c r="AQ38" s="1021">
        <f>AQ82-AQ8-AQ12-AQ16-AQ20-AQ24-AQ28-AQ32</f>
        <v>8661</v>
      </c>
      <c r="AR38" s="1021">
        <f>AR82-AR8-AR12-AR16-AR20-AR24-AR28-AR32</f>
        <v>3547</v>
      </c>
      <c r="AS38" s="1021">
        <f>AS82-AS8-AS12-AS16-AS20-AS24-AS28-AS32</f>
        <v>3547</v>
      </c>
      <c r="AT38" s="1083">
        <f t="shared" si="7"/>
        <v>1</v>
      </c>
      <c r="AU38" s="1021">
        <f>AU82-AU8-AU12-AU16-AU20-AU24-AU28-AU32</f>
        <v>5353</v>
      </c>
      <c r="AV38" s="1021">
        <f>AV82-AV8-AV12-AV16-AV20-AV24-AV28-AV32</f>
        <v>5346</v>
      </c>
      <c r="AW38" s="1021">
        <f>AW82-AW8-AW12-AW16-AW20-AW24-AW28-AW32</f>
        <v>5346</v>
      </c>
      <c r="AX38" s="1083">
        <f t="shared" si="8"/>
        <v>1</v>
      </c>
      <c r="AY38" s="1021">
        <f>AY82-AY8-AY12-AY16-AY20-AY24-AY28-AY32</f>
        <v>3373</v>
      </c>
      <c r="AZ38" s="1021">
        <f>AZ82-AZ8-AZ12-AZ16-AZ20-AZ24-AZ28-AZ32</f>
        <v>4056</v>
      </c>
      <c r="BA38" s="1021">
        <f>BA82-BA8-BA12-BA16-BA20-BA24-BA28-BA32</f>
        <v>4056</v>
      </c>
      <c r="BB38" s="1083">
        <f>BA38/AZ38</f>
        <v>1</v>
      </c>
      <c r="BC38" s="1021">
        <f>BC82-BC8-BC12-BC16-BC20-BC24-BC28-BC32</f>
        <v>4179</v>
      </c>
      <c r="BD38" s="1021">
        <f>BD82-BD8-BD12-BD16-BD20-BD24-BD28-BD32</f>
        <v>3606</v>
      </c>
      <c r="BE38" s="1021">
        <f>BE82-BE8-BE12-BE16-BE20-BE24-BE28-BE32</f>
        <v>3606</v>
      </c>
      <c r="BF38" s="1083">
        <f>BE38/BD38</f>
        <v>1</v>
      </c>
      <c r="BG38" s="1095">
        <f t="shared" si="0"/>
        <v>73782</v>
      </c>
      <c r="BH38" s="1036">
        <f t="shared" si="1"/>
        <v>61227</v>
      </c>
      <c r="BI38" s="1036">
        <f t="shared" si="2"/>
        <v>61227</v>
      </c>
      <c r="BJ38" s="1083">
        <f t="shared" si="9"/>
        <v>1</v>
      </c>
    </row>
    <row r="39" spans="1:62" s="153" customFormat="1" ht="13.5" hidden="1" customHeight="1" thickBot="1" x14ac:dyDescent="0.25">
      <c r="A39" s="992"/>
      <c r="B39" s="991" t="s">
        <v>837</v>
      </c>
      <c r="C39" s="1070"/>
      <c r="D39" s="1070"/>
      <c r="E39" s="1070"/>
      <c r="F39" s="988" t="e">
        <f>E39/D39</f>
        <v>#DIV/0!</v>
      </c>
      <c r="G39" s="1070"/>
      <c r="H39" s="1070"/>
      <c r="I39" s="1070"/>
      <c r="J39" s="988" t="e">
        <f>I39/H39</f>
        <v>#DIV/0!</v>
      </c>
      <c r="K39" s="1070"/>
      <c r="L39" s="1070"/>
      <c r="M39" s="1070"/>
      <c r="N39" s="988" t="e">
        <f>M39/L39</f>
        <v>#DIV/0!</v>
      </c>
      <c r="O39" s="1068"/>
      <c r="P39" s="1068"/>
      <c r="Q39" s="1068"/>
      <c r="R39" s="988" t="e">
        <f>Q39/P39</f>
        <v>#DIV/0!</v>
      </c>
      <c r="S39" s="1070"/>
      <c r="T39" s="1070"/>
      <c r="U39" s="1070"/>
      <c r="V39" s="988" t="e">
        <f t="shared" si="3"/>
        <v>#DIV/0!</v>
      </c>
      <c r="W39" s="1070"/>
      <c r="X39" s="1070"/>
      <c r="Y39" s="1070"/>
      <c r="Z39" s="988" t="e">
        <f>Y39/X39</f>
        <v>#DIV/0!</v>
      </c>
      <c r="AA39" s="1070"/>
      <c r="AB39" s="1070"/>
      <c r="AC39" s="1070"/>
      <c r="AD39" s="988" t="e">
        <f t="shared" si="4"/>
        <v>#DIV/0!</v>
      </c>
      <c r="AE39" s="1070"/>
      <c r="AF39" s="1070"/>
      <c r="AG39" s="1070"/>
      <c r="AH39" s="988" t="e">
        <f>AG39/AF39</f>
        <v>#DIV/0!</v>
      </c>
      <c r="AI39" s="1070"/>
      <c r="AJ39" s="1070"/>
      <c r="AK39" s="1070"/>
      <c r="AL39" s="988" t="e">
        <f t="shared" si="5"/>
        <v>#DIV/0!</v>
      </c>
      <c r="AM39" s="1070"/>
      <c r="AN39" s="1070"/>
      <c r="AO39" s="1070"/>
      <c r="AP39" s="988" t="e">
        <f t="shared" si="6"/>
        <v>#DIV/0!</v>
      </c>
      <c r="AQ39" s="1070"/>
      <c r="AR39" s="1070"/>
      <c r="AS39" s="1070"/>
      <c r="AT39" s="988" t="e">
        <f t="shared" si="7"/>
        <v>#DIV/0!</v>
      </c>
      <c r="AU39" s="1070"/>
      <c r="AV39" s="1070"/>
      <c r="AW39" s="1070"/>
      <c r="AX39" s="988" t="e">
        <f t="shared" si="8"/>
        <v>#DIV/0!</v>
      </c>
      <c r="AY39" s="1070"/>
      <c r="AZ39" s="1070"/>
      <c r="BA39" s="1070"/>
      <c r="BB39" s="988" t="e">
        <f>BA39/AZ39</f>
        <v>#DIV/0!</v>
      </c>
      <c r="BC39" s="1070"/>
      <c r="BD39" s="1070"/>
      <c r="BE39" s="1070"/>
      <c r="BF39" s="988" t="e">
        <f>BE39/BD39</f>
        <v>#DIV/0!</v>
      </c>
      <c r="BG39" s="1066">
        <f t="shared" si="0"/>
        <v>0</v>
      </c>
      <c r="BH39" s="1065">
        <f t="shared" si="1"/>
        <v>0</v>
      </c>
      <c r="BI39" s="1065">
        <f t="shared" si="2"/>
        <v>0</v>
      </c>
      <c r="BJ39" s="988" t="e">
        <f t="shared" si="9"/>
        <v>#DIV/0!</v>
      </c>
    </row>
    <row r="40" spans="1:62" s="977" customFormat="1" ht="17.25" customHeight="1" thickTop="1" thickBot="1" x14ac:dyDescent="0.25">
      <c r="A40" s="1019"/>
      <c r="B40" s="980" t="s">
        <v>422</v>
      </c>
      <c r="C40" s="1017">
        <f>C8+C12+C16+C20+C24+C28+C32+C36</f>
        <v>5061</v>
      </c>
      <c r="D40" s="1017">
        <f>D8+D12+D16+D20+D24+D28+D32+D36</f>
        <v>4169</v>
      </c>
      <c r="E40" s="1017">
        <f>E8+E12+E16+E20+E24+E28+E32+E36</f>
        <v>4169</v>
      </c>
      <c r="F40" s="1091">
        <f>E40/D40</f>
        <v>1</v>
      </c>
      <c r="G40" s="1017">
        <f>G8+G12+G16+G20+G24+G28+G32+G36</f>
        <v>8216</v>
      </c>
      <c r="H40" s="1017">
        <f>H8+H12+H16+H20+H24+H28+H32+H36</f>
        <v>7029</v>
      </c>
      <c r="I40" s="1017">
        <f>I8+I12+I16+I20+I24+I28+I32+I36</f>
        <v>7029</v>
      </c>
      <c r="J40" s="1091">
        <f>I40/H40</f>
        <v>1</v>
      </c>
      <c r="K40" s="1017">
        <f>K8+K12+K16+K20+K24+K28+K32+K36</f>
        <v>4883</v>
      </c>
      <c r="L40" s="1017">
        <f>L8+L12+L16+L20+L24+L28+L32+L36</f>
        <v>4444</v>
      </c>
      <c r="M40" s="1017">
        <f>M8+M12+M16+M20+M24+M28+M32+M36</f>
        <v>4444</v>
      </c>
      <c r="N40" s="1091">
        <f>M40/L40</f>
        <v>1</v>
      </c>
      <c r="O40" s="1017">
        <f>O8+O12+O16+O20+O24+O28+O32+O36</f>
        <v>7163</v>
      </c>
      <c r="P40" s="1017">
        <f>P8+P12+P16+P20+P24+P28+P32+P36</f>
        <v>6961</v>
      </c>
      <c r="Q40" s="1017">
        <f>Q8+Q12+Q16+Q20+Q24+Q28+Q32+Q36</f>
        <v>6961</v>
      </c>
      <c r="R40" s="1091">
        <f>Q40/P40</f>
        <v>1</v>
      </c>
      <c r="S40" s="1017">
        <f>S8+S12+S16+S20+S24+S28+S32+S36</f>
        <v>3734</v>
      </c>
      <c r="T40" s="1017">
        <f>T8+T12+T16+T20+T24+T28+T32+T36</f>
        <v>3681</v>
      </c>
      <c r="U40" s="1017">
        <f>U8+U12+U16+U20+U24+U28+U32+U36</f>
        <v>3681</v>
      </c>
      <c r="V40" s="1091">
        <f t="shared" si="3"/>
        <v>1</v>
      </c>
      <c r="W40" s="1092">
        <f>W8+W12+W16+W20+W24+W28+W32+W36</f>
        <v>4851</v>
      </c>
      <c r="X40" s="1092">
        <f>X8+X12+X16+X20+X24+X28+X32+X36</f>
        <v>3184</v>
      </c>
      <c r="Y40" s="1092">
        <f>Y8+Y12+Y16+Y20+Y24+Y28+Y32+Y36</f>
        <v>3184</v>
      </c>
      <c r="Z40" s="1091">
        <f>Y40/X40</f>
        <v>1</v>
      </c>
      <c r="AA40" s="1094">
        <f>AA8+AA12+AA16+AA20+AA24+AA28+AA32+AA36</f>
        <v>3842</v>
      </c>
      <c r="AB40" s="1094">
        <f>AB8+AB12+AB16+AB20+AB24+AB28+AB32+AB36</f>
        <v>3565</v>
      </c>
      <c r="AC40" s="1094">
        <f>AC8+AC12+AC16+AC20+AC24+AC28+AC32+AC36</f>
        <v>3565</v>
      </c>
      <c r="AD40" s="1091">
        <f t="shared" si="4"/>
        <v>1</v>
      </c>
      <c r="AE40" s="1094">
        <f>AE8+AE12+AE16+AE20+AE24+AE28+AE32+AE36</f>
        <v>4585</v>
      </c>
      <c r="AF40" s="1094">
        <f>AF8+AF12+AF16+AF20+AF24+AF28+AF32+AF36</f>
        <v>3915</v>
      </c>
      <c r="AG40" s="1094">
        <f>AG8+AG12+AG16+AG20+AG24+AG28+AG32+AG36</f>
        <v>3915</v>
      </c>
      <c r="AH40" s="1091">
        <f>AG40/AF40</f>
        <v>1</v>
      </c>
      <c r="AI40" s="1094">
        <f>AI8+AI12+AI16+AI20+AI24+AI28+AI32+AI36</f>
        <v>5499</v>
      </c>
      <c r="AJ40" s="1094">
        <f>AJ8+AJ12+AJ16+AJ20+AJ24+AJ28+AJ32+AJ36</f>
        <v>4077</v>
      </c>
      <c r="AK40" s="1094">
        <f>AK8+AK12+AK16+AK20+AK24+AK28+AK32+AK36</f>
        <v>4077</v>
      </c>
      <c r="AL40" s="1091">
        <f t="shared" si="5"/>
        <v>1</v>
      </c>
      <c r="AM40" s="1094">
        <f>AM8+AM12+AM16+AM20+AM24+AM28+AM32+AM36</f>
        <v>5588</v>
      </c>
      <c r="AN40" s="1094">
        <f>AN8+AN12+AN16+AN20+AN24+AN28+AN32+AN36</f>
        <v>4602</v>
      </c>
      <c r="AO40" s="1094">
        <f>AO8+AO12+AO16+AO20+AO24+AO28+AO32+AO36</f>
        <v>4602</v>
      </c>
      <c r="AP40" s="1091">
        <f t="shared" si="6"/>
        <v>1</v>
      </c>
      <c r="AQ40" s="1094">
        <f>AQ8+AQ12+AQ16+AQ20+AQ24+AQ28+AQ32+AQ36</f>
        <v>8761</v>
      </c>
      <c r="AR40" s="1094">
        <f>AR8+AR12+AR16+AR20+AR24+AR28+AR32+AR36</f>
        <v>3587</v>
      </c>
      <c r="AS40" s="1094">
        <f>AS8+AS12+AS16+AS20+AS24+AS28+AS32+AS36</f>
        <v>3587</v>
      </c>
      <c r="AT40" s="1091">
        <f t="shared" si="7"/>
        <v>1</v>
      </c>
      <c r="AU40" s="1094">
        <f>AU8+AU12+AU16+AU20+AU24+AU28+AU32+AU36</f>
        <v>6242</v>
      </c>
      <c r="AV40" s="1094">
        <f>AV8+AV12+AV16+AV20+AV24+AV28+AV32+AV36</f>
        <v>6046</v>
      </c>
      <c r="AW40" s="1094">
        <f>AW8+AW12+AW16+AW20+AW24+AW28+AW32+AW36</f>
        <v>6046</v>
      </c>
      <c r="AX40" s="1091">
        <f t="shared" si="8"/>
        <v>1</v>
      </c>
      <c r="AY40" s="1094">
        <f>AY8+AY12+AY16+AY20+AY24+AY28+AY32+AY36</f>
        <v>3804</v>
      </c>
      <c r="AZ40" s="1094">
        <f>AZ8+AZ12+AZ16+AZ20+AZ24+AZ28+AZ32+AZ36</f>
        <v>4056</v>
      </c>
      <c r="BA40" s="1094">
        <f>BA8+BA12+BA16+BA20+BA24+BA28+BA32+BA36</f>
        <v>4056</v>
      </c>
      <c r="BB40" s="1091">
        <f>BA40/AZ40</f>
        <v>1</v>
      </c>
      <c r="BC40" s="1094">
        <f>BC8+BC12+BC16+BC20+BC24+BC28+BC32+BC36</f>
        <v>4274</v>
      </c>
      <c r="BD40" s="1094">
        <f>BD8+BD12+BD16+BD20+BD24+BD28+BD32+BD36</f>
        <v>3606</v>
      </c>
      <c r="BE40" s="1094">
        <f>BE8+BE12+BE16+BE20+BE24+BE28+BE32+BE36</f>
        <v>3606</v>
      </c>
      <c r="BF40" s="1091">
        <f>BE40/BD40</f>
        <v>1</v>
      </c>
      <c r="BG40" s="1093">
        <f t="shared" si="0"/>
        <v>76503</v>
      </c>
      <c r="BH40" s="1092">
        <f t="shared" si="1"/>
        <v>62922</v>
      </c>
      <c r="BI40" s="1092">
        <f t="shared" si="2"/>
        <v>62922</v>
      </c>
      <c r="BJ40" s="1091">
        <f t="shared" si="9"/>
        <v>1</v>
      </c>
    </row>
    <row r="41" spans="1:62" s="183" customFormat="1" ht="18.75" customHeight="1" x14ac:dyDescent="0.2">
      <c r="A41" s="1015" t="s">
        <v>119</v>
      </c>
      <c r="B41" s="1014" t="s">
        <v>421</v>
      </c>
      <c r="C41" s="1090"/>
      <c r="D41" s="1090"/>
      <c r="E41" s="1090"/>
      <c r="F41" s="1088"/>
      <c r="G41" s="1090"/>
      <c r="H41" s="1090"/>
      <c r="I41" s="1090"/>
      <c r="J41" s="1088"/>
      <c r="K41" s="1090"/>
      <c r="L41" s="1090"/>
      <c r="M41" s="1090"/>
      <c r="N41" s="1088"/>
      <c r="O41" s="1090"/>
      <c r="P41" s="1090"/>
      <c r="Q41" s="1090"/>
      <c r="R41" s="1088"/>
      <c r="S41" s="1090"/>
      <c r="T41" s="1090"/>
      <c r="U41" s="1090"/>
      <c r="V41" s="1088"/>
      <c r="W41" s="1090"/>
      <c r="X41" s="1090"/>
      <c r="Y41" s="1090"/>
      <c r="Z41" s="1088"/>
      <c r="AA41" s="1090"/>
      <c r="AB41" s="1090"/>
      <c r="AC41" s="1090"/>
      <c r="AD41" s="1088"/>
      <c r="AE41" s="1090"/>
      <c r="AF41" s="1090"/>
      <c r="AG41" s="1090"/>
      <c r="AH41" s="1088"/>
      <c r="AI41" s="1090"/>
      <c r="AJ41" s="1090"/>
      <c r="AK41" s="1090"/>
      <c r="AL41" s="1088"/>
      <c r="AM41" s="1090"/>
      <c r="AN41" s="1090"/>
      <c r="AO41" s="1090"/>
      <c r="AP41" s="1088"/>
      <c r="AQ41" s="1090"/>
      <c r="AR41" s="1090"/>
      <c r="AS41" s="1090"/>
      <c r="AT41" s="1088"/>
      <c r="AU41" s="1090"/>
      <c r="AV41" s="1090"/>
      <c r="AW41" s="1090"/>
      <c r="AX41" s="1088"/>
      <c r="AY41" s="1090"/>
      <c r="AZ41" s="1090"/>
      <c r="BA41" s="1090"/>
      <c r="BB41" s="1088"/>
      <c r="BC41" s="1090"/>
      <c r="BD41" s="1090"/>
      <c r="BE41" s="1090"/>
      <c r="BF41" s="1088"/>
      <c r="BG41" s="1073"/>
      <c r="BH41" s="1089"/>
      <c r="BI41" s="1089"/>
      <c r="BJ41" s="1088"/>
    </row>
    <row r="42" spans="1:62" s="977" customFormat="1" ht="14.25" x14ac:dyDescent="0.2">
      <c r="A42" s="1087" t="s">
        <v>72</v>
      </c>
      <c r="B42" s="1078" t="s">
        <v>59</v>
      </c>
      <c r="C42" s="1009"/>
      <c r="D42" s="1009"/>
      <c r="E42" s="1009"/>
      <c r="F42" s="1085"/>
      <c r="G42" s="995"/>
      <c r="H42" s="995"/>
      <c r="I42" s="995"/>
      <c r="J42" s="1085"/>
      <c r="K42" s="995"/>
      <c r="L42" s="995"/>
      <c r="M42" s="995"/>
      <c r="N42" s="1085"/>
      <c r="O42" s="995"/>
      <c r="P42" s="995"/>
      <c r="Q42" s="995"/>
      <c r="R42" s="1085"/>
      <c r="S42" s="995"/>
      <c r="T42" s="995"/>
      <c r="U42" s="995"/>
      <c r="V42" s="1085"/>
      <c r="W42" s="995"/>
      <c r="X42" s="995"/>
      <c r="Y42" s="995"/>
      <c r="Z42" s="1085"/>
      <c r="AA42" s="995"/>
      <c r="AB42" s="995"/>
      <c r="AC42" s="995"/>
      <c r="AD42" s="1085"/>
      <c r="AE42" s="995"/>
      <c r="AF42" s="995"/>
      <c r="AG42" s="995"/>
      <c r="AH42" s="1085"/>
      <c r="AI42" s="995"/>
      <c r="AJ42" s="995"/>
      <c r="AK42" s="995"/>
      <c r="AL42" s="1085"/>
      <c r="AM42" s="995"/>
      <c r="AN42" s="995"/>
      <c r="AO42" s="995"/>
      <c r="AP42" s="1085"/>
      <c r="AQ42" s="995"/>
      <c r="AR42" s="995"/>
      <c r="AS42" s="995"/>
      <c r="AT42" s="1085"/>
      <c r="AU42" s="995"/>
      <c r="AV42" s="995"/>
      <c r="AW42" s="995"/>
      <c r="AX42" s="1085"/>
      <c r="AY42" s="995"/>
      <c r="AZ42" s="995"/>
      <c r="BA42" s="995"/>
      <c r="BB42" s="1085"/>
      <c r="BC42" s="995"/>
      <c r="BD42" s="995"/>
      <c r="BE42" s="995"/>
      <c r="BF42" s="1085"/>
      <c r="BG42" s="1066">
        <f t="shared" ref="BG42:BG82" si="10">C42+G42+K42+O42+S42+W42+AA42+AE42+AI42+AM42+AQ42+AU42+AY42+BC42</f>
        <v>0</v>
      </c>
      <c r="BH42" s="1069">
        <f t="shared" ref="BH42:BH82" si="11">D42+H42+L42+P42+T42+X42+AB42+AF42+AJ42+AN42+AR42+AV42+AZ42+BD42</f>
        <v>0</v>
      </c>
      <c r="BI42" s="1069">
        <f t="shared" ref="BI42:BI82" si="12">E42+I42+M42+Q42+U42+Y42+AC42+AG42+AK42+AO42+AS42+AW42+BA42+BE42</f>
        <v>0</v>
      </c>
      <c r="BJ42" s="1085"/>
    </row>
    <row r="43" spans="1:62" s="153" customFormat="1" ht="12.75" hidden="1" customHeight="1" x14ac:dyDescent="0.2">
      <c r="A43" s="992"/>
      <c r="B43" s="991" t="s">
        <v>839</v>
      </c>
      <c r="C43" s="1070"/>
      <c r="D43" s="1070"/>
      <c r="E43" s="1070"/>
      <c r="F43" s="988" t="e">
        <f>E43/D43</f>
        <v>#DIV/0!</v>
      </c>
      <c r="G43" s="1070"/>
      <c r="H43" s="1070"/>
      <c r="I43" s="1070"/>
      <c r="J43" s="988" t="e">
        <f>I43/H43</f>
        <v>#DIV/0!</v>
      </c>
      <c r="K43" s="1070"/>
      <c r="L43" s="1070"/>
      <c r="M43" s="1070"/>
      <c r="N43" s="988"/>
      <c r="O43" s="1071"/>
      <c r="P43" s="1071"/>
      <c r="Q43" s="1071"/>
      <c r="R43" s="988"/>
      <c r="S43" s="1070"/>
      <c r="T43" s="1070"/>
      <c r="U43" s="1070"/>
      <c r="V43" s="988" t="e">
        <f>U43/T43</f>
        <v>#DIV/0!</v>
      </c>
      <c r="W43" s="1070"/>
      <c r="X43" s="1070"/>
      <c r="Y43" s="1070"/>
      <c r="Z43" s="988" t="e">
        <f>Y43/X43</f>
        <v>#DIV/0!</v>
      </c>
      <c r="AA43" s="1070"/>
      <c r="AB43" s="1070"/>
      <c r="AC43" s="1070"/>
      <c r="AD43" s="988"/>
      <c r="AE43" s="1070"/>
      <c r="AF43" s="1070"/>
      <c r="AG43" s="1070"/>
      <c r="AH43" s="988"/>
      <c r="AI43" s="1070"/>
      <c r="AJ43" s="1070"/>
      <c r="AK43" s="1070"/>
      <c r="AL43" s="988"/>
      <c r="AM43" s="1070"/>
      <c r="AN43" s="1070"/>
      <c r="AO43" s="1070"/>
      <c r="AP43" s="988"/>
      <c r="AQ43" s="1070"/>
      <c r="AR43" s="1070"/>
      <c r="AS43" s="1070"/>
      <c r="AT43" s="988"/>
      <c r="AU43" s="1070"/>
      <c r="AV43" s="1070"/>
      <c r="AW43" s="1070"/>
      <c r="AX43" s="988"/>
      <c r="AY43" s="1070"/>
      <c r="AZ43" s="1070"/>
      <c r="BA43" s="1070"/>
      <c r="BB43" s="988"/>
      <c r="BC43" s="1070"/>
      <c r="BD43" s="1070"/>
      <c r="BE43" s="1070"/>
      <c r="BF43" s="988"/>
      <c r="BG43" s="1066">
        <f t="shared" si="10"/>
        <v>0</v>
      </c>
      <c r="BH43" s="1069">
        <f t="shared" si="11"/>
        <v>0</v>
      </c>
      <c r="BI43" s="1069">
        <f t="shared" si="12"/>
        <v>0</v>
      </c>
      <c r="BJ43" s="988"/>
    </row>
    <row r="44" spans="1:62" s="153" customFormat="1" ht="12.75" hidden="1" customHeight="1" x14ac:dyDescent="0.2">
      <c r="A44" s="992"/>
      <c r="B44" s="991" t="s">
        <v>838</v>
      </c>
      <c r="C44" s="990"/>
      <c r="D44" s="990"/>
      <c r="E44" s="990"/>
      <c r="F44" s="1083" t="e">
        <f>E44/D44</f>
        <v>#DIV/0!</v>
      </c>
      <c r="G44" s="990"/>
      <c r="H44" s="990"/>
      <c r="I44" s="990"/>
      <c r="J44" s="1083" t="e">
        <f>I44/H44</f>
        <v>#DIV/0!</v>
      </c>
      <c r="K44" s="990"/>
      <c r="L44" s="990"/>
      <c r="M44" s="990"/>
      <c r="N44" s="1083"/>
      <c r="O44" s="1036"/>
      <c r="P44" s="1036"/>
      <c r="Q44" s="1036"/>
      <c r="R44" s="1083"/>
      <c r="S44" s="990"/>
      <c r="T44" s="990"/>
      <c r="U44" s="990"/>
      <c r="V44" s="1083" t="e">
        <f>U44/T44</f>
        <v>#DIV/0!</v>
      </c>
      <c r="W44" s="990"/>
      <c r="X44" s="990"/>
      <c r="Y44" s="990"/>
      <c r="Z44" s="1083" t="e">
        <f>Y44/X44</f>
        <v>#DIV/0!</v>
      </c>
      <c r="AA44" s="990"/>
      <c r="AB44" s="990"/>
      <c r="AC44" s="990"/>
      <c r="AD44" s="1083"/>
      <c r="AE44" s="990"/>
      <c r="AF44" s="990"/>
      <c r="AG44" s="990"/>
      <c r="AH44" s="1083"/>
      <c r="AI44" s="990"/>
      <c r="AJ44" s="990"/>
      <c r="AK44" s="990"/>
      <c r="AL44" s="1083"/>
      <c r="AM44" s="990"/>
      <c r="AN44" s="990"/>
      <c r="AO44" s="990"/>
      <c r="AP44" s="1083"/>
      <c r="AQ44" s="990"/>
      <c r="AR44" s="990"/>
      <c r="AS44" s="990"/>
      <c r="AT44" s="1083"/>
      <c r="AU44" s="990"/>
      <c r="AV44" s="990"/>
      <c r="AW44" s="990"/>
      <c r="AX44" s="1083"/>
      <c r="AY44" s="990"/>
      <c r="AZ44" s="990"/>
      <c r="BA44" s="990"/>
      <c r="BB44" s="1083"/>
      <c r="BC44" s="990"/>
      <c r="BD44" s="990"/>
      <c r="BE44" s="990"/>
      <c r="BF44" s="1083"/>
      <c r="BG44" s="1066">
        <f t="shared" si="10"/>
        <v>0</v>
      </c>
      <c r="BH44" s="1069">
        <f t="shared" si="11"/>
        <v>0</v>
      </c>
      <c r="BI44" s="1069">
        <f t="shared" si="12"/>
        <v>0</v>
      </c>
      <c r="BJ44" s="1083"/>
    </row>
    <row r="45" spans="1:62" s="153" customFormat="1" ht="12.75" hidden="1" customHeight="1" x14ac:dyDescent="0.2">
      <c r="A45" s="992"/>
      <c r="B45" s="991" t="s">
        <v>837</v>
      </c>
      <c r="C45" s="1070"/>
      <c r="D45" s="1070"/>
      <c r="E45" s="1070"/>
      <c r="F45" s="988" t="e">
        <f>E45/D45</f>
        <v>#DIV/0!</v>
      </c>
      <c r="G45" s="1070"/>
      <c r="H45" s="1070"/>
      <c r="I45" s="1070"/>
      <c r="J45" s="988" t="e">
        <f>I45/H45</f>
        <v>#DIV/0!</v>
      </c>
      <c r="K45" s="1070"/>
      <c r="L45" s="1070"/>
      <c r="M45" s="1070"/>
      <c r="N45" s="988"/>
      <c r="O45" s="1071"/>
      <c r="P45" s="1071"/>
      <c r="Q45" s="1071"/>
      <c r="R45" s="988"/>
      <c r="S45" s="1070"/>
      <c r="T45" s="1070"/>
      <c r="U45" s="1070"/>
      <c r="V45" s="988" t="e">
        <f>U45/T45</f>
        <v>#DIV/0!</v>
      </c>
      <c r="W45" s="1070"/>
      <c r="X45" s="1070"/>
      <c r="Y45" s="1070"/>
      <c r="Z45" s="988" t="e">
        <f>Y45/X45</f>
        <v>#DIV/0!</v>
      </c>
      <c r="AA45" s="1070"/>
      <c r="AB45" s="1070"/>
      <c r="AC45" s="1070"/>
      <c r="AD45" s="988"/>
      <c r="AE45" s="1070"/>
      <c r="AF45" s="1070"/>
      <c r="AG45" s="1070"/>
      <c r="AH45" s="988"/>
      <c r="AI45" s="1070"/>
      <c r="AJ45" s="1070"/>
      <c r="AK45" s="1070"/>
      <c r="AL45" s="988"/>
      <c r="AM45" s="1070"/>
      <c r="AN45" s="1070"/>
      <c r="AO45" s="1070"/>
      <c r="AP45" s="988"/>
      <c r="AQ45" s="1070"/>
      <c r="AR45" s="1070"/>
      <c r="AS45" s="1070"/>
      <c r="AT45" s="988"/>
      <c r="AU45" s="1070"/>
      <c r="AV45" s="1070"/>
      <c r="AW45" s="1070"/>
      <c r="AX45" s="988"/>
      <c r="AY45" s="1070"/>
      <c r="AZ45" s="1070"/>
      <c r="BA45" s="1070"/>
      <c r="BB45" s="988"/>
      <c r="BC45" s="1070"/>
      <c r="BD45" s="1070"/>
      <c r="BE45" s="1070"/>
      <c r="BF45" s="988"/>
      <c r="BG45" s="1066">
        <f t="shared" si="10"/>
        <v>0</v>
      </c>
      <c r="BH45" s="1069">
        <f t="shared" si="11"/>
        <v>0</v>
      </c>
      <c r="BI45" s="1069">
        <f t="shared" si="12"/>
        <v>0</v>
      </c>
      <c r="BJ45" s="988"/>
    </row>
    <row r="46" spans="1:62" s="977" customFormat="1" ht="28.5" x14ac:dyDescent="0.2">
      <c r="A46" s="1087" t="s">
        <v>70</v>
      </c>
      <c r="B46" s="1075" t="s">
        <v>56</v>
      </c>
      <c r="C46" s="1009"/>
      <c r="D46" s="1009"/>
      <c r="E46" s="1009"/>
      <c r="F46" s="1085"/>
      <c r="G46" s="995"/>
      <c r="H46" s="995"/>
      <c r="I46" s="995"/>
      <c r="J46" s="1085"/>
      <c r="K46" s="995"/>
      <c r="L46" s="995"/>
      <c r="M46" s="995"/>
      <c r="N46" s="1085"/>
      <c r="O46" s="995"/>
      <c r="P46" s="995"/>
      <c r="Q46" s="995"/>
      <c r="R46" s="1085"/>
      <c r="S46" s="995"/>
      <c r="T46" s="995"/>
      <c r="U46" s="995"/>
      <c r="V46" s="1085"/>
      <c r="W46" s="995"/>
      <c r="X46" s="995"/>
      <c r="Y46" s="995"/>
      <c r="Z46" s="1085"/>
      <c r="AA46" s="995"/>
      <c r="AB46" s="995"/>
      <c r="AC46" s="995"/>
      <c r="AD46" s="1085"/>
      <c r="AE46" s="995"/>
      <c r="AF46" s="995"/>
      <c r="AG46" s="995"/>
      <c r="AH46" s="1085"/>
      <c r="AI46" s="995"/>
      <c r="AJ46" s="995"/>
      <c r="AK46" s="995"/>
      <c r="AL46" s="1085"/>
      <c r="AM46" s="995"/>
      <c r="AN46" s="995"/>
      <c r="AO46" s="995"/>
      <c r="AP46" s="1085"/>
      <c r="AQ46" s="995"/>
      <c r="AR46" s="995"/>
      <c r="AS46" s="995"/>
      <c r="AT46" s="1085"/>
      <c r="AU46" s="995"/>
      <c r="AV46" s="995"/>
      <c r="AW46" s="995"/>
      <c r="AX46" s="1085"/>
      <c r="AY46" s="995"/>
      <c r="AZ46" s="995"/>
      <c r="BA46" s="995"/>
      <c r="BB46" s="1085"/>
      <c r="BC46" s="995"/>
      <c r="BD46" s="995"/>
      <c r="BE46" s="995"/>
      <c r="BF46" s="1085"/>
      <c r="BG46" s="1066">
        <f t="shared" si="10"/>
        <v>0</v>
      </c>
      <c r="BH46" s="1069">
        <f t="shared" si="11"/>
        <v>0</v>
      </c>
      <c r="BI46" s="1069">
        <f t="shared" si="12"/>
        <v>0</v>
      </c>
      <c r="BJ46" s="1085"/>
    </row>
    <row r="47" spans="1:62" s="153" customFormat="1" ht="12.75" hidden="1" customHeight="1" x14ac:dyDescent="0.2">
      <c r="A47" s="992"/>
      <c r="B47" s="991" t="s">
        <v>839</v>
      </c>
      <c r="C47" s="1070"/>
      <c r="D47" s="1070"/>
      <c r="E47" s="1070"/>
      <c r="F47" s="988" t="e">
        <f t="shared" ref="F47:F53" si="13">E47/D47</f>
        <v>#DIV/0!</v>
      </c>
      <c r="G47" s="1070"/>
      <c r="H47" s="1070"/>
      <c r="I47" s="1070"/>
      <c r="J47" s="988" t="e">
        <f t="shared" ref="J47:J53" si="14">I47/H47</f>
        <v>#DIV/0!</v>
      </c>
      <c r="K47" s="1070"/>
      <c r="L47" s="1070"/>
      <c r="M47" s="1070"/>
      <c r="N47" s="988" t="e">
        <f t="shared" ref="N47:N53" si="15">M47/L47</f>
        <v>#DIV/0!</v>
      </c>
      <c r="O47" s="1071"/>
      <c r="P47" s="1071"/>
      <c r="Q47" s="1071"/>
      <c r="R47" s="988" t="e">
        <f t="shared" ref="R47:R53" si="16">Q47/P47</f>
        <v>#DIV/0!</v>
      </c>
      <c r="S47" s="1070"/>
      <c r="T47" s="1070"/>
      <c r="U47" s="1070"/>
      <c r="V47" s="988" t="e">
        <f t="shared" ref="V47:V53" si="17">U47/T47</f>
        <v>#DIV/0!</v>
      </c>
      <c r="W47" s="1070"/>
      <c r="X47" s="1070"/>
      <c r="Y47" s="1070"/>
      <c r="Z47" s="988" t="e">
        <f t="shared" ref="Z47:Z53" si="18">Y47/X47</f>
        <v>#DIV/0!</v>
      </c>
      <c r="AA47" s="1070"/>
      <c r="AB47" s="1070"/>
      <c r="AC47" s="1070"/>
      <c r="AD47" s="988" t="e">
        <f t="shared" ref="AD47:AD53" si="19">AC47/AB47</f>
        <v>#DIV/0!</v>
      </c>
      <c r="AE47" s="1070"/>
      <c r="AF47" s="1070"/>
      <c r="AG47" s="1070"/>
      <c r="AH47" s="988" t="e">
        <f t="shared" ref="AH47:AH53" si="20">AG47/AF47</f>
        <v>#DIV/0!</v>
      </c>
      <c r="AI47" s="1070"/>
      <c r="AJ47" s="1070"/>
      <c r="AK47" s="1070"/>
      <c r="AL47" s="988" t="e">
        <f t="shared" ref="AL47:AL53" si="21">AK47/AJ47</f>
        <v>#DIV/0!</v>
      </c>
      <c r="AM47" s="1070"/>
      <c r="AN47" s="1070"/>
      <c r="AO47" s="1070"/>
      <c r="AP47" s="988" t="e">
        <f t="shared" ref="AP47:AP53" si="22">AO47/AN47</f>
        <v>#DIV/0!</v>
      </c>
      <c r="AQ47" s="1070"/>
      <c r="AR47" s="1070"/>
      <c r="AS47" s="1070"/>
      <c r="AT47" s="988" t="e">
        <f t="shared" ref="AT47:AT53" si="23">AS47/AR47</f>
        <v>#DIV/0!</v>
      </c>
      <c r="AU47" s="1070"/>
      <c r="AV47" s="1070"/>
      <c r="AW47" s="1070"/>
      <c r="AX47" s="988" t="e">
        <f t="shared" ref="AX47:AX53" si="24">AW47/AV47</f>
        <v>#DIV/0!</v>
      </c>
      <c r="AY47" s="1070"/>
      <c r="AZ47" s="1070"/>
      <c r="BA47" s="1070"/>
      <c r="BB47" s="988" t="e">
        <f t="shared" ref="BB47:BB53" si="25">BA47/AZ47</f>
        <v>#DIV/0!</v>
      </c>
      <c r="BC47" s="1070"/>
      <c r="BD47" s="1070"/>
      <c r="BE47" s="1070"/>
      <c r="BF47" s="988" t="e">
        <f t="shared" ref="BF47:BF53" si="26">BE47/BD47</f>
        <v>#DIV/0!</v>
      </c>
      <c r="BG47" s="1066">
        <f t="shared" si="10"/>
        <v>0</v>
      </c>
      <c r="BH47" s="1069">
        <f t="shared" si="11"/>
        <v>0</v>
      </c>
      <c r="BI47" s="1069">
        <f t="shared" si="12"/>
        <v>0</v>
      </c>
      <c r="BJ47" s="988" t="e">
        <f t="shared" ref="BJ47:BJ53" si="27">BI47/BH47</f>
        <v>#DIV/0!</v>
      </c>
    </row>
    <row r="48" spans="1:62" s="153" customFormat="1" ht="12.75" hidden="1" customHeight="1" x14ac:dyDescent="0.2">
      <c r="A48" s="992"/>
      <c r="B48" s="991" t="s">
        <v>838</v>
      </c>
      <c r="C48" s="990"/>
      <c r="D48" s="990"/>
      <c r="E48" s="990"/>
      <c r="F48" s="1083" t="e">
        <f t="shared" si="13"/>
        <v>#DIV/0!</v>
      </c>
      <c r="G48" s="990"/>
      <c r="H48" s="990"/>
      <c r="I48" s="990"/>
      <c r="J48" s="1083" t="e">
        <f t="shared" si="14"/>
        <v>#DIV/0!</v>
      </c>
      <c r="K48" s="990"/>
      <c r="L48" s="990"/>
      <c r="M48" s="990"/>
      <c r="N48" s="1083" t="e">
        <f t="shared" si="15"/>
        <v>#DIV/0!</v>
      </c>
      <c r="O48" s="1036"/>
      <c r="P48" s="1036"/>
      <c r="Q48" s="1036"/>
      <c r="R48" s="1083" t="e">
        <f t="shared" si="16"/>
        <v>#DIV/0!</v>
      </c>
      <c r="S48" s="990"/>
      <c r="T48" s="990"/>
      <c r="U48" s="990"/>
      <c r="V48" s="1083" t="e">
        <f t="shared" si="17"/>
        <v>#DIV/0!</v>
      </c>
      <c r="W48" s="990"/>
      <c r="X48" s="990"/>
      <c r="Y48" s="990"/>
      <c r="Z48" s="1083" t="e">
        <f t="shared" si="18"/>
        <v>#DIV/0!</v>
      </c>
      <c r="AA48" s="990"/>
      <c r="AB48" s="990"/>
      <c r="AC48" s="990"/>
      <c r="AD48" s="1083" t="e">
        <f t="shared" si="19"/>
        <v>#DIV/0!</v>
      </c>
      <c r="AE48" s="990"/>
      <c r="AF48" s="990"/>
      <c r="AG48" s="990"/>
      <c r="AH48" s="1083" t="e">
        <f t="shared" si="20"/>
        <v>#DIV/0!</v>
      </c>
      <c r="AI48" s="990"/>
      <c r="AJ48" s="990"/>
      <c r="AK48" s="990"/>
      <c r="AL48" s="1083" t="e">
        <f t="shared" si="21"/>
        <v>#DIV/0!</v>
      </c>
      <c r="AM48" s="990"/>
      <c r="AN48" s="990"/>
      <c r="AO48" s="990"/>
      <c r="AP48" s="1083" t="e">
        <f t="shared" si="22"/>
        <v>#DIV/0!</v>
      </c>
      <c r="AQ48" s="990"/>
      <c r="AR48" s="990"/>
      <c r="AS48" s="990"/>
      <c r="AT48" s="1083" t="e">
        <f t="shared" si="23"/>
        <v>#DIV/0!</v>
      </c>
      <c r="AU48" s="990"/>
      <c r="AV48" s="990"/>
      <c r="AW48" s="990"/>
      <c r="AX48" s="1083" t="e">
        <f t="shared" si="24"/>
        <v>#DIV/0!</v>
      </c>
      <c r="AY48" s="990"/>
      <c r="AZ48" s="990"/>
      <c r="BA48" s="990"/>
      <c r="BB48" s="1083" t="e">
        <f t="shared" si="25"/>
        <v>#DIV/0!</v>
      </c>
      <c r="BC48" s="990"/>
      <c r="BD48" s="990"/>
      <c r="BE48" s="990"/>
      <c r="BF48" s="1083" t="e">
        <f t="shared" si="26"/>
        <v>#DIV/0!</v>
      </c>
      <c r="BG48" s="1066">
        <f t="shared" si="10"/>
        <v>0</v>
      </c>
      <c r="BH48" s="1069">
        <f t="shared" si="11"/>
        <v>0</v>
      </c>
      <c r="BI48" s="1069">
        <f t="shared" si="12"/>
        <v>0</v>
      </c>
      <c r="BJ48" s="1083" t="e">
        <f t="shared" si="27"/>
        <v>#DIV/0!</v>
      </c>
    </row>
    <row r="49" spans="1:62" s="153" customFormat="1" ht="12.75" hidden="1" customHeight="1" x14ac:dyDescent="0.2">
      <c r="A49" s="992"/>
      <c r="B49" s="991" t="s">
        <v>837</v>
      </c>
      <c r="C49" s="1070"/>
      <c r="D49" s="1070"/>
      <c r="E49" s="1070"/>
      <c r="F49" s="988" t="e">
        <f t="shared" si="13"/>
        <v>#DIV/0!</v>
      </c>
      <c r="G49" s="1070"/>
      <c r="H49" s="1070"/>
      <c r="I49" s="1070"/>
      <c r="J49" s="988" t="e">
        <f t="shared" si="14"/>
        <v>#DIV/0!</v>
      </c>
      <c r="K49" s="1070"/>
      <c r="L49" s="1070"/>
      <c r="M49" s="1070"/>
      <c r="N49" s="988" t="e">
        <f t="shared" si="15"/>
        <v>#DIV/0!</v>
      </c>
      <c r="O49" s="1071"/>
      <c r="P49" s="1071"/>
      <c r="Q49" s="1071"/>
      <c r="R49" s="988" t="e">
        <f t="shared" si="16"/>
        <v>#DIV/0!</v>
      </c>
      <c r="S49" s="1070"/>
      <c r="T49" s="1070"/>
      <c r="U49" s="1070"/>
      <c r="V49" s="988" t="e">
        <f t="shared" si="17"/>
        <v>#DIV/0!</v>
      </c>
      <c r="W49" s="1070"/>
      <c r="X49" s="1070"/>
      <c r="Y49" s="1070"/>
      <c r="Z49" s="988" t="e">
        <f t="shared" si="18"/>
        <v>#DIV/0!</v>
      </c>
      <c r="AA49" s="1070"/>
      <c r="AB49" s="1070"/>
      <c r="AC49" s="1070"/>
      <c r="AD49" s="988" t="e">
        <f t="shared" si="19"/>
        <v>#DIV/0!</v>
      </c>
      <c r="AE49" s="1070"/>
      <c r="AF49" s="1070"/>
      <c r="AG49" s="1070"/>
      <c r="AH49" s="988" t="e">
        <f t="shared" si="20"/>
        <v>#DIV/0!</v>
      </c>
      <c r="AI49" s="1070"/>
      <c r="AJ49" s="1070"/>
      <c r="AK49" s="1070"/>
      <c r="AL49" s="988" t="e">
        <f t="shared" si="21"/>
        <v>#DIV/0!</v>
      </c>
      <c r="AM49" s="1070"/>
      <c r="AN49" s="1070"/>
      <c r="AO49" s="1070"/>
      <c r="AP49" s="988" t="e">
        <f t="shared" si="22"/>
        <v>#DIV/0!</v>
      </c>
      <c r="AQ49" s="1070"/>
      <c r="AR49" s="1070"/>
      <c r="AS49" s="1070"/>
      <c r="AT49" s="988" t="e">
        <f t="shared" si="23"/>
        <v>#DIV/0!</v>
      </c>
      <c r="AU49" s="1070"/>
      <c r="AV49" s="1070"/>
      <c r="AW49" s="1070"/>
      <c r="AX49" s="988" t="e">
        <f t="shared" si="24"/>
        <v>#DIV/0!</v>
      </c>
      <c r="AY49" s="1070"/>
      <c r="AZ49" s="1070"/>
      <c r="BA49" s="1070"/>
      <c r="BB49" s="988" t="e">
        <f t="shared" si="25"/>
        <v>#DIV/0!</v>
      </c>
      <c r="BC49" s="1070"/>
      <c r="BD49" s="1070"/>
      <c r="BE49" s="1070"/>
      <c r="BF49" s="988" t="e">
        <f t="shared" si="26"/>
        <v>#DIV/0!</v>
      </c>
      <c r="BG49" s="1066">
        <f t="shared" si="10"/>
        <v>0</v>
      </c>
      <c r="BH49" s="1069">
        <f t="shared" si="11"/>
        <v>0</v>
      </c>
      <c r="BI49" s="1069">
        <f t="shared" si="12"/>
        <v>0</v>
      </c>
      <c r="BJ49" s="988" t="e">
        <f t="shared" si="27"/>
        <v>#DIV/0!</v>
      </c>
    </row>
    <row r="50" spans="1:62" s="977" customFormat="1" ht="14.25" x14ac:dyDescent="0.2">
      <c r="A50" s="1087" t="s">
        <v>91</v>
      </c>
      <c r="B50" s="1075" t="s">
        <v>53</v>
      </c>
      <c r="C50" s="995">
        <f>SUM(C51:C53)</f>
        <v>3410</v>
      </c>
      <c r="D50" s="995">
        <f>SUM(D51:D53)+1377</f>
        <v>3770</v>
      </c>
      <c r="E50" s="995">
        <f>SUM(E51:E53)+1377</f>
        <v>3770</v>
      </c>
      <c r="F50" s="1085">
        <f t="shared" si="13"/>
        <v>1</v>
      </c>
      <c r="G50" s="995">
        <f>SUM(G51:G53)</f>
        <v>5582</v>
      </c>
      <c r="H50" s="995">
        <f>SUM(H51:H53)+1622</f>
        <v>6328</v>
      </c>
      <c r="I50" s="995">
        <f>SUM(I51:I53)+1622</f>
        <v>6328</v>
      </c>
      <c r="J50" s="1085">
        <f t="shared" si="14"/>
        <v>1</v>
      </c>
      <c r="K50" s="995">
        <f>SUM(K51:K53)</f>
        <v>3829</v>
      </c>
      <c r="L50" s="995">
        <f>SUM(L51:L53)+1119</f>
        <v>3969</v>
      </c>
      <c r="M50" s="995">
        <f>SUM(M51:M53)+1119</f>
        <v>3969</v>
      </c>
      <c r="N50" s="1085">
        <f t="shared" si="15"/>
        <v>1</v>
      </c>
      <c r="O50" s="995">
        <f>SUM(O51:O53)</f>
        <v>6210</v>
      </c>
      <c r="P50" s="995">
        <f>SUM(P51:P53)+1752</f>
        <v>6217</v>
      </c>
      <c r="Q50" s="995">
        <f>SUM(Q51:Q53)+1752</f>
        <v>6217</v>
      </c>
      <c r="R50" s="1085">
        <f t="shared" si="16"/>
        <v>1</v>
      </c>
      <c r="S50" s="995">
        <f>SUM(S51:S53)</f>
        <v>3734</v>
      </c>
      <c r="T50" s="995">
        <f>SUM(T51:T53)+528</f>
        <v>3225</v>
      </c>
      <c r="U50" s="995">
        <f>SUM(U51:U53)+528</f>
        <v>3225</v>
      </c>
      <c r="V50" s="1085">
        <f t="shared" si="17"/>
        <v>1</v>
      </c>
      <c r="W50" s="995">
        <f>SUM(W51:W53)</f>
        <v>2457</v>
      </c>
      <c r="X50" s="995">
        <f>SUM(X51:X53)+659</f>
        <v>2823</v>
      </c>
      <c r="Y50" s="995">
        <f>SUM(Y51:Y53)+659</f>
        <v>2823</v>
      </c>
      <c r="Z50" s="1085">
        <f t="shared" si="18"/>
        <v>1</v>
      </c>
      <c r="AA50" s="995">
        <f>SUM(AA51:AA53)</f>
        <v>2953</v>
      </c>
      <c r="AB50" s="995">
        <f>SUM(AB51:AB53)+844</f>
        <v>3176</v>
      </c>
      <c r="AC50" s="995">
        <f>SUM(AC51:AC53)+844</f>
        <v>3176</v>
      </c>
      <c r="AD50" s="1085">
        <f t="shared" si="19"/>
        <v>1</v>
      </c>
      <c r="AE50" s="995">
        <f>SUM(AE51:AE53)</f>
        <v>3391</v>
      </c>
      <c r="AF50" s="995">
        <f>SUM(AF51:AF53)+910</f>
        <v>3486</v>
      </c>
      <c r="AG50" s="995">
        <f>SUM(AG51:AG53)+910</f>
        <v>3486</v>
      </c>
      <c r="AH50" s="1085">
        <f t="shared" si="20"/>
        <v>1</v>
      </c>
      <c r="AI50" s="995">
        <f>SUM(AI51:AI53)</f>
        <v>3467</v>
      </c>
      <c r="AJ50" s="995">
        <f>SUM(AJ51:AJ53)+823</f>
        <v>3612</v>
      </c>
      <c r="AK50" s="995">
        <f>SUM(AK51:AK53)+823</f>
        <v>3612</v>
      </c>
      <c r="AL50" s="1085">
        <f t="shared" si="21"/>
        <v>1</v>
      </c>
      <c r="AM50" s="995">
        <f>SUM(AM51:AM53)</f>
        <v>3810</v>
      </c>
      <c r="AN50" s="995">
        <f>SUM(AN51:AN53)+1290</f>
        <v>4125</v>
      </c>
      <c r="AO50" s="995">
        <f>SUM(AO51:AO53)+1290</f>
        <v>4125</v>
      </c>
      <c r="AP50" s="1085">
        <f t="shared" si="22"/>
        <v>1</v>
      </c>
      <c r="AQ50" s="995">
        <f>SUM(AQ51:AQ53)</f>
        <v>1657</v>
      </c>
      <c r="AR50" s="995">
        <f>SUM(AR51:AR53)+515</f>
        <v>3073</v>
      </c>
      <c r="AS50" s="995">
        <f>SUM(AS51:AS53)+515</f>
        <v>3073</v>
      </c>
      <c r="AT50" s="1085">
        <f t="shared" si="23"/>
        <v>1</v>
      </c>
      <c r="AU50" s="995">
        <f>SUM(AU51:AU53)</f>
        <v>4972</v>
      </c>
      <c r="AV50" s="995">
        <f>SUM(AV51:AV53)+1457</f>
        <v>4764</v>
      </c>
      <c r="AW50" s="995">
        <f>SUM(AW51:AW53)+1457</f>
        <v>4764</v>
      </c>
      <c r="AX50" s="1085">
        <f t="shared" si="24"/>
        <v>1</v>
      </c>
      <c r="AY50" s="995">
        <f>SUM(AY51:AY53)</f>
        <v>3448</v>
      </c>
      <c r="AZ50" s="995">
        <f>SUM(AZ51:AZ53)+1222</f>
        <v>3744</v>
      </c>
      <c r="BA50" s="995">
        <f>SUM(BA51:BA53)+1222</f>
        <v>3744</v>
      </c>
      <c r="BB50" s="1085">
        <f t="shared" si="25"/>
        <v>1</v>
      </c>
      <c r="BC50" s="995">
        <f>SUM(BC51:BC53)</f>
        <v>3296</v>
      </c>
      <c r="BD50" s="995">
        <f>SUM(BD51:BD53)+850</f>
        <v>3212</v>
      </c>
      <c r="BE50" s="995">
        <f>SUM(BE51:BE53)+850</f>
        <v>3212</v>
      </c>
      <c r="BF50" s="1085">
        <f t="shared" si="26"/>
        <v>1</v>
      </c>
      <c r="BG50" s="1086">
        <f t="shared" si="10"/>
        <v>52216</v>
      </c>
      <c r="BH50" s="995">
        <f t="shared" si="11"/>
        <v>55524</v>
      </c>
      <c r="BI50" s="995">
        <f t="shared" si="12"/>
        <v>55524</v>
      </c>
      <c r="BJ50" s="1085">
        <f t="shared" si="27"/>
        <v>1</v>
      </c>
    </row>
    <row r="51" spans="1:62" s="153" customFormat="1" ht="12.75" hidden="1" customHeight="1" x14ac:dyDescent="0.2">
      <c r="A51" s="992"/>
      <c r="B51" s="991" t="s">
        <v>839</v>
      </c>
      <c r="C51" s="990"/>
      <c r="D51" s="990"/>
      <c r="E51" s="990"/>
      <c r="F51" s="1083" t="e">
        <f t="shared" si="13"/>
        <v>#DIV/0!</v>
      </c>
      <c r="G51" s="990"/>
      <c r="H51" s="990"/>
      <c r="I51" s="990"/>
      <c r="J51" s="1083" t="e">
        <f t="shared" si="14"/>
        <v>#DIV/0!</v>
      </c>
      <c r="K51" s="990"/>
      <c r="L51" s="990"/>
      <c r="M51" s="990"/>
      <c r="N51" s="1083" t="e">
        <f t="shared" si="15"/>
        <v>#DIV/0!</v>
      </c>
      <c r="O51" s="1036"/>
      <c r="P51" s="1036"/>
      <c r="Q51" s="1036"/>
      <c r="R51" s="1083" t="e">
        <f t="shared" si="16"/>
        <v>#DIV/0!</v>
      </c>
      <c r="S51" s="990"/>
      <c r="T51" s="990"/>
      <c r="U51" s="990"/>
      <c r="V51" s="1083" t="e">
        <f t="shared" si="17"/>
        <v>#DIV/0!</v>
      </c>
      <c r="W51" s="990"/>
      <c r="X51" s="990"/>
      <c r="Y51" s="990"/>
      <c r="Z51" s="1083" t="e">
        <f t="shared" si="18"/>
        <v>#DIV/0!</v>
      </c>
      <c r="AA51" s="990"/>
      <c r="AB51" s="990"/>
      <c r="AC51" s="990"/>
      <c r="AD51" s="1083" t="e">
        <f t="shared" si="19"/>
        <v>#DIV/0!</v>
      </c>
      <c r="AE51" s="990"/>
      <c r="AF51" s="990"/>
      <c r="AG51" s="990"/>
      <c r="AH51" s="1083" t="e">
        <f t="shared" si="20"/>
        <v>#DIV/0!</v>
      </c>
      <c r="AI51" s="990"/>
      <c r="AJ51" s="990"/>
      <c r="AK51" s="990"/>
      <c r="AL51" s="1083" t="e">
        <f t="shared" si="21"/>
        <v>#DIV/0!</v>
      </c>
      <c r="AM51" s="990"/>
      <c r="AN51" s="990"/>
      <c r="AO51" s="990"/>
      <c r="AP51" s="1083" t="e">
        <f t="shared" si="22"/>
        <v>#DIV/0!</v>
      </c>
      <c r="AQ51" s="990"/>
      <c r="AR51" s="990"/>
      <c r="AS51" s="990"/>
      <c r="AT51" s="1083" t="e">
        <f t="shared" si="23"/>
        <v>#DIV/0!</v>
      </c>
      <c r="AU51" s="990"/>
      <c r="AV51" s="990"/>
      <c r="AW51" s="990"/>
      <c r="AX51" s="1083" t="e">
        <f t="shared" si="24"/>
        <v>#DIV/0!</v>
      </c>
      <c r="AY51" s="990"/>
      <c r="AZ51" s="990"/>
      <c r="BA51" s="990"/>
      <c r="BB51" s="1083" t="e">
        <f t="shared" si="25"/>
        <v>#DIV/0!</v>
      </c>
      <c r="BC51" s="990"/>
      <c r="BD51" s="990"/>
      <c r="BE51" s="990"/>
      <c r="BF51" s="1083" t="e">
        <f t="shared" si="26"/>
        <v>#DIV/0!</v>
      </c>
      <c r="BG51" s="1066">
        <f t="shared" si="10"/>
        <v>0</v>
      </c>
      <c r="BH51" s="1069">
        <f t="shared" si="11"/>
        <v>0</v>
      </c>
      <c r="BI51" s="1069">
        <f t="shared" si="12"/>
        <v>0</v>
      </c>
      <c r="BJ51" s="1083" t="e">
        <f t="shared" si="27"/>
        <v>#DIV/0!</v>
      </c>
    </row>
    <row r="52" spans="1:62" s="153" customFormat="1" ht="12.75" hidden="1" customHeight="1" x14ac:dyDescent="0.2">
      <c r="A52" s="992"/>
      <c r="B52" s="991" t="s">
        <v>838</v>
      </c>
      <c r="C52" s="990">
        <v>3410</v>
      </c>
      <c r="D52" s="990">
        <v>2393</v>
      </c>
      <c r="E52" s="990">
        <v>2393</v>
      </c>
      <c r="F52" s="1083">
        <f t="shared" si="13"/>
        <v>1</v>
      </c>
      <c r="G52" s="990">
        <v>5582</v>
      </c>
      <c r="H52" s="990">
        <v>4706</v>
      </c>
      <c r="I52" s="990">
        <v>4706</v>
      </c>
      <c r="J52" s="1083">
        <f t="shared" si="14"/>
        <v>1</v>
      </c>
      <c r="K52" s="990">
        <v>3829</v>
      </c>
      <c r="L52" s="990">
        <v>2850</v>
      </c>
      <c r="M52" s="990">
        <v>2850</v>
      </c>
      <c r="N52" s="1083">
        <f t="shared" si="15"/>
        <v>1</v>
      </c>
      <c r="O52" s="1036">
        <v>6210</v>
      </c>
      <c r="P52" s="1036">
        <v>4465</v>
      </c>
      <c r="Q52" s="1036">
        <v>4465</v>
      </c>
      <c r="R52" s="1083">
        <f t="shared" si="16"/>
        <v>1</v>
      </c>
      <c r="S52" s="990">
        <v>3734</v>
      </c>
      <c r="T52" s="990">
        <v>2697</v>
      </c>
      <c r="U52" s="990">
        <v>2697</v>
      </c>
      <c r="V52" s="1083">
        <f t="shared" si="17"/>
        <v>1</v>
      </c>
      <c r="W52" s="990">
        <v>2457</v>
      </c>
      <c r="X52" s="990">
        <v>2164</v>
      </c>
      <c r="Y52" s="990">
        <v>2164</v>
      </c>
      <c r="Z52" s="1083">
        <f t="shared" si="18"/>
        <v>1</v>
      </c>
      <c r="AA52" s="990">
        <v>2953</v>
      </c>
      <c r="AB52" s="990">
        <v>2332</v>
      </c>
      <c r="AC52" s="990">
        <v>2332</v>
      </c>
      <c r="AD52" s="1083">
        <f t="shared" si="19"/>
        <v>1</v>
      </c>
      <c r="AE52" s="990">
        <v>3391</v>
      </c>
      <c r="AF52" s="990">
        <v>2576</v>
      </c>
      <c r="AG52" s="990">
        <v>2576</v>
      </c>
      <c r="AH52" s="1083">
        <f t="shared" si="20"/>
        <v>1</v>
      </c>
      <c r="AI52" s="990">
        <v>3467</v>
      </c>
      <c r="AJ52" s="990">
        <v>2789</v>
      </c>
      <c r="AK52" s="990">
        <v>2789</v>
      </c>
      <c r="AL52" s="1083">
        <f t="shared" si="21"/>
        <v>1</v>
      </c>
      <c r="AM52" s="990">
        <v>3810</v>
      </c>
      <c r="AN52" s="990">
        <v>2835</v>
      </c>
      <c r="AO52" s="990">
        <v>2835</v>
      </c>
      <c r="AP52" s="1083">
        <f t="shared" si="22"/>
        <v>1</v>
      </c>
      <c r="AQ52" s="990">
        <v>1657</v>
      </c>
      <c r="AR52" s="990">
        <v>2558</v>
      </c>
      <c r="AS52" s="990">
        <v>2558</v>
      </c>
      <c r="AT52" s="1083">
        <f t="shared" si="23"/>
        <v>1</v>
      </c>
      <c r="AU52" s="990">
        <v>4972</v>
      </c>
      <c r="AV52" s="990">
        <v>3307</v>
      </c>
      <c r="AW52" s="990">
        <v>3307</v>
      </c>
      <c r="AX52" s="1083">
        <f t="shared" si="24"/>
        <v>1</v>
      </c>
      <c r="AY52" s="990">
        <v>3448</v>
      </c>
      <c r="AZ52" s="990">
        <v>2522</v>
      </c>
      <c r="BA52" s="990">
        <v>2522</v>
      </c>
      <c r="BB52" s="1083">
        <f t="shared" si="25"/>
        <v>1</v>
      </c>
      <c r="BC52" s="990">
        <v>3296</v>
      </c>
      <c r="BD52" s="990">
        <v>2362</v>
      </c>
      <c r="BE52" s="990">
        <v>2362</v>
      </c>
      <c r="BF52" s="1083">
        <f t="shared" si="26"/>
        <v>1</v>
      </c>
      <c r="BG52" s="1084">
        <f t="shared" si="10"/>
        <v>52216</v>
      </c>
      <c r="BH52" s="1036">
        <f t="shared" si="11"/>
        <v>40556</v>
      </c>
      <c r="BI52" s="1036">
        <f t="shared" si="12"/>
        <v>40556</v>
      </c>
      <c r="BJ52" s="1083">
        <f t="shared" si="27"/>
        <v>1</v>
      </c>
    </row>
    <row r="53" spans="1:62" s="153" customFormat="1" ht="12.75" hidden="1" customHeight="1" x14ac:dyDescent="0.2">
      <c r="A53" s="992"/>
      <c r="B53" s="991" t="s">
        <v>837</v>
      </c>
      <c r="C53" s="990"/>
      <c r="D53" s="990"/>
      <c r="E53" s="990"/>
      <c r="F53" s="1083" t="e">
        <f t="shared" si="13"/>
        <v>#DIV/0!</v>
      </c>
      <c r="G53" s="990"/>
      <c r="H53" s="990"/>
      <c r="I53" s="990"/>
      <c r="J53" s="1083" t="e">
        <f t="shared" si="14"/>
        <v>#DIV/0!</v>
      </c>
      <c r="K53" s="990"/>
      <c r="L53" s="990"/>
      <c r="M53" s="990"/>
      <c r="N53" s="1083" t="e">
        <f t="shared" si="15"/>
        <v>#DIV/0!</v>
      </c>
      <c r="O53" s="1036"/>
      <c r="P53" s="1036"/>
      <c r="Q53" s="1036"/>
      <c r="R53" s="1083" t="e">
        <f t="shared" si="16"/>
        <v>#DIV/0!</v>
      </c>
      <c r="S53" s="990"/>
      <c r="T53" s="990"/>
      <c r="U53" s="990"/>
      <c r="V53" s="1083" t="e">
        <f t="shared" si="17"/>
        <v>#DIV/0!</v>
      </c>
      <c r="W53" s="990"/>
      <c r="X53" s="990"/>
      <c r="Y53" s="990"/>
      <c r="Z53" s="1083" t="e">
        <f t="shared" si="18"/>
        <v>#DIV/0!</v>
      </c>
      <c r="AA53" s="990"/>
      <c r="AB53" s="990"/>
      <c r="AC53" s="990"/>
      <c r="AD53" s="1083" t="e">
        <f t="shared" si="19"/>
        <v>#DIV/0!</v>
      </c>
      <c r="AE53" s="990"/>
      <c r="AF53" s="990"/>
      <c r="AG53" s="990"/>
      <c r="AH53" s="1083" t="e">
        <f t="shared" si="20"/>
        <v>#DIV/0!</v>
      </c>
      <c r="AI53" s="990"/>
      <c r="AJ53" s="990"/>
      <c r="AK53" s="990"/>
      <c r="AL53" s="1083" t="e">
        <f t="shared" si="21"/>
        <v>#DIV/0!</v>
      </c>
      <c r="AM53" s="990"/>
      <c r="AN53" s="990"/>
      <c r="AO53" s="990"/>
      <c r="AP53" s="1083" t="e">
        <f t="shared" si="22"/>
        <v>#DIV/0!</v>
      </c>
      <c r="AQ53" s="990"/>
      <c r="AR53" s="990"/>
      <c r="AS53" s="990"/>
      <c r="AT53" s="1083" t="e">
        <f t="shared" si="23"/>
        <v>#DIV/0!</v>
      </c>
      <c r="AU53" s="990"/>
      <c r="AV53" s="990"/>
      <c r="AW53" s="990"/>
      <c r="AX53" s="1083" t="e">
        <f t="shared" si="24"/>
        <v>#DIV/0!</v>
      </c>
      <c r="AY53" s="990"/>
      <c r="AZ53" s="990"/>
      <c r="BA53" s="990"/>
      <c r="BB53" s="1083" t="e">
        <f t="shared" si="25"/>
        <v>#DIV/0!</v>
      </c>
      <c r="BC53" s="990"/>
      <c r="BD53" s="990"/>
      <c r="BE53" s="990"/>
      <c r="BF53" s="1083" t="e">
        <f t="shared" si="26"/>
        <v>#DIV/0!</v>
      </c>
      <c r="BG53" s="1066">
        <f t="shared" si="10"/>
        <v>0</v>
      </c>
      <c r="BH53" s="1069">
        <f t="shared" si="11"/>
        <v>0</v>
      </c>
      <c r="BI53" s="1069">
        <f t="shared" si="12"/>
        <v>0</v>
      </c>
      <c r="BJ53" s="1083" t="e">
        <f t="shared" si="27"/>
        <v>#DIV/0!</v>
      </c>
    </row>
    <row r="54" spans="1:62" s="977" customFormat="1" ht="14.25" x14ac:dyDescent="0.2">
      <c r="A54" s="1087" t="s">
        <v>66</v>
      </c>
      <c r="B54" s="1075" t="s">
        <v>50</v>
      </c>
      <c r="C54" s="995"/>
      <c r="D54" s="995"/>
      <c r="E54" s="995"/>
      <c r="F54" s="1085"/>
      <c r="G54" s="995"/>
      <c r="H54" s="995"/>
      <c r="I54" s="995"/>
      <c r="J54" s="1085"/>
      <c r="K54" s="995"/>
      <c r="L54" s="995"/>
      <c r="M54" s="995"/>
      <c r="N54" s="1085"/>
      <c r="O54" s="995"/>
      <c r="P54" s="995"/>
      <c r="Q54" s="995"/>
      <c r="R54" s="1085"/>
      <c r="S54" s="995"/>
      <c r="T54" s="995"/>
      <c r="U54" s="995"/>
      <c r="V54" s="1085"/>
      <c r="W54" s="995"/>
      <c r="X54" s="995"/>
      <c r="Y54" s="995"/>
      <c r="Z54" s="1085"/>
      <c r="AA54" s="995"/>
      <c r="AB54" s="995"/>
      <c r="AC54" s="995"/>
      <c r="AD54" s="1085"/>
      <c r="AE54" s="995"/>
      <c r="AF54" s="995"/>
      <c r="AG54" s="995"/>
      <c r="AH54" s="1085"/>
      <c r="AI54" s="995"/>
      <c r="AJ54" s="995"/>
      <c r="AK54" s="995"/>
      <c r="AL54" s="1085"/>
      <c r="AM54" s="995"/>
      <c r="AN54" s="995"/>
      <c r="AO54" s="995"/>
      <c r="AP54" s="1085"/>
      <c r="AQ54" s="995"/>
      <c r="AR54" s="995"/>
      <c r="AS54" s="995"/>
      <c r="AT54" s="1085"/>
      <c r="AU54" s="995"/>
      <c r="AV54" s="995"/>
      <c r="AW54" s="995"/>
      <c r="AX54" s="1085"/>
      <c r="AY54" s="995"/>
      <c r="AZ54" s="995"/>
      <c r="BA54" s="995"/>
      <c r="BB54" s="1085"/>
      <c r="BC54" s="995"/>
      <c r="BD54" s="995"/>
      <c r="BE54" s="995"/>
      <c r="BF54" s="1085"/>
      <c r="BG54" s="1066">
        <f t="shared" si="10"/>
        <v>0</v>
      </c>
      <c r="BH54" s="1069">
        <f t="shared" si="11"/>
        <v>0</v>
      </c>
      <c r="BI54" s="1069">
        <f t="shared" si="12"/>
        <v>0</v>
      </c>
      <c r="BJ54" s="1085"/>
    </row>
    <row r="55" spans="1:62" s="153" customFormat="1" ht="12.75" hidden="1" customHeight="1" x14ac:dyDescent="0.2">
      <c r="A55" s="992"/>
      <c r="B55" s="991" t="s">
        <v>839</v>
      </c>
      <c r="C55" s="1070"/>
      <c r="D55" s="1070"/>
      <c r="E55" s="1070"/>
      <c r="F55" s="988"/>
      <c r="G55" s="1070"/>
      <c r="H55" s="1070"/>
      <c r="I55" s="1070"/>
      <c r="J55" s="988"/>
      <c r="K55" s="1070"/>
      <c r="L55" s="1070"/>
      <c r="M55" s="1070"/>
      <c r="N55" s="988"/>
      <c r="O55" s="1071"/>
      <c r="P55" s="1071"/>
      <c r="Q55" s="1071"/>
      <c r="R55" s="988"/>
      <c r="S55" s="1070"/>
      <c r="T55" s="1070"/>
      <c r="U55" s="1070"/>
      <c r="V55" s="988"/>
      <c r="W55" s="1070"/>
      <c r="X55" s="1070"/>
      <c r="Y55" s="1070"/>
      <c r="Z55" s="988"/>
      <c r="AA55" s="1070"/>
      <c r="AB55" s="1070"/>
      <c r="AC55" s="1070"/>
      <c r="AD55" s="988"/>
      <c r="AE55" s="1070"/>
      <c r="AF55" s="1070"/>
      <c r="AG55" s="1070"/>
      <c r="AH55" s="988"/>
      <c r="AI55" s="1070"/>
      <c r="AJ55" s="1070"/>
      <c r="AK55" s="1070"/>
      <c r="AL55" s="988"/>
      <c r="AM55" s="1070"/>
      <c r="AN55" s="1070"/>
      <c r="AO55" s="1070"/>
      <c r="AP55" s="988"/>
      <c r="AQ55" s="1070"/>
      <c r="AR55" s="1070"/>
      <c r="AS55" s="1070"/>
      <c r="AT55" s="988"/>
      <c r="AU55" s="1070"/>
      <c r="AV55" s="1070"/>
      <c r="AW55" s="1070"/>
      <c r="AX55" s="988"/>
      <c r="AY55" s="1070"/>
      <c r="AZ55" s="1070"/>
      <c r="BA55" s="1070"/>
      <c r="BB55" s="988"/>
      <c r="BC55" s="1070"/>
      <c r="BD55" s="1070"/>
      <c r="BE55" s="1070"/>
      <c r="BF55" s="988"/>
      <c r="BG55" s="1066">
        <f t="shared" si="10"/>
        <v>0</v>
      </c>
      <c r="BH55" s="1069">
        <f t="shared" si="11"/>
        <v>0</v>
      </c>
      <c r="BI55" s="1069">
        <f t="shared" si="12"/>
        <v>0</v>
      </c>
      <c r="BJ55" s="988"/>
    </row>
    <row r="56" spans="1:62" s="153" customFormat="1" ht="12.75" hidden="1" customHeight="1" x14ac:dyDescent="0.2">
      <c r="A56" s="992"/>
      <c r="B56" s="991" t="s">
        <v>838</v>
      </c>
      <c r="C56" s="1070"/>
      <c r="D56" s="1070"/>
      <c r="E56" s="1070"/>
      <c r="F56" s="988"/>
      <c r="G56" s="1070"/>
      <c r="H56" s="1070"/>
      <c r="I56" s="1070"/>
      <c r="J56" s="988"/>
      <c r="K56" s="1070"/>
      <c r="L56" s="1070"/>
      <c r="M56" s="1070"/>
      <c r="N56" s="988"/>
      <c r="O56" s="1071"/>
      <c r="P56" s="1071"/>
      <c r="Q56" s="1071"/>
      <c r="R56" s="988"/>
      <c r="S56" s="1070"/>
      <c r="T56" s="1070"/>
      <c r="U56" s="1070"/>
      <c r="V56" s="988"/>
      <c r="W56" s="1070"/>
      <c r="X56" s="1070"/>
      <c r="Y56" s="1070"/>
      <c r="Z56" s="988"/>
      <c r="AA56" s="1070"/>
      <c r="AB56" s="1070"/>
      <c r="AC56" s="1070"/>
      <c r="AD56" s="988"/>
      <c r="AE56" s="1070"/>
      <c r="AF56" s="1070"/>
      <c r="AG56" s="1070"/>
      <c r="AH56" s="988"/>
      <c r="AI56" s="1070"/>
      <c r="AJ56" s="1070"/>
      <c r="AK56" s="1070"/>
      <c r="AL56" s="988"/>
      <c r="AM56" s="1070"/>
      <c r="AN56" s="1070"/>
      <c r="AO56" s="1070"/>
      <c r="AP56" s="988"/>
      <c r="AQ56" s="1070"/>
      <c r="AR56" s="1070"/>
      <c r="AS56" s="1070"/>
      <c r="AT56" s="988"/>
      <c r="AU56" s="1070"/>
      <c r="AV56" s="1070"/>
      <c r="AW56" s="1070"/>
      <c r="AX56" s="988"/>
      <c r="AY56" s="1070"/>
      <c r="AZ56" s="1070"/>
      <c r="BA56" s="1070"/>
      <c r="BB56" s="988"/>
      <c r="BC56" s="1070"/>
      <c r="BD56" s="1070"/>
      <c r="BE56" s="1070"/>
      <c r="BF56" s="988"/>
      <c r="BG56" s="1066">
        <f t="shared" si="10"/>
        <v>0</v>
      </c>
      <c r="BH56" s="1069">
        <f t="shared" si="11"/>
        <v>0</v>
      </c>
      <c r="BI56" s="1069">
        <f t="shared" si="12"/>
        <v>0</v>
      </c>
      <c r="BJ56" s="988"/>
    </row>
    <row r="57" spans="1:62" s="153" customFormat="1" ht="12.75" hidden="1" customHeight="1" x14ac:dyDescent="0.2">
      <c r="A57" s="992"/>
      <c r="B57" s="991" t="s">
        <v>837</v>
      </c>
      <c r="C57" s="1070"/>
      <c r="D57" s="1070"/>
      <c r="E57" s="1070"/>
      <c r="F57" s="988"/>
      <c r="G57" s="1070"/>
      <c r="H57" s="1070"/>
      <c r="I57" s="1070"/>
      <c r="J57" s="988"/>
      <c r="K57" s="1070"/>
      <c r="L57" s="1070"/>
      <c r="M57" s="1070"/>
      <c r="N57" s="988"/>
      <c r="O57" s="1071"/>
      <c r="P57" s="1071"/>
      <c r="Q57" s="1071"/>
      <c r="R57" s="988"/>
      <c r="S57" s="1070"/>
      <c r="T57" s="1070"/>
      <c r="U57" s="1070"/>
      <c r="V57" s="988"/>
      <c r="W57" s="1070"/>
      <c r="X57" s="1070"/>
      <c r="Y57" s="1070"/>
      <c r="Z57" s="988"/>
      <c r="AA57" s="1070"/>
      <c r="AB57" s="1070"/>
      <c r="AC57" s="1070"/>
      <c r="AD57" s="988"/>
      <c r="AE57" s="1070"/>
      <c r="AF57" s="1070"/>
      <c r="AG57" s="1070"/>
      <c r="AH57" s="988"/>
      <c r="AI57" s="1070"/>
      <c r="AJ57" s="1070"/>
      <c r="AK57" s="1070"/>
      <c r="AL57" s="988"/>
      <c r="AM57" s="1070"/>
      <c r="AN57" s="1070"/>
      <c r="AO57" s="1070"/>
      <c r="AP57" s="988"/>
      <c r="AQ57" s="1070"/>
      <c r="AR57" s="1070"/>
      <c r="AS57" s="1070"/>
      <c r="AT57" s="988"/>
      <c r="AU57" s="1070"/>
      <c r="AV57" s="1070"/>
      <c r="AW57" s="1070"/>
      <c r="AX57" s="988"/>
      <c r="AY57" s="1070"/>
      <c r="AZ57" s="1070"/>
      <c r="BA57" s="1070"/>
      <c r="BB57" s="988"/>
      <c r="BC57" s="1070"/>
      <c r="BD57" s="1070"/>
      <c r="BE57" s="1070"/>
      <c r="BF57" s="988"/>
      <c r="BG57" s="1066">
        <f t="shared" si="10"/>
        <v>0</v>
      </c>
      <c r="BH57" s="1069">
        <f t="shared" si="11"/>
        <v>0</v>
      </c>
      <c r="BI57" s="1069">
        <f t="shared" si="12"/>
        <v>0</v>
      </c>
      <c r="BJ57" s="988"/>
    </row>
    <row r="58" spans="1:62" s="977" customFormat="1" ht="13.5" customHeight="1" x14ac:dyDescent="0.2">
      <c r="A58" s="1079" t="s">
        <v>200</v>
      </c>
      <c r="B58" s="1075" t="s">
        <v>47</v>
      </c>
      <c r="C58" s="1074"/>
      <c r="D58" s="1074"/>
      <c r="E58" s="1074"/>
      <c r="F58" s="1072"/>
      <c r="G58" s="1074"/>
      <c r="H58" s="1074"/>
      <c r="I58" s="1074"/>
      <c r="J58" s="1072"/>
      <c r="K58" s="1074"/>
      <c r="L58" s="1074"/>
      <c r="M58" s="1074"/>
      <c r="N58" s="1072"/>
      <c r="O58" s="1074"/>
      <c r="P58" s="1074"/>
      <c r="Q58" s="1074"/>
      <c r="R58" s="1072"/>
      <c r="S58" s="1074"/>
      <c r="T58" s="1074"/>
      <c r="U58" s="1074"/>
      <c r="V58" s="1072"/>
      <c r="W58" s="1074"/>
      <c r="X58" s="1074"/>
      <c r="Y58" s="1074"/>
      <c r="Z58" s="1072"/>
      <c r="AA58" s="1074"/>
      <c r="AB58" s="1074"/>
      <c r="AC58" s="1074"/>
      <c r="AD58" s="1072"/>
      <c r="AE58" s="1074"/>
      <c r="AF58" s="1074"/>
      <c r="AG58" s="1074"/>
      <c r="AH58" s="1072"/>
      <c r="AI58" s="1074"/>
      <c r="AJ58" s="1074"/>
      <c r="AK58" s="1074"/>
      <c r="AL58" s="1072"/>
      <c r="AM58" s="1074"/>
      <c r="AN58" s="1074"/>
      <c r="AO58" s="1074"/>
      <c r="AP58" s="1072"/>
      <c r="AQ58" s="1074"/>
      <c r="AR58" s="1074"/>
      <c r="AS58" s="1074"/>
      <c r="AT58" s="1072"/>
      <c r="AU58" s="1074"/>
      <c r="AV58" s="1074"/>
      <c r="AW58" s="1074"/>
      <c r="AX58" s="1072"/>
      <c r="AY58" s="1074"/>
      <c r="AZ58" s="1074"/>
      <c r="BA58" s="1074"/>
      <c r="BB58" s="1072"/>
      <c r="BC58" s="1074"/>
      <c r="BD58" s="1074"/>
      <c r="BE58" s="1074"/>
      <c r="BF58" s="1072"/>
      <c r="BG58" s="1066">
        <f t="shared" si="10"/>
        <v>0</v>
      </c>
      <c r="BH58" s="1069">
        <f t="shared" si="11"/>
        <v>0</v>
      </c>
      <c r="BI58" s="1069">
        <f t="shared" si="12"/>
        <v>0</v>
      </c>
      <c r="BJ58" s="1072"/>
    </row>
    <row r="59" spans="1:62" s="153" customFormat="1" ht="12.75" hidden="1" customHeight="1" x14ac:dyDescent="0.2">
      <c r="A59" s="987"/>
      <c r="B59" s="991" t="s">
        <v>839</v>
      </c>
      <c r="C59" s="1070"/>
      <c r="D59" s="1070"/>
      <c r="E59" s="1070"/>
      <c r="F59" s="988"/>
      <c r="G59" s="1070"/>
      <c r="H59" s="1070"/>
      <c r="I59" s="1070"/>
      <c r="J59" s="988"/>
      <c r="K59" s="1070"/>
      <c r="L59" s="1070"/>
      <c r="M59" s="1070"/>
      <c r="N59" s="988"/>
      <c r="O59" s="1071"/>
      <c r="P59" s="1071"/>
      <c r="Q59" s="1071"/>
      <c r="R59" s="988"/>
      <c r="S59" s="1070"/>
      <c r="T59" s="1070"/>
      <c r="U59" s="1070"/>
      <c r="V59" s="988"/>
      <c r="W59" s="1070"/>
      <c r="X59" s="1070"/>
      <c r="Y59" s="1070"/>
      <c r="Z59" s="988"/>
      <c r="AA59" s="1070"/>
      <c r="AB59" s="1070"/>
      <c r="AC59" s="1070"/>
      <c r="AD59" s="988"/>
      <c r="AE59" s="1070"/>
      <c r="AF59" s="1070"/>
      <c r="AG59" s="1070"/>
      <c r="AH59" s="988"/>
      <c r="AI59" s="1070"/>
      <c r="AJ59" s="1070"/>
      <c r="AK59" s="1070"/>
      <c r="AL59" s="988"/>
      <c r="AM59" s="1070"/>
      <c r="AN59" s="1070"/>
      <c r="AO59" s="1070"/>
      <c r="AP59" s="988"/>
      <c r="AQ59" s="1070"/>
      <c r="AR59" s="1070"/>
      <c r="AS59" s="1070"/>
      <c r="AT59" s="988"/>
      <c r="AU59" s="1070"/>
      <c r="AV59" s="1070"/>
      <c r="AW59" s="1070"/>
      <c r="AX59" s="988"/>
      <c r="AY59" s="1070"/>
      <c r="AZ59" s="1070"/>
      <c r="BA59" s="1070"/>
      <c r="BB59" s="988"/>
      <c r="BC59" s="1070"/>
      <c r="BD59" s="1070"/>
      <c r="BE59" s="1070"/>
      <c r="BF59" s="988"/>
      <c r="BG59" s="1066">
        <f t="shared" si="10"/>
        <v>0</v>
      </c>
      <c r="BH59" s="1069">
        <f t="shared" si="11"/>
        <v>0</v>
      </c>
      <c r="BI59" s="1069">
        <f t="shared" si="12"/>
        <v>0</v>
      </c>
      <c r="BJ59" s="988"/>
    </row>
    <row r="60" spans="1:62" s="153" customFormat="1" ht="12.75" hidden="1" customHeight="1" x14ac:dyDescent="0.2">
      <c r="A60" s="987"/>
      <c r="B60" s="991" t="s">
        <v>838</v>
      </c>
      <c r="C60" s="1070"/>
      <c r="D60" s="1070"/>
      <c r="E60" s="1070"/>
      <c r="F60" s="988"/>
      <c r="G60" s="1070"/>
      <c r="H60" s="1070"/>
      <c r="I60" s="1070"/>
      <c r="J60" s="988"/>
      <c r="K60" s="1070"/>
      <c r="L60" s="1070"/>
      <c r="M60" s="1070"/>
      <c r="N60" s="988"/>
      <c r="O60" s="1071"/>
      <c r="P60" s="1071"/>
      <c r="Q60" s="1071"/>
      <c r="R60" s="988"/>
      <c r="S60" s="1070"/>
      <c r="T60" s="1070"/>
      <c r="U60" s="1070"/>
      <c r="V60" s="988"/>
      <c r="W60" s="1070"/>
      <c r="X60" s="1070"/>
      <c r="Y60" s="1070"/>
      <c r="Z60" s="988"/>
      <c r="AA60" s="1070"/>
      <c r="AB60" s="1070"/>
      <c r="AC60" s="1070"/>
      <c r="AD60" s="988"/>
      <c r="AE60" s="1070"/>
      <c r="AF60" s="1070"/>
      <c r="AG60" s="1070"/>
      <c r="AH60" s="988"/>
      <c r="AI60" s="1070"/>
      <c r="AJ60" s="1070"/>
      <c r="AK60" s="1070"/>
      <c r="AL60" s="988"/>
      <c r="AM60" s="1070"/>
      <c r="AN60" s="1070"/>
      <c r="AO60" s="1070"/>
      <c r="AP60" s="988"/>
      <c r="AQ60" s="1070"/>
      <c r="AR60" s="1070"/>
      <c r="AS60" s="1070"/>
      <c r="AT60" s="988"/>
      <c r="AU60" s="1070"/>
      <c r="AV60" s="1070"/>
      <c r="AW60" s="1070"/>
      <c r="AX60" s="988"/>
      <c r="AY60" s="1070"/>
      <c r="AZ60" s="1070"/>
      <c r="BA60" s="1070"/>
      <c r="BB60" s="988"/>
      <c r="BC60" s="1070"/>
      <c r="BD60" s="1070"/>
      <c r="BE60" s="1070"/>
      <c r="BF60" s="988"/>
      <c r="BG60" s="1066">
        <f t="shared" si="10"/>
        <v>0</v>
      </c>
      <c r="BH60" s="1069">
        <f t="shared" si="11"/>
        <v>0</v>
      </c>
      <c r="BI60" s="1069">
        <f t="shared" si="12"/>
        <v>0</v>
      </c>
      <c r="BJ60" s="988"/>
    </row>
    <row r="61" spans="1:62" s="153" customFormat="1" ht="12.75" hidden="1" customHeight="1" x14ac:dyDescent="0.2">
      <c r="A61" s="987"/>
      <c r="B61" s="991" t="s">
        <v>837</v>
      </c>
      <c r="C61" s="1070"/>
      <c r="D61" s="1070"/>
      <c r="E61" s="1070"/>
      <c r="F61" s="988"/>
      <c r="G61" s="1070"/>
      <c r="H61" s="1070"/>
      <c r="I61" s="1070"/>
      <c r="J61" s="988"/>
      <c r="K61" s="1070"/>
      <c r="L61" s="1070"/>
      <c r="M61" s="1070"/>
      <c r="N61" s="988"/>
      <c r="O61" s="1071"/>
      <c r="P61" s="1071"/>
      <c r="Q61" s="1071"/>
      <c r="R61" s="988"/>
      <c r="S61" s="1070"/>
      <c r="T61" s="1070"/>
      <c r="U61" s="1070"/>
      <c r="V61" s="988"/>
      <c r="W61" s="1070"/>
      <c r="X61" s="1070"/>
      <c r="Y61" s="1070"/>
      <c r="Z61" s="988"/>
      <c r="AA61" s="1070"/>
      <c r="AB61" s="1070"/>
      <c r="AC61" s="1070"/>
      <c r="AD61" s="988"/>
      <c r="AE61" s="1070"/>
      <c r="AF61" s="1070"/>
      <c r="AG61" s="1070"/>
      <c r="AH61" s="988"/>
      <c r="AI61" s="1070"/>
      <c r="AJ61" s="1070"/>
      <c r="AK61" s="1070"/>
      <c r="AL61" s="988"/>
      <c r="AM61" s="1070"/>
      <c r="AN61" s="1070"/>
      <c r="AO61" s="1070"/>
      <c r="AP61" s="988"/>
      <c r="AQ61" s="1070"/>
      <c r="AR61" s="1070"/>
      <c r="AS61" s="1070"/>
      <c r="AT61" s="988"/>
      <c r="AU61" s="1070"/>
      <c r="AV61" s="1070"/>
      <c r="AW61" s="1070"/>
      <c r="AX61" s="988"/>
      <c r="AY61" s="1070"/>
      <c r="AZ61" s="1070"/>
      <c r="BA61" s="1070"/>
      <c r="BB61" s="988"/>
      <c r="BC61" s="1070"/>
      <c r="BD61" s="1070"/>
      <c r="BE61" s="1070"/>
      <c r="BF61" s="988"/>
      <c r="BG61" s="1066">
        <f t="shared" si="10"/>
        <v>0</v>
      </c>
      <c r="BH61" s="1069">
        <f t="shared" si="11"/>
        <v>0</v>
      </c>
      <c r="BI61" s="1069">
        <f t="shared" si="12"/>
        <v>0</v>
      </c>
      <c r="BJ61" s="988"/>
    </row>
    <row r="62" spans="1:62" s="977" customFormat="1" ht="14.25" x14ac:dyDescent="0.2">
      <c r="A62" s="1082" t="s">
        <v>420</v>
      </c>
      <c r="B62" s="1075" t="s">
        <v>35</v>
      </c>
      <c r="C62" s="1074"/>
      <c r="D62" s="1074"/>
      <c r="E62" s="1074"/>
      <c r="F62" s="1072"/>
      <c r="G62" s="1074"/>
      <c r="H62" s="1074"/>
      <c r="I62" s="1074"/>
      <c r="J62" s="1072"/>
      <c r="K62" s="1074"/>
      <c r="L62" s="1074"/>
      <c r="M62" s="1074"/>
      <c r="N62" s="1072"/>
      <c r="O62" s="1074"/>
      <c r="P62" s="1074"/>
      <c r="Q62" s="1074"/>
      <c r="R62" s="1072"/>
      <c r="S62" s="1074"/>
      <c r="T62" s="1074"/>
      <c r="U62" s="1074"/>
      <c r="V62" s="1072"/>
      <c r="W62" s="1074"/>
      <c r="X62" s="1074"/>
      <c r="Y62" s="1074"/>
      <c r="Z62" s="1072"/>
      <c r="AA62" s="1074"/>
      <c r="AB62" s="1074"/>
      <c r="AC62" s="1074"/>
      <c r="AD62" s="1072"/>
      <c r="AE62" s="1074"/>
      <c r="AF62" s="1074"/>
      <c r="AG62" s="1074"/>
      <c r="AH62" s="1072"/>
      <c r="AI62" s="1074"/>
      <c r="AJ62" s="1074"/>
      <c r="AK62" s="1074"/>
      <c r="AL62" s="1072"/>
      <c r="AM62" s="1074"/>
      <c r="AN62" s="1074"/>
      <c r="AO62" s="1074"/>
      <c r="AP62" s="1072"/>
      <c r="AQ62" s="1074"/>
      <c r="AR62" s="1074"/>
      <c r="AS62" s="1074"/>
      <c r="AT62" s="1072"/>
      <c r="AU62" s="1074"/>
      <c r="AV62" s="1074"/>
      <c r="AW62" s="1074"/>
      <c r="AX62" s="1072"/>
      <c r="AY62" s="1074"/>
      <c r="AZ62" s="1074"/>
      <c r="BA62" s="1074"/>
      <c r="BB62" s="1072"/>
      <c r="BC62" s="1074"/>
      <c r="BD62" s="1074"/>
      <c r="BE62" s="1074"/>
      <c r="BF62" s="1072"/>
      <c r="BG62" s="1066">
        <f t="shared" si="10"/>
        <v>0</v>
      </c>
      <c r="BH62" s="1069">
        <f t="shared" si="11"/>
        <v>0</v>
      </c>
      <c r="BI62" s="1069">
        <f t="shared" si="12"/>
        <v>0</v>
      </c>
      <c r="BJ62" s="1072"/>
    </row>
    <row r="63" spans="1:62" s="153" customFormat="1" ht="12.75" hidden="1" customHeight="1" x14ac:dyDescent="0.2">
      <c r="A63" s="987"/>
      <c r="B63" s="991" t="s">
        <v>839</v>
      </c>
      <c r="C63" s="1070"/>
      <c r="D63" s="1070"/>
      <c r="E63" s="1070"/>
      <c r="F63" s="988" t="e">
        <f t="shared" ref="F63:F69" si="28">E63/D63</f>
        <v>#DIV/0!</v>
      </c>
      <c r="G63" s="1070"/>
      <c r="H63" s="1070"/>
      <c r="I63" s="1070"/>
      <c r="J63" s="988" t="e">
        <f t="shared" ref="J63:J69" si="29">I63/H63</f>
        <v>#DIV/0!</v>
      </c>
      <c r="K63" s="1070"/>
      <c r="L63" s="1070"/>
      <c r="M63" s="1070"/>
      <c r="N63" s="988" t="e">
        <f t="shared" ref="N63:N69" si="30">M63/L63</f>
        <v>#DIV/0!</v>
      </c>
      <c r="O63" s="1071"/>
      <c r="P63" s="1071"/>
      <c r="Q63" s="1071"/>
      <c r="R63" s="988" t="e">
        <f t="shared" ref="R63:R69" si="31">Q63/P63</f>
        <v>#DIV/0!</v>
      </c>
      <c r="S63" s="1070"/>
      <c r="T63" s="1070"/>
      <c r="U63" s="1070"/>
      <c r="V63" s="988" t="e">
        <f t="shared" ref="V63:V69" si="32">U63/T63</f>
        <v>#DIV/0!</v>
      </c>
      <c r="W63" s="1070"/>
      <c r="X63" s="1070"/>
      <c r="Y63" s="1070"/>
      <c r="Z63" s="988" t="e">
        <f t="shared" ref="Z63:Z69" si="33">Y63/X63</f>
        <v>#DIV/0!</v>
      </c>
      <c r="AA63" s="1070"/>
      <c r="AB63" s="1070"/>
      <c r="AC63" s="1070"/>
      <c r="AD63" s="988" t="e">
        <f t="shared" ref="AD63:AD69" si="34">AC63/AB63</f>
        <v>#DIV/0!</v>
      </c>
      <c r="AE63" s="1070"/>
      <c r="AF63" s="1070"/>
      <c r="AG63" s="1070"/>
      <c r="AH63" s="988" t="e">
        <f t="shared" ref="AH63:AH69" si="35">AG63/AF63</f>
        <v>#DIV/0!</v>
      </c>
      <c r="AI63" s="1070"/>
      <c r="AJ63" s="1070"/>
      <c r="AK63" s="1070"/>
      <c r="AL63" s="988" t="e">
        <f t="shared" ref="AL63:AL69" si="36">AK63/AJ63</f>
        <v>#DIV/0!</v>
      </c>
      <c r="AM63" s="1070"/>
      <c r="AN63" s="1070"/>
      <c r="AO63" s="1070"/>
      <c r="AP63" s="988" t="e">
        <f t="shared" ref="AP63:AP69" si="37">AO63/AN63</f>
        <v>#DIV/0!</v>
      </c>
      <c r="AQ63" s="1070"/>
      <c r="AR63" s="1070"/>
      <c r="AS63" s="1070"/>
      <c r="AT63" s="988" t="e">
        <f t="shared" ref="AT63:AT69" si="38">AS63/AR63</f>
        <v>#DIV/0!</v>
      </c>
      <c r="AU63" s="1070"/>
      <c r="AV63" s="1070"/>
      <c r="AW63" s="1070"/>
      <c r="AX63" s="988" t="e">
        <f t="shared" ref="AX63:AX69" si="39">AW63/AV63</f>
        <v>#DIV/0!</v>
      </c>
      <c r="AY63" s="1070"/>
      <c r="AZ63" s="1070"/>
      <c r="BA63" s="1070"/>
      <c r="BB63" s="988" t="e">
        <f t="shared" ref="BB63:BB69" si="40">BA63/AZ63</f>
        <v>#DIV/0!</v>
      </c>
      <c r="BC63" s="1070"/>
      <c r="BD63" s="1070"/>
      <c r="BE63" s="1070"/>
      <c r="BF63" s="988" t="e">
        <f t="shared" ref="BF63:BF69" si="41">BE63/BD63</f>
        <v>#DIV/0!</v>
      </c>
      <c r="BG63" s="1066">
        <f t="shared" si="10"/>
        <v>0</v>
      </c>
      <c r="BH63" s="1069">
        <f t="shared" si="11"/>
        <v>0</v>
      </c>
      <c r="BI63" s="1069">
        <f t="shared" si="12"/>
        <v>0</v>
      </c>
      <c r="BJ63" s="988" t="e">
        <f t="shared" ref="BJ63:BJ69" si="42">BI63/BH63</f>
        <v>#DIV/0!</v>
      </c>
    </row>
    <row r="64" spans="1:62" s="153" customFormat="1" ht="12.75" hidden="1" customHeight="1" x14ac:dyDescent="0.2">
      <c r="A64" s="987"/>
      <c r="B64" s="991" t="s">
        <v>838</v>
      </c>
      <c r="C64" s="1070"/>
      <c r="D64" s="1070"/>
      <c r="E64" s="1070"/>
      <c r="F64" s="988" t="e">
        <f t="shared" si="28"/>
        <v>#DIV/0!</v>
      </c>
      <c r="G64" s="1070"/>
      <c r="H64" s="1070"/>
      <c r="I64" s="1070"/>
      <c r="J64" s="988" t="e">
        <f t="shared" si="29"/>
        <v>#DIV/0!</v>
      </c>
      <c r="K64" s="1070"/>
      <c r="L64" s="1070"/>
      <c r="M64" s="1070"/>
      <c r="N64" s="988" t="e">
        <f t="shared" si="30"/>
        <v>#DIV/0!</v>
      </c>
      <c r="O64" s="1071"/>
      <c r="P64" s="1071"/>
      <c r="Q64" s="1071"/>
      <c r="R64" s="988" t="e">
        <f t="shared" si="31"/>
        <v>#DIV/0!</v>
      </c>
      <c r="S64" s="1070"/>
      <c r="T64" s="1070"/>
      <c r="U64" s="1070"/>
      <c r="V64" s="988" t="e">
        <f t="shared" si="32"/>
        <v>#DIV/0!</v>
      </c>
      <c r="W64" s="1070"/>
      <c r="X64" s="1070"/>
      <c r="Y64" s="1070"/>
      <c r="Z64" s="988" t="e">
        <f t="shared" si="33"/>
        <v>#DIV/0!</v>
      </c>
      <c r="AA64" s="1070"/>
      <c r="AB64" s="1070"/>
      <c r="AC64" s="1070"/>
      <c r="AD64" s="988" t="e">
        <f t="shared" si="34"/>
        <v>#DIV/0!</v>
      </c>
      <c r="AE64" s="1070"/>
      <c r="AF64" s="1070"/>
      <c r="AG64" s="1070"/>
      <c r="AH64" s="988" t="e">
        <f t="shared" si="35"/>
        <v>#DIV/0!</v>
      </c>
      <c r="AI64" s="1070"/>
      <c r="AJ64" s="1070"/>
      <c r="AK64" s="1070"/>
      <c r="AL64" s="988" t="e">
        <f t="shared" si="36"/>
        <v>#DIV/0!</v>
      </c>
      <c r="AM64" s="1070"/>
      <c r="AN64" s="1070"/>
      <c r="AO64" s="1070"/>
      <c r="AP64" s="988" t="e">
        <f t="shared" si="37"/>
        <v>#DIV/0!</v>
      </c>
      <c r="AQ64" s="1070"/>
      <c r="AR64" s="1070"/>
      <c r="AS64" s="1070"/>
      <c r="AT64" s="988" t="e">
        <f t="shared" si="38"/>
        <v>#DIV/0!</v>
      </c>
      <c r="AU64" s="1070"/>
      <c r="AV64" s="1070"/>
      <c r="AW64" s="1070"/>
      <c r="AX64" s="988" t="e">
        <f t="shared" si="39"/>
        <v>#DIV/0!</v>
      </c>
      <c r="AY64" s="1070"/>
      <c r="AZ64" s="1070"/>
      <c r="BA64" s="1070"/>
      <c r="BB64" s="988" t="e">
        <f t="shared" si="40"/>
        <v>#DIV/0!</v>
      </c>
      <c r="BC64" s="1070"/>
      <c r="BD64" s="1070"/>
      <c r="BE64" s="1070"/>
      <c r="BF64" s="988" t="e">
        <f t="shared" si="41"/>
        <v>#DIV/0!</v>
      </c>
      <c r="BG64" s="1066">
        <f t="shared" si="10"/>
        <v>0</v>
      </c>
      <c r="BH64" s="1069">
        <f t="shared" si="11"/>
        <v>0</v>
      </c>
      <c r="BI64" s="1069">
        <f t="shared" si="12"/>
        <v>0</v>
      </c>
      <c r="BJ64" s="988" t="e">
        <f t="shared" si="42"/>
        <v>#DIV/0!</v>
      </c>
    </row>
    <row r="65" spans="1:66" s="153" customFormat="1" ht="12.75" hidden="1" customHeight="1" x14ac:dyDescent="0.2">
      <c r="A65" s="987"/>
      <c r="B65" s="991" t="s">
        <v>837</v>
      </c>
      <c r="C65" s="1070"/>
      <c r="D65" s="1070"/>
      <c r="E65" s="1070"/>
      <c r="F65" s="988" t="e">
        <f t="shared" si="28"/>
        <v>#DIV/0!</v>
      </c>
      <c r="G65" s="1070"/>
      <c r="H65" s="1070"/>
      <c r="I65" s="1070"/>
      <c r="J65" s="988" t="e">
        <f t="shared" si="29"/>
        <v>#DIV/0!</v>
      </c>
      <c r="K65" s="1070"/>
      <c r="L65" s="1070"/>
      <c r="M65" s="1070"/>
      <c r="N65" s="988" t="e">
        <f t="shared" si="30"/>
        <v>#DIV/0!</v>
      </c>
      <c r="O65" s="1071"/>
      <c r="P65" s="1071"/>
      <c r="Q65" s="1071"/>
      <c r="R65" s="988" t="e">
        <f t="shared" si="31"/>
        <v>#DIV/0!</v>
      </c>
      <c r="S65" s="1070"/>
      <c r="T65" s="1070"/>
      <c r="U65" s="1070"/>
      <c r="V65" s="988" t="e">
        <f t="shared" si="32"/>
        <v>#DIV/0!</v>
      </c>
      <c r="W65" s="1070"/>
      <c r="X65" s="1070"/>
      <c r="Y65" s="1070"/>
      <c r="Z65" s="988" t="e">
        <f t="shared" si="33"/>
        <v>#DIV/0!</v>
      </c>
      <c r="AA65" s="1070"/>
      <c r="AB65" s="1070"/>
      <c r="AC65" s="1070"/>
      <c r="AD65" s="988" t="e">
        <f t="shared" si="34"/>
        <v>#DIV/0!</v>
      </c>
      <c r="AE65" s="1070"/>
      <c r="AF65" s="1070"/>
      <c r="AG65" s="1070"/>
      <c r="AH65" s="988" t="e">
        <f t="shared" si="35"/>
        <v>#DIV/0!</v>
      </c>
      <c r="AI65" s="1070"/>
      <c r="AJ65" s="1070"/>
      <c r="AK65" s="1070"/>
      <c r="AL65" s="988" t="e">
        <f t="shared" si="36"/>
        <v>#DIV/0!</v>
      </c>
      <c r="AM65" s="1070"/>
      <c r="AN65" s="1070"/>
      <c r="AO65" s="1070"/>
      <c r="AP65" s="988" t="e">
        <f t="shared" si="37"/>
        <v>#DIV/0!</v>
      </c>
      <c r="AQ65" s="1070"/>
      <c r="AR65" s="1070"/>
      <c r="AS65" s="1070"/>
      <c r="AT65" s="988" t="e">
        <f t="shared" si="38"/>
        <v>#DIV/0!</v>
      </c>
      <c r="AU65" s="1070"/>
      <c r="AV65" s="1070"/>
      <c r="AW65" s="1070"/>
      <c r="AX65" s="988" t="e">
        <f t="shared" si="39"/>
        <v>#DIV/0!</v>
      </c>
      <c r="AY65" s="1070"/>
      <c r="AZ65" s="1070"/>
      <c r="BA65" s="1070"/>
      <c r="BB65" s="988" t="e">
        <f t="shared" si="40"/>
        <v>#DIV/0!</v>
      </c>
      <c r="BC65" s="1070"/>
      <c r="BD65" s="1070"/>
      <c r="BE65" s="1070"/>
      <c r="BF65" s="988" t="e">
        <f t="shared" si="41"/>
        <v>#DIV/0!</v>
      </c>
      <c r="BG65" s="1066">
        <f t="shared" si="10"/>
        <v>0</v>
      </c>
      <c r="BH65" s="1069">
        <f t="shared" si="11"/>
        <v>0</v>
      </c>
      <c r="BI65" s="1069">
        <f t="shared" si="12"/>
        <v>0</v>
      </c>
      <c r="BJ65" s="988" t="e">
        <f t="shared" si="42"/>
        <v>#DIV/0!</v>
      </c>
    </row>
    <row r="66" spans="1:66" s="977" customFormat="1" ht="14.25" x14ac:dyDescent="0.2">
      <c r="A66" s="1079" t="s">
        <v>419</v>
      </c>
      <c r="B66" s="1075" t="s">
        <v>32</v>
      </c>
      <c r="C66" s="1074">
        <f>SUM(C67:C69)</f>
        <v>1651</v>
      </c>
      <c r="D66" s="1074">
        <f>SUM(D67:D69)</f>
        <v>399</v>
      </c>
      <c r="E66" s="1074">
        <f>SUM(E67:E69)</f>
        <v>399</v>
      </c>
      <c r="F66" s="1085">
        <f t="shared" si="28"/>
        <v>1</v>
      </c>
      <c r="G66" s="1074">
        <f>SUM(G67:G69)</f>
        <v>2634</v>
      </c>
      <c r="H66" s="1074">
        <f>SUM(H67:H69)</f>
        <v>701</v>
      </c>
      <c r="I66" s="1074">
        <f>SUM(I67:I69)</f>
        <v>701</v>
      </c>
      <c r="J66" s="1085">
        <f t="shared" si="29"/>
        <v>1</v>
      </c>
      <c r="K66" s="1074">
        <f>SUM(K67:K69)</f>
        <v>1054</v>
      </c>
      <c r="L66" s="1074">
        <f>SUM(L67:L69)</f>
        <v>475</v>
      </c>
      <c r="M66" s="1074">
        <f>SUM(M67:M69)</f>
        <v>475</v>
      </c>
      <c r="N66" s="1085">
        <f t="shared" si="30"/>
        <v>1</v>
      </c>
      <c r="O66" s="1074">
        <f>SUM(O67:O69)</f>
        <v>953</v>
      </c>
      <c r="P66" s="1074">
        <f>SUM(P67:P69)</f>
        <v>744</v>
      </c>
      <c r="Q66" s="1074">
        <f>SUM(Q67:Q69)</f>
        <v>744</v>
      </c>
      <c r="R66" s="1085">
        <f t="shared" si="31"/>
        <v>1</v>
      </c>
      <c r="S66" s="1074">
        <f>SUM(S67:S69)</f>
        <v>0</v>
      </c>
      <c r="T66" s="1074">
        <f>SUM(T67:T69)+6</f>
        <v>456</v>
      </c>
      <c r="U66" s="1074">
        <f>SUM(U67:U69)+6</f>
        <v>456</v>
      </c>
      <c r="V66" s="1085">
        <f t="shared" si="32"/>
        <v>1</v>
      </c>
      <c r="W66" s="1074">
        <f>SUM(W67:W69)</f>
        <v>2394</v>
      </c>
      <c r="X66" s="1074">
        <f>SUM(X67:X69)</f>
        <v>361</v>
      </c>
      <c r="Y66" s="1074">
        <f>SUM(Y67:Y69)</f>
        <v>361</v>
      </c>
      <c r="Z66" s="1085">
        <f t="shared" si="33"/>
        <v>1</v>
      </c>
      <c r="AA66" s="1074">
        <f>SUM(AA67:AA69)</f>
        <v>889</v>
      </c>
      <c r="AB66" s="1074">
        <f>SUM(AB67:AB69)</f>
        <v>389</v>
      </c>
      <c r="AC66" s="1074">
        <f>SUM(AC67:AC69)</f>
        <v>389</v>
      </c>
      <c r="AD66" s="1085">
        <f t="shared" si="34"/>
        <v>1</v>
      </c>
      <c r="AE66" s="1074">
        <f>SUM(AE67:AE69)</f>
        <v>1194</v>
      </c>
      <c r="AF66" s="1074">
        <f>SUM(AF67:AF69)</f>
        <v>429</v>
      </c>
      <c r="AG66" s="1074">
        <f>SUM(AG67:AG69)</f>
        <v>429</v>
      </c>
      <c r="AH66" s="1085">
        <f t="shared" si="35"/>
        <v>1</v>
      </c>
      <c r="AI66" s="1074">
        <f>SUM(AI67:AI69)</f>
        <v>2032</v>
      </c>
      <c r="AJ66" s="1074">
        <f>SUM(AJ67:AJ69)</f>
        <v>465</v>
      </c>
      <c r="AK66" s="1074">
        <f>SUM(AK67:AK69)</f>
        <v>465</v>
      </c>
      <c r="AL66" s="1085">
        <f t="shared" si="36"/>
        <v>1</v>
      </c>
      <c r="AM66" s="1074">
        <f>SUM(AM67:AM69)</f>
        <v>1778</v>
      </c>
      <c r="AN66" s="1074">
        <f>SUM(AN67:AN69)+5</f>
        <v>477</v>
      </c>
      <c r="AO66" s="1074">
        <f>SUM(AO67:AO69)+5</f>
        <v>477</v>
      </c>
      <c r="AP66" s="1085">
        <f t="shared" si="37"/>
        <v>1</v>
      </c>
      <c r="AQ66" s="1074">
        <f>SUM(AQ67:AQ69)</f>
        <v>7104</v>
      </c>
      <c r="AR66" s="1074">
        <f>SUM(AR67:AR69)+120</f>
        <v>514</v>
      </c>
      <c r="AS66" s="1074">
        <f>SUM(AS67:AS69)+120</f>
        <v>514</v>
      </c>
      <c r="AT66" s="1085">
        <f t="shared" si="38"/>
        <v>1</v>
      </c>
      <c r="AU66" s="995">
        <f>SUM(AU67:AU69)</f>
        <v>1270</v>
      </c>
      <c r="AV66" s="995">
        <f>SUM(AV67:AV69)+731</f>
        <v>1282</v>
      </c>
      <c r="AW66" s="995">
        <f>SUM(AW67:AW69)+731</f>
        <v>1282</v>
      </c>
      <c r="AX66" s="1085">
        <f t="shared" si="39"/>
        <v>1</v>
      </c>
      <c r="AY66" s="995">
        <f>SUM(AY67:AY69)</f>
        <v>356</v>
      </c>
      <c r="AZ66" s="995">
        <f>SUM(AZ67:AZ69)</f>
        <v>312</v>
      </c>
      <c r="BA66" s="995">
        <f>SUM(BA67:BA69)</f>
        <v>312</v>
      </c>
      <c r="BB66" s="1085">
        <f t="shared" si="40"/>
        <v>1</v>
      </c>
      <c r="BC66" s="995">
        <f>SUM(BC67:BC69)</f>
        <v>978</v>
      </c>
      <c r="BD66" s="995">
        <f>SUM(BD67:BD69)</f>
        <v>394</v>
      </c>
      <c r="BE66" s="995">
        <f>SUM(BE67:BE69)</f>
        <v>394</v>
      </c>
      <c r="BF66" s="1085">
        <f t="shared" si="41"/>
        <v>1</v>
      </c>
      <c r="BG66" s="1086">
        <f t="shared" si="10"/>
        <v>24287</v>
      </c>
      <c r="BH66" s="995">
        <f t="shared" si="11"/>
        <v>7398</v>
      </c>
      <c r="BI66" s="995">
        <f t="shared" si="12"/>
        <v>7398</v>
      </c>
      <c r="BJ66" s="1085">
        <f t="shared" si="42"/>
        <v>1</v>
      </c>
    </row>
    <row r="67" spans="1:66" s="153" customFormat="1" ht="12.75" hidden="1" customHeight="1" x14ac:dyDescent="0.2">
      <c r="A67" s="992"/>
      <c r="B67" s="991" t="s">
        <v>839</v>
      </c>
      <c r="C67" s="1070"/>
      <c r="D67" s="1070"/>
      <c r="E67" s="1070"/>
      <c r="F67" s="988" t="e">
        <f t="shared" si="28"/>
        <v>#DIV/0!</v>
      </c>
      <c r="G67" s="1070"/>
      <c r="H67" s="1070"/>
      <c r="I67" s="1070"/>
      <c r="J67" s="988" t="e">
        <f t="shared" si="29"/>
        <v>#DIV/0!</v>
      </c>
      <c r="K67" s="1070"/>
      <c r="L67" s="1070"/>
      <c r="M67" s="1070"/>
      <c r="N67" s="988" t="e">
        <f t="shared" si="30"/>
        <v>#DIV/0!</v>
      </c>
      <c r="O67" s="1071"/>
      <c r="P67" s="1071"/>
      <c r="Q67" s="1071"/>
      <c r="R67" s="988" t="e">
        <f t="shared" si="31"/>
        <v>#DIV/0!</v>
      </c>
      <c r="S67" s="1070"/>
      <c r="T67" s="1070"/>
      <c r="U67" s="1070"/>
      <c r="V67" s="988" t="e">
        <f t="shared" si="32"/>
        <v>#DIV/0!</v>
      </c>
      <c r="W67" s="1070"/>
      <c r="X67" s="1070"/>
      <c r="Y67" s="1070"/>
      <c r="Z67" s="988" t="e">
        <f t="shared" si="33"/>
        <v>#DIV/0!</v>
      </c>
      <c r="AA67" s="1070"/>
      <c r="AB67" s="1070"/>
      <c r="AC67" s="1070"/>
      <c r="AD67" s="988" t="e">
        <f t="shared" si="34"/>
        <v>#DIV/0!</v>
      </c>
      <c r="AE67" s="1070"/>
      <c r="AF67" s="1070"/>
      <c r="AG67" s="1070"/>
      <c r="AH67" s="988" t="e">
        <f t="shared" si="35"/>
        <v>#DIV/0!</v>
      </c>
      <c r="AI67" s="1070"/>
      <c r="AJ67" s="1070"/>
      <c r="AK67" s="1070"/>
      <c r="AL67" s="988" t="e">
        <f t="shared" si="36"/>
        <v>#DIV/0!</v>
      </c>
      <c r="AM67" s="1070"/>
      <c r="AN67" s="1070"/>
      <c r="AO67" s="1070"/>
      <c r="AP67" s="988" t="e">
        <f t="shared" si="37"/>
        <v>#DIV/0!</v>
      </c>
      <c r="AQ67" s="1070"/>
      <c r="AR67" s="1070"/>
      <c r="AS67" s="1070"/>
      <c r="AT67" s="988" t="e">
        <f t="shared" si="38"/>
        <v>#DIV/0!</v>
      </c>
      <c r="AU67" s="1070"/>
      <c r="AV67" s="1070"/>
      <c r="AW67" s="1070"/>
      <c r="AX67" s="988" t="e">
        <f t="shared" si="39"/>
        <v>#DIV/0!</v>
      </c>
      <c r="AY67" s="1070"/>
      <c r="AZ67" s="1070"/>
      <c r="BA67" s="1070"/>
      <c r="BB67" s="988" t="e">
        <f t="shared" si="40"/>
        <v>#DIV/0!</v>
      </c>
      <c r="BC67" s="1070"/>
      <c r="BD67" s="1070"/>
      <c r="BE67" s="1070"/>
      <c r="BF67" s="988" t="e">
        <f t="shared" si="41"/>
        <v>#DIV/0!</v>
      </c>
      <c r="BG67" s="1066">
        <f t="shared" si="10"/>
        <v>0</v>
      </c>
      <c r="BH67" s="1069">
        <f t="shared" si="11"/>
        <v>0</v>
      </c>
      <c r="BI67" s="1069">
        <f t="shared" si="12"/>
        <v>0</v>
      </c>
      <c r="BJ67" s="988" t="e">
        <f t="shared" si="42"/>
        <v>#DIV/0!</v>
      </c>
    </row>
    <row r="68" spans="1:66" s="153" customFormat="1" ht="12.75" hidden="1" customHeight="1" x14ac:dyDescent="0.2">
      <c r="A68" s="992"/>
      <c r="B68" s="991" t="s">
        <v>838</v>
      </c>
      <c r="C68" s="1070">
        <v>1651</v>
      </c>
      <c r="D68" s="1070">
        <v>399</v>
      </c>
      <c r="E68" s="1070">
        <v>399</v>
      </c>
      <c r="F68" s="1083">
        <f t="shared" si="28"/>
        <v>1</v>
      </c>
      <c r="G68" s="1070">
        <v>2634</v>
      </c>
      <c r="H68" s="1070">
        <v>701</v>
      </c>
      <c r="I68" s="1070">
        <v>701</v>
      </c>
      <c r="J68" s="1083">
        <f t="shared" si="29"/>
        <v>1</v>
      </c>
      <c r="K68" s="1070">
        <v>1054</v>
      </c>
      <c r="L68" s="1070">
        <v>475</v>
      </c>
      <c r="M68" s="1070">
        <v>475</v>
      </c>
      <c r="N68" s="1083">
        <f t="shared" si="30"/>
        <v>1</v>
      </c>
      <c r="O68" s="1071">
        <v>953</v>
      </c>
      <c r="P68" s="1071">
        <v>744</v>
      </c>
      <c r="Q68" s="1071">
        <v>744</v>
      </c>
      <c r="R68" s="1083">
        <f t="shared" si="31"/>
        <v>1</v>
      </c>
      <c r="S68" s="1070"/>
      <c r="T68" s="1070">
        <v>450</v>
      </c>
      <c r="U68" s="1070">
        <v>450</v>
      </c>
      <c r="V68" s="1083">
        <f t="shared" si="32"/>
        <v>1</v>
      </c>
      <c r="W68" s="1070">
        <v>2394</v>
      </c>
      <c r="X68" s="1070">
        <v>361</v>
      </c>
      <c r="Y68" s="1070">
        <v>361</v>
      </c>
      <c r="Z68" s="1083">
        <f t="shared" si="33"/>
        <v>1</v>
      </c>
      <c r="AA68" s="1070">
        <v>889</v>
      </c>
      <c r="AB68" s="1070">
        <v>389</v>
      </c>
      <c r="AC68" s="1070">
        <v>389</v>
      </c>
      <c r="AD68" s="1083">
        <f t="shared" si="34"/>
        <v>1</v>
      </c>
      <c r="AE68" s="1070">
        <v>1194</v>
      </c>
      <c r="AF68" s="1070">
        <v>429</v>
      </c>
      <c r="AG68" s="1070">
        <v>429</v>
      </c>
      <c r="AH68" s="1083">
        <f t="shared" si="35"/>
        <v>1</v>
      </c>
      <c r="AI68" s="1070">
        <v>2032</v>
      </c>
      <c r="AJ68" s="1070">
        <v>465</v>
      </c>
      <c r="AK68" s="1070">
        <v>465</v>
      </c>
      <c r="AL68" s="1083">
        <f t="shared" si="36"/>
        <v>1</v>
      </c>
      <c r="AM68" s="1070">
        <v>1778</v>
      </c>
      <c r="AN68" s="1070">
        <v>472</v>
      </c>
      <c r="AO68" s="1070">
        <v>472</v>
      </c>
      <c r="AP68" s="1083">
        <f t="shared" si="37"/>
        <v>1</v>
      </c>
      <c r="AQ68" s="1070">
        <v>7104</v>
      </c>
      <c r="AR68" s="1070">
        <v>394</v>
      </c>
      <c r="AS68" s="1070">
        <v>394</v>
      </c>
      <c r="AT68" s="1083">
        <f t="shared" si="38"/>
        <v>1</v>
      </c>
      <c r="AU68" s="1070">
        <v>1270</v>
      </c>
      <c r="AV68" s="1070">
        <v>551</v>
      </c>
      <c r="AW68" s="1070">
        <v>551</v>
      </c>
      <c r="AX68" s="1083">
        <f t="shared" si="39"/>
        <v>1</v>
      </c>
      <c r="AY68" s="1070">
        <v>356</v>
      </c>
      <c r="AZ68" s="1070">
        <v>312</v>
      </c>
      <c r="BA68" s="1070">
        <v>312</v>
      </c>
      <c r="BB68" s="1083">
        <f t="shared" si="40"/>
        <v>1</v>
      </c>
      <c r="BC68" s="1070">
        <v>978</v>
      </c>
      <c r="BD68" s="1070">
        <v>394</v>
      </c>
      <c r="BE68" s="1070">
        <v>394</v>
      </c>
      <c r="BF68" s="1083">
        <f t="shared" si="41"/>
        <v>1</v>
      </c>
      <c r="BG68" s="1084">
        <f t="shared" si="10"/>
        <v>24287</v>
      </c>
      <c r="BH68" s="1036">
        <f t="shared" si="11"/>
        <v>6536</v>
      </c>
      <c r="BI68" s="1036">
        <f t="shared" si="12"/>
        <v>6536</v>
      </c>
      <c r="BJ68" s="1083">
        <f t="shared" si="42"/>
        <v>1</v>
      </c>
    </row>
    <row r="69" spans="1:66" s="153" customFormat="1" ht="12.75" hidden="1" customHeight="1" x14ac:dyDescent="0.2">
      <c r="A69" s="992"/>
      <c r="B69" s="991" t="s">
        <v>837</v>
      </c>
      <c r="C69" s="1070"/>
      <c r="D69" s="1070"/>
      <c r="E69" s="1070"/>
      <c r="F69" s="988" t="e">
        <f t="shared" si="28"/>
        <v>#DIV/0!</v>
      </c>
      <c r="G69" s="1070"/>
      <c r="H69" s="1070"/>
      <c r="I69" s="1070"/>
      <c r="J69" s="988" t="e">
        <f t="shared" si="29"/>
        <v>#DIV/0!</v>
      </c>
      <c r="K69" s="1070"/>
      <c r="L69" s="1070"/>
      <c r="M69" s="1070"/>
      <c r="N69" s="988" t="e">
        <f t="shared" si="30"/>
        <v>#DIV/0!</v>
      </c>
      <c r="O69" s="1071"/>
      <c r="P69" s="1071"/>
      <c r="Q69" s="1071"/>
      <c r="R69" s="988" t="e">
        <f t="shared" si="31"/>
        <v>#DIV/0!</v>
      </c>
      <c r="S69" s="1070"/>
      <c r="T69" s="1070"/>
      <c r="U69" s="1070"/>
      <c r="V69" s="988" t="e">
        <f t="shared" si="32"/>
        <v>#DIV/0!</v>
      </c>
      <c r="W69" s="1070"/>
      <c r="X69" s="1070"/>
      <c r="Y69" s="1070"/>
      <c r="Z69" s="988" t="e">
        <f t="shared" si="33"/>
        <v>#DIV/0!</v>
      </c>
      <c r="AA69" s="1070"/>
      <c r="AB69" s="1070"/>
      <c r="AC69" s="1070"/>
      <c r="AD69" s="988" t="e">
        <f t="shared" si="34"/>
        <v>#DIV/0!</v>
      </c>
      <c r="AE69" s="1070"/>
      <c r="AF69" s="1070"/>
      <c r="AG69" s="1070"/>
      <c r="AH69" s="988" t="e">
        <f t="shared" si="35"/>
        <v>#DIV/0!</v>
      </c>
      <c r="AI69" s="1070"/>
      <c r="AJ69" s="1070"/>
      <c r="AK69" s="1070"/>
      <c r="AL69" s="988" t="e">
        <f t="shared" si="36"/>
        <v>#DIV/0!</v>
      </c>
      <c r="AM69" s="1070"/>
      <c r="AN69" s="1070"/>
      <c r="AO69" s="1070"/>
      <c r="AP69" s="988" t="e">
        <f t="shared" si="37"/>
        <v>#DIV/0!</v>
      </c>
      <c r="AQ69" s="1070"/>
      <c r="AR69" s="1070"/>
      <c r="AS69" s="1070"/>
      <c r="AT69" s="988" t="e">
        <f t="shared" si="38"/>
        <v>#DIV/0!</v>
      </c>
      <c r="AU69" s="1070"/>
      <c r="AV69" s="1070"/>
      <c r="AW69" s="1070"/>
      <c r="AX69" s="988" t="e">
        <f t="shared" si="39"/>
        <v>#DIV/0!</v>
      </c>
      <c r="AY69" s="1070"/>
      <c r="AZ69" s="1070"/>
      <c r="BA69" s="1070"/>
      <c r="BB69" s="988" t="e">
        <f t="shared" si="40"/>
        <v>#DIV/0!</v>
      </c>
      <c r="BC69" s="1070"/>
      <c r="BD69" s="1070"/>
      <c r="BE69" s="1070"/>
      <c r="BF69" s="988" t="e">
        <f t="shared" si="41"/>
        <v>#DIV/0!</v>
      </c>
      <c r="BG69" s="1066">
        <f t="shared" si="10"/>
        <v>0</v>
      </c>
      <c r="BH69" s="1069">
        <f t="shared" si="11"/>
        <v>0</v>
      </c>
      <c r="BI69" s="1069">
        <f t="shared" si="12"/>
        <v>0</v>
      </c>
      <c r="BJ69" s="988" t="e">
        <f t="shared" si="42"/>
        <v>#DIV/0!</v>
      </c>
    </row>
    <row r="70" spans="1:66" s="977" customFormat="1" ht="14.25" x14ac:dyDescent="0.2">
      <c r="A70" s="1082" t="s">
        <v>418</v>
      </c>
      <c r="B70" s="1081" t="s">
        <v>29</v>
      </c>
      <c r="C70" s="1074"/>
      <c r="D70" s="1074"/>
      <c r="E70" s="1074"/>
      <c r="F70" s="1072"/>
      <c r="G70" s="1074"/>
      <c r="H70" s="1074"/>
      <c r="I70" s="1074"/>
      <c r="J70" s="1072"/>
      <c r="K70" s="1074"/>
      <c r="L70" s="1074"/>
      <c r="M70" s="1074"/>
      <c r="N70" s="1072"/>
      <c r="O70" s="1074"/>
      <c r="P70" s="1074"/>
      <c r="Q70" s="1074"/>
      <c r="R70" s="1072"/>
      <c r="S70" s="1074"/>
      <c r="T70" s="1074"/>
      <c r="U70" s="1074"/>
      <c r="V70" s="1072"/>
      <c r="W70" s="1074"/>
      <c r="X70" s="1074"/>
      <c r="Y70" s="1074"/>
      <c r="Z70" s="1072"/>
      <c r="AA70" s="1074"/>
      <c r="AB70" s="1074"/>
      <c r="AC70" s="1074"/>
      <c r="AD70" s="1072"/>
      <c r="AE70" s="1074"/>
      <c r="AF70" s="1074"/>
      <c r="AG70" s="1074"/>
      <c r="AH70" s="1072"/>
      <c r="AI70" s="1074"/>
      <c r="AJ70" s="1074"/>
      <c r="AK70" s="1074"/>
      <c r="AL70" s="1072"/>
      <c r="AM70" s="1074"/>
      <c r="AN70" s="1074"/>
      <c r="AO70" s="1074"/>
      <c r="AP70" s="1072"/>
      <c r="AQ70" s="1074"/>
      <c r="AR70" s="1074"/>
      <c r="AS70" s="1074"/>
      <c r="AT70" s="1072"/>
      <c r="AU70" s="995">
        <f>SUM(AU71:AU73)</f>
        <v>0</v>
      </c>
      <c r="AV70" s="995">
        <f>SUM(AV71:AV73)</f>
        <v>0</v>
      </c>
      <c r="AW70" s="995">
        <f>SUM(AW71:AW73)</f>
        <v>0</v>
      </c>
      <c r="AX70" s="1072"/>
      <c r="AY70" s="1074"/>
      <c r="AZ70" s="1074"/>
      <c r="BA70" s="1074"/>
      <c r="BB70" s="1072"/>
      <c r="BC70" s="1074"/>
      <c r="BD70" s="1074"/>
      <c r="BE70" s="1074"/>
      <c r="BF70" s="1072"/>
      <c r="BG70" s="1073">
        <f t="shared" si="10"/>
        <v>0</v>
      </c>
      <c r="BH70" s="1080">
        <f t="shared" si="11"/>
        <v>0</v>
      </c>
      <c r="BI70" s="1080">
        <f t="shared" si="12"/>
        <v>0</v>
      </c>
      <c r="BJ70" s="1072"/>
    </row>
    <row r="71" spans="1:66" s="153" customFormat="1" ht="12.75" hidden="1" customHeight="1" x14ac:dyDescent="0.2">
      <c r="A71" s="992"/>
      <c r="B71" s="991" t="s">
        <v>839</v>
      </c>
      <c r="C71" s="1070"/>
      <c r="D71" s="1070"/>
      <c r="E71" s="1070"/>
      <c r="F71" s="988"/>
      <c r="G71" s="1070"/>
      <c r="H71" s="1070"/>
      <c r="I71" s="1070"/>
      <c r="J71" s="988"/>
      <c r="K71" s="1070"/>
      <c r="L71" s="1070"/>
      <c r="M71" s="1070"/>
      <c r="N71" s="988"/>
      <c r="O71" s="1071"/>
      <c r="P71" s="1071"/>
      <c r="Q71" s="1071"/>
      <c r="R71" s="988"/>
      <c r="S71" s="1070"/>
      <c r="T71" s="1070"/>
      <c r="U71" s="1070"/>
      <c r="V71" s="988"/>
      <c r="W71" s="1070"/>
      <c r="X71" s="1070"/>
      <c r="Y71" s="1070"/>
      <c r="Z71" s="988"/>
      <c r="AA71" s="1070"/>
      <c r="AB71" s="1070"/>
      <c r="AC71" s="1070"/>
      <c r="AD71" s="988"/>
      <c r="AE71" s="1070"/>
      <c r="AF71" s="1070"/>
      <c r="AG71" s="1070"/>
      <c r="AH71" s="988"/>
      <c r="AI71" s="1070"/>
      <c r="AJ71" s="1070"/>
      <c r="AK71" s="1070"/>
      <c r="AL71" s="988"/>
      <c r="AM71" s="1070"/>
      <c r="AN71" s="1070"/>
      <c r="AO71" s="1070"/>
      <c r="AP71" s="988"/>
      <c r="AQ71" s="1070"/>
      <c r="AR71" s="1070"/>
      <c r="AS71" s="1070"/>
      <c r="AT71" s="988"/>
      <c r="AU71" s="1070"/>
      <c r="AV71" s="1070"/>
      <c r="AW71" s="1070"/>
      <c r="AX71" s="988"/>
      <c r="AY71" s="1070"/>
      <c r="AZ71" s="1070"/>
      <c r="BA71" s="1070"/>
      <c r="BB71" s="988"/>
      <c r="BC71" s="1070"/>
      <c r="BD71" s="1070"/>
      <c r="BE71" s="1070"/>
      <c r="BF71" s="988"/>
      <c r="BG71" s="1066">
        <f t="shared" si="10"/>
        <v>0</v>
      </c>
      <c r="BH71" s="1069">
        <f t="shared" si="11"/>
        <v>0</v>
      </c>
      <c r="BI71" s="1069">
        <f t="shared" si="12"/>
        <v>0</v>
      </c>
      <c r="BJ71" s="988"/>
    </row>
    <row r="72" spans="1:66" s="153" customFormat="1" ht="12.75" hidden="1" customHeight="1" x14ac:dyDescent="0.2">
      <c r="A72" s="992"/>
      <c r="B72" s="991" t="s">
        <v>838</v>
      </c>
      <c r="C72" s="1070"/>
      <c r="D72" s="1070"/>
      <c r="E72" s="1070"/>
      <c r="F72" s="988"/>
      <c r="G72" s="1070"/>
      <c r="H72" s="1070"/>
      <c r="I72" s="1070"/>
      <c r="J72" s="988"/>
      <c r="K72" s="1070"/>
      <c r="L72" s="1070"/>
      <c r="M72" s="1070"/>
      <c r="N72" s="988"/>
      <c r="O72" s="1071"/>
      <c r="P72" s="1071"/>
      <c r="Q72" s="1071"/>
      <c r="R72" s="988"/>
      <c r="S72" s="1070"/>
      <c r="T72" s="1070"/>
      <c r="U72" s="1070"/>
      <c r="V72" s="988"/>
      <c r="W72" s="1070"/>
      <c r="X72" s="1070"/>
      <c r="Y72" s="1070"/>
      <c r="Z72" s="988"/>
      <c r="AA72" s="1070"/>
      <c r="AB72" s="1070"/>
      <c r="AC72" s="1070"/>
      <c r="AD72" s="988"/>
      <c r="AE72" s="1070"/>
      <c r="AF72" s="1070"/>
      <c r="AG72" s="1070"/>
      <c r="AH72" s="988"/>
      <c r="AI72" s="1070"/>
      <c r="AJ72" s="1070"/>
      <c r="AK72" s="1070"/>
      <c r="AL72" s="988"/>
      <c r="AM72" s="1070"/>
      <c r="AN72" s="1070"/>
      <c r="AO72" s="1070"/>
      <c r="AP72" s="988"/>
      <c r="AQ72" s="1070"/>
      <c r="AR72" s="1070"/>
      <c r="AS72" s="1070"/>
      <c r="AT72" s="988"/>
      <c r="AU72" s="1070"/>
      <c r="AV72" s="1070"/>
      <c r="AW72" s="1070"/>
      <c r="AX72" s="988"/>
      <c r="AY72" s="1070"/>
      <c r="AZ72" s="1070"/>
      <c r="BA72" s="1070"/>
      <c r="BB72" s="988"/>
      <c r="BC72" s="1070"/>
      <c r="BD72" s="1070"/>
      <c r="BE72" s="1070"/>
      <c r="BF72" s="988"/>
      <c r="BG72" s="1066">
        <f t="shared" si="10"/>
        <v>0</v>
      </c>
      <c r="BH72" s="1069">
        <f t="shared" si="11"/>
        <v>0</v>
      </c>
      <c r="BI72" s="1069">
        <f t="shared" si="12"/>
        <v>0</v>
      </c>
      <c r="BJ72" s="988"/>
    </row>
    <row r="73" spans="1:66" s="153" customFormat="1" ht="12.75" hidden="1" customHeight="1" x14ac:dyDescent="0.2">
      <c r="A73" s="992"/>
      <c r="B73" s="991" t="s">
        <v>837</v>
      </c>
      <c r="C73" s="1070"/>
      <c r="D73" s="1070"/>
      <c r="E73" s="1070"/>
      <c r="F73" s="988"/>
      <c r="G73" s="1070"/>
      <c r="H73" s="1070"/>
      <c r="I73" s="1070"/>
      <c r="J73" s="988"/>
      <c r="K73" s="1070"/>
      <c r="L73" s="1070"/>
      <c r="M73" s="1070"/>
      <c r="N73" s="988"/>
      <c r="O73" s="1071"/>
      <c r="P73" s="1071"/>
      <c r="Q73" s="1071"/>
      <c r="R73" s="988"/>
      <c r="S73" s="1070"/>
      <c r="T73" s="1070"/>
      <c r="U73" s="1070"/>
      <c r="V73" s="988"/>
      <c r="W73" s="1070"/>
      <c r="X73" s="1070"/>
      <c r="Y73" s="1070"/>
      <c r="Z73" s="988"/>
      <c r="AA73" s="1070"/>
      <c r="AB73" s="1070"/>
      <c r="AC73" s="1070"/>
      <c r="AD73" s="988"/>
      <c r="AE73" s="1070"/>
      <c r="AF73" s="1070"/>
      <c r="AG73" s="1070"/>
      <c r="AH73" s="988"/>
      <c r="AI73" s="1070"/>
      <c r="AJ73" s="1070"/>
      <c r="AK73" s="1070"/>
      <c r="AL73" s="988"/>
      <c r="AM73" s="1070"/>
      <c r="AN73" s="1070"/>
      <c r="AO73" s="1070"/>
      <c r="AP73" s="988"/>
      <c r="AQ73" s="1070"/>
      <c r="AR73" s="1070"/>
      <c r="AS73" s="1070"/>
      <c r="AT73" s="988"/>
      <c r="AU73" s="1070"/>
      <c r="AV73" s="1070"/>
      <c r="AW73" s="1070"/>
      <c r="AX73" s="988"/>
      <c r="AY73" s="1070"/>
      <c r="AZ73" s="1070"/>
      <c r="BA73" s="1070"/>
      <c r="BB73" s="988"/>
      <c r="BC73" s="1070"/>
      <c r="BD73" s="1070"/>
      <c r="BE73" s="1070"/>
      <c r="BF73" s="988"/>
      <c r="BG73" s="1066">
        <f t="shared" si="10"/>
        <v>0</v>
      </c>
      <c r="BH73" s="1069">
        <f t="shared" si="11"/>
        <v>0</v>
      </c>
      <c r="BI73" s="1069">
        <f t="shared" si="12"/>
        <v>0</v>
      </c>
      <c r="BJ73" s="988"/>
    </row>
    <row r="74" spans="1:66" s="998" customFormat="1" ht="14.25" x14ac:dyDescent="0.2">
      <c r="A74" s="1079" t="s">
        <v>417</v>
      </c>
      <c r="B74" s="1078" t="s">
        <v>26</v>
      </c>
      <c r="C74" s="1074"/>
      <c r="D74" s="1074"/>
      <c r="E74" s="1074"/>
      <c r="F74" s="1077"/>
      <c r="G74" s="1074"/>
      <c r="H74" s="1074"/>
      <c r="I74" s="1074"/>
      <c r="J74" s="1077"/>
      <c r="K74" s="1074"/>
      <c r="L74" s="1074"/>
      <c r="M74" s="1074"/>
      <c r="N74" s="1077"/>
      <c r="O74" s="1074"/>
      <c r="P74" s="1074"/>
      <c r="Q74" s="1074"/>
      <c r="R74" s="1077"/>
      <c r="S74" s="1074"/>
      <c r="T74" s="1074"/>
      <c r="U74" s="1074"/>
      <c r="V74" s="1077"/>
      <c r="W74" s="1074"/>
      <c r="X74" s="1074"/>
      <c r="Y74" s="1074"/>
      <c r="Z74" s="1077"/>
      <c r="AA74" s="1074"/>
      <c r="AB74" s="1074"/>
      <c r="AC74" s="1074"/>
      <c r="AD74" s="1077"/>
      <c r="AE74" s="1074"/>
      <c r="AF74" s="1074"/>
      <c r="AG74" s="1074"/>
      <c r="AH74" s="1077"/>
      <c r="AI74" s="1074"/>
      <c r="AJ74" s="1074"/>
      <c r="AK74" s="1074"/>
      <c r="AL74" s="1077"/>
      <c r="AM74" s="1074"/>
      <c r="AN74" s="1074"/>
      <c r="AO74" s="1074"/>
      <c r="AP74" s="1077"/>
      <c r="AQ74" s="1074"/>
      <c r="AR74" s="1074"/>
      <c r="AS74" s="1074"/>
      <c r="AT74" s="1077"/>
      <c r="AU74" s="1074"/>
      <c r="AV74" s="1074"/>
      <c r="AW74" s="1074"/>
      <c r="AX74" s="1077"/>
      <c r="AY74" s="1074"/>
      <c r="AZ74" s="1074"/>
      <c r="BA74" s="1074"/>
      <c r="BB74" s="1077"/>
      <c r="BC74" s="1074"/>
      <c r="BD74" s="1074"/>
      <c r="BE74" s="1074"/>
      <c r="BF74" s="1077"/>
      <c r="BG74" s="1073">
        <f t="shared" si="10"/>
        <v>0</v>
      </c>
      <c r="BH74" s="1069">
        <f t="shared" si="11"/>
        <v>0</v>
      </c>
      <c r="BI74" s="1069">
        <f t="shared" si="12"/>
        <v>0</v>
      </c>
      <c r="BJ74" s="1077"/>
      <c r="BK74" s="993"/>
      <c r="BL74" s="993"/>
      <c r="BM74" s="993"/>
      <c r="BN74" s="993"/>
    </row>
    <row r="75" spans="1:66" s="153" customFormat="1" ht="12.75" hidden="1" customHeight="1" x14ac:dyDescent="0.2">
      <c r="A75" s="992"/>
      <c r="B75" s="991" t="s">
        <v>839</v>
      </c>
      <c r="C75" s="1070"/>
      <c r="D75" s="1070"/>
      <c r="E75" s="1070"/>
      <c r="F75" s="988"/>
      <c r="G75" s="1070"/>
      <c r="H75" s="1070"/>
      <c r="I75" s="1070"/>
      <c r="J75" s="988"/>
      <c r="K75" s="1070"/>
      <c r="L75" s="1070"/>
      <c r="M75" s="1070"/>
      <c r="N75" s="988"/>
      <c r="O75" s="1071"/>
      <c r="P75" s="1071"/>
      <c r="Q75" s="1071"/>
      <c r="R75" s="988"/>
      <c r="S75" s="1070"/>
      <c r="T75" s="1070"/>
      <c r="U75" s="1070"/>
      <c r="V75" s="988"/>
      <c r="W75" s="1070"/>
      <c r="X75" s="1070"/>
      <c r="Y75" s="1070"/>
      <c r="Z75" s="988"/>
      <c r="AA75" s="1070"/>
      <c r="AB75" s="1070"/>
      <c r="AC75" s="1070"/>
      <c r="AD75" s="988"/>
      <c r="AE75" s="1070"/>
      <c r="AF75" s="1070"/>
      <c r="AG75" s="1070"/>
      <c r="AH75" s="988"/>
      <c r="AI75" s="1070"/>
      <c r="AJ75" s="1070"/>
      <c r="AK75" s="1070"/>
      <c r="AL75" s="988"/>
      <c r="AM75" s="1070"/>
      <c r="AN75" s="1070"/>
      <c r="AO75" s="1070"/>
      <c r="AP75" s="988"/>
      <c r="AQ75" s="1070"/>
      <c r="AR75" s="1070"/>
      <c r="AS75" s="1070"/>
      <c r="AT75" s="988"/>
      <c r="AU75" s="1070"/>
      <c r="AV75" s="1070"/>
      <c r="AW75" s="1070"/>
      <c r="AX75" s="988"/>
      <c r="AY75" s="1070"/>
      <c r="AZ75" s="1070"/>
      <c r="BA75" s="1070"/>
      <c r="BB75" s="988"/>
      <c r="BC75" s="1070"/>
      <c r="BD75" s="1070"/>
      <c r="BE75" s="1070"/>
      <c r="BF75" s="988"/>
      <c r="BG75" s="1066">
        <f t="shared" si="10"/>
        <v>0</v>
      </c>
      <c r="BH75" s="1069">
        <f t="shared" si="11"/>
        <v>0</v>
      </c>
      <c r="BI75" s="1069">
        <f t="shared" si="12"/>
        <v>0</v>
      </c>
      <c r="BJ75" s="988"/>
    </row>
    <row r="76" spans="1:66" s="153" customFormat="1" ht="12.75" hidden="1" customHeight="1" x14ac:dyDescent="0.2">
      <c r="A76" s="992"/>
      <c r="B76" s="991" t="s">
        <v>838</v>
      </c>
      <c r="C76" s="1070"/>
      <c r="D76" s="1070"/>
      <c r="E76" s="1070"/>
      <c r="F76" s="988"/>
      <c r="G76" s="1070"/>
      <c r="H76" s="1070"/>
      <c r="I76" s="1070"/>
      <c r="J76" s="988"/>
      <c r="K76" s="1070"/>
      <c r="L76" s="1070"/>
      <c r="M76" s="1070"/>
      <c r="N76" s="988"/>
      <c r="O76" s="1071"/>
      <c r="P76" s="1071"/>
      <c r="Q76" s="1071"/>
      <c r="R76" s="988"/>
      <c r="S76" s="1070"/>
      <c r="T76" s="1070"/>
      <c r="U76" s="1070"/>
      <c r="V76" s="988"/>
      <c r="W76" s="1070"/>
      <c r="X76" s="1070"/>
      <c r="Y76" s="1070"/>
      <c r="Z76" s="988"/>
      <c r="AA76" s="1070"/>
      <c r="AB76" s="1070"/>
      <c r="AC76" s="1070"/>
      <c r="AD76" s="988"/>
      <c r="AE76" s="1070"/>
      <c r="AF76" s="1070"/>
      <c r="AG76" s="1070"/>
      <c r="AH76" s="988"/>
      <c r="AI76" s="1070"/>
      <c r="AJ76" s="1070"/>
      <c r="AK76" s="1070"/>
      <c r="AL76" s="988"/>
      <c r="AM76" s="1070"/>
      <c r="AN76" s="1070"/>
      <c r="AO76" s="1070"/>
      <c r="AP76" s="988"/>
      <c r="AQ76" s="1070"/>
      <c r="AR76" s="1070"/>
      <c r="AS76" s="1070"/>
      <c r="AT76" s="988"/>
      <c r="AU76" s="1070"/>
      <c r="AV76" s="1070"/>
      <c r="AW76" s="1070"/>
      <c r="AX76" s="988"/>
      <c r="AY76" s="1070"/>
      <c r="AZ76" s="1070"/>
      <c r="BA76" s="1070"/>
      <c r="BB76" s="988"/>
      <c r="BC76" s="1070"/>
      <c r="BD76" s="1070"/>
      <c r="BE76" s="1070"/>
      <c r="BF76" s="988"/>
      <c r="BG76" s="1066">
        <f t="shared" si="10"/>
        <v>0</v>
      </c>
      <c r="BH76" s="1069">
        <f t="shared" si="11"/>
        <v>0</v>
      </c>
      <c r="BI76" s="1069">
        <f t="shared" si="12"/>
        <v>0</v>
      </c>
      <c r="BJ76" s="988"/>
    </row>
    <row r="77" spans="1:66" s="153" customFormat="1" ht="12.75" hidden="1" customHeight="1" x14ac:dyDescent="0.2">
      <c r="A77" s="992"/>
      <c r="B77" s="991" t="s">
        <v>837</v>
      </c>
      <c r="C77" s="1070"/>
      <c r="D77" s="1070"/>
      <c r="E77" s="1070"/>
      <c r="F77" s="988"/>
      <c r="G77" s="1070"/>
      <c r="H77" s="1070"/>
      <c r="I77" s="1070"/>
      <c r="J77" s="988"/>
      <c r="K77" s="1070"/>
      <c r="L77" s="1070"/>
      <c r="M77" s="1070"/>
      <c r="N77" s="988"/>
      <c r="O77" s="1071"/>
      <c r="P77" s="1071"/>
      <c r="Q77" s="1071"/>
      <c r="R77" s="988"/>
      <c r="S77" s="1070"/>
      <c r="T77" s="1070"/>
      <c r="U77" s="1070"/>
      <c r="V77" s="988"/>
      <c r="W77" s="1070"/>
      <c r="X77" s="1070"/>
      <c r="Y77" s="1070"/>
      <c r="Z77" s="988"/>
      <c r="AA77" s="1070"/>
      <c r="AB77" s="1070"/>
      <c r="AC77" s="1070"/>
      <c r="AD77" s="988"/>
      <c r="AE77" s="1070"/>
      <c r="AF77" s="1070"/>
      <c r="AG77" s="1070"/>
      <c r="AH77" s="988"/>
      <c r="AI77" s="1070"/>
      <c r="AJ77" s="1070"/>
      <c r="AK77" s="1070"/>
      <c r="AL77" s="988"/>
      <c r="AM77" s="1070"/>
      <c r="AN77" s="1070"/>
      <c r="AO77" s="1070"/>
      <c r="AP77" s="988"/>
      <c r="AQ77" s="1070"/>
      <c r="AR77" s="1070"/>
      <c r="AS77" s="1070"/>
      <c r="AT77" s="988"/>
      <c r="AU77" s="1070"/>
      <c r="AV77" s="1070"/>
      <c r="AW77" s="1070"/>
      <c r="AX77" s="988"/>
      <c r="AY77" s="1070"/>
      <c r="AZ77" s="1070"/>
      <c r="BA77" s="1070"/>
      <c r="BB77" s="988"/>
      <c r="BC77" s="1070"/>
      <c r="BD77" s="1070"/>
      <c r="BE77" s="1070"/>
      <c r="BF77" s="988"/>
      <c r="BG77" s="1066">
        <f t="shared" si="10"/>
        <v>0</v>
      </c>
      <c r="BH77" s="1069">
        <f t="shared" si="11"/>
        <v>0</v>
      </c>
      <c r="BI77" s="1069">
        <f t="shared" si="12"/>
        <v>0</v>
      </c>
      <c r="BJ77" s="988"/>
    </row>
    <row r="78" spans="1:66" s="977" customFormat="1" ht="15" thickBot="1" x14ac:dyDescent="0.25">
      <c r="A78" s="1076" t="s">
        <v>416</v>
      </c>
      <c r="B78" s="1075" t="s">
        <v>415</v>
      </c>
      <c r="C78" s="1074"/>
      <c r="D78" s="1074"/>
      <c r="E78" s="1074"/>
      <c r="F78" s="1072"/>
      <c r="G78" s="1074"/>
      <c r="H78" s="1074"/>
      <c r="I78" s="1074"/>
      <c r="J78" s="1072"/>
      <c r="K78" s="1074"/>
      <c r="L78" s="1074"/>
      <c r="M78" s="1074"/>
      <c r="N78" s="1072"/>
      <c r="O78" s="1074"/>
      <c r="P78" s="1074"/>
      <c r="Q78" s="1074"/>
      <c r="R78" s="1072"/>
      <c r="S78" s="1074"/>
      <c r="T78" s="1074"/>
      <c r="U78" s="1074"/>
      <c r="V78" s="1072"/>
      <c r="W78" s="1074"/>
      <c r="X78" s="1074"/>
      <c r="Y78" s="1074"/>
      <c r="Z78" s="1072"/>
      <c r="AA78" s="1074"/>
      <c r="AB78" s="1074"/>
      <c r="AC78" s="1074"/>
      <c r="AD78" s="1072"/>
      <c r="AE78" s="1074"/>
      <c r="AF78" s="1074"/>
      <c r="AG78" s="1074"/>
      <c r="AH78" s="1072"/>
      <c r="AI78" s="1074"/>
      <c r="AJ78" s="1074"/>
      <c r="AK78" s="1074"/>
      <c r="AL78" s="1072"/>
      <c r="AM78" s="1074"/>
      <c r="AN78" s="1074"/>
      <c r="AO78" s="1074"/>
      <c r="AP78" s="1072"/>
      <c r="AQ78" s="1074"/>
      <c r="AR78" s="1074"/>
      <c r="AS78" s="1074"/>
      <c r="AT78" s="1072"/>
      <c r="AU78" s="1074"/>
      <c r="AV78" s="1074"/>
      <c r="AW78" s="1074"/>
      <c r="AX78" s="1072"/>
      <c r="AY78" s="1074"/>
      <c r="AZ78" s="1074"/>
      <c r="BA78" s="1074"/>
      <c r="BB78" s="1072"/>
      <c r="BC78" s="1074"/>
      <c r="BD78" s="1074"/>
      <c r="BE78" s="1074"/>
      <c r="BF78" s="1072"/>
      <c r="BG78" s="1073">
        <f t="shared" si="10"/>
        <v>0</v>
      </c>
      <c r="BH78" s="1069">
        <f t="shared" si="11"/>
        <v>0</v>
      </c>
      <c r="BI78" s="1069">
        <f t="shared" si="12"/>
        <v>0</v>
      </c>
      <c r="BJ78" s="1072"/>
      <c r="BK78" s="993"/>
      <c r="BL78" s="993"/>
      <c r="BM78" s="993"/>
      <c r="BN78" s="993"/>
    </row>
    <row r="79" spans="1:66" s="153" customFormat="1" ht="12.75" hidden="1" customHeight="1" x14ac:dyDescent="0.2">
      <c r="A79" s="992"/>
      <c r="B79" s="991" t="s">
        <v>839</v>
      </c>
      <c r="C79" s="1070"/>
      <c r="D79" s="1070"/>
      <c r="E79" s="1070"/>
      <c r="F79" s="988" t="e">
        <f>E79/D79</f>
        <v>#DIV/0!</v>
      </c>
      <c r="G79" s="1070"/>
      <c r="H79" s="1070"/>
      <c r="I79" s="1070"/>
      <c r="J79" s="988" t="e">
        <f>I79/H79</f>
        <v>#DIV/0!</v>
      </c>
      <c r="K79" s="1070"/>
      <c r="L79" s="1070"/>
      <c r="M79" s="1070"/>
      <c r="N79" s="988" t="e">
        <f>M79/L79</f>
        <v>#DIV/0!</v>
      </c>
      <c r="O79" s="1071"/>
      <c r="P79" s="1071"/>
      <c r="Q79" s="1071"/>
      <c r="R79" s="988" t="e">
        <f>Q79/P79</f>
        <v>#DIV/0!</v>
      </c>
      <c r="S79" s="1070"/>
      <c r="T79" s="1070"/>
      <c r="U79" s="1070"/>
      <c r="V79" s="988" t="e">
        <f>U79/T79</f>
        <v>#DIV/0!</v>
      </c>
      <c r="W79" s="1070"/>
      <c r="X79" s="1070"/>
      <c r="Y79" s="1070"/>
      <c r="Z79" s="988" t="e">
        <f>Y79/X79</f>
        <v>#DIV/0!</v>
      </c>
      <c r="AA79" s="1070"/>
      <c r="AB79" s="1070"/>
      <c r="AC79" s="1070"/>
      <c r="AD79" s="988" t="e">
        <f>AC79/AB79</f>
        <v>#DIV/0!</v>
      </c>
      <c r="AE79" s="1070"/>
      <c r="AF79" s="1070"/>
      <c r="AG79" s="1070"/>
      <c r="AH79" s="988" t="e">
        <f>AG79/AF79</f>
        <v>#DIV/0!</v>
      </c>
      <c r="AI79" s="1070"/>
      <c r="AJ79" s="1070"/>
      <c r="AK79" s="1070"/>
      <c r="AL79" s="988" t="e">
        <f>AK79/AJ79</f>
        <v>#DIV/0!</v>
      </c>
      <c r="AM79" s="1070"/>
      <c r="AN79" s="1070"/>
      <c r="AO79" s="1070"/>
      <c r="AP79" s="988" t="e">
        <f>AO79/AN79</f>
        <v>#DIV/0!</v>
      </c>
      <c r="AQ79" s="1070"/>
      <c r="AR79" s="1070"/>
      <c r="AS79" s="1070"/>
      <c r="AT79" s="988" t="e">
        <f>AS79/AR79</f>
        <v>#DIV/0!</v>
      </c>
      <c r="AU79" s="1070"/>
      <c r="AV79" s="1070"/>
      <c r="AW79" s="1070"/>
      <c r="AX79" s="988" t="e">
        <f>AW79/AV79</f>
        <v>#DIV/0!</v>
      </c>
      <c r="AY79" s="1070"/>
      <c r="AZ79" s="1070"/>
      <c r="BA79" s="1070"/>
      <c r="BB79" s="988" t="e">
        <f>BA79/AZ79</f>
        <v>#DIV/0!</v>
      </c>
      <c r="BC79" s="1070"/>
      <c r="BD79" s="1070"/>
      <c r="BE79" s="1070"/>
      <c r="BF79" s="988" t="e">
        <f>BE79/BD79</f>
        <v>#DIV/0!</v>
      </c>
      <c r="BG79" s="1066">
        <f t="shared" si="10"/>
        <v>0</v>
      </c>
      <c r="BH79" s="1069">
        <f t="shared" si="11"/>
        <v>0</v>
      </c>
      <c r="BI79" s="1069">
        <f t="shared" si="12"/>
        <v>0</v>
      </c>
      <c r="BJ79" s="988" t="e">
        <f>BI79/BH79</f>
        <v>#DIV/0!</v>
      </c>
    </row>
    <row r="80" spans="1:66" s="153" customFormat="1" ht="12.75" hidden="1" customHeight="1" x14ac:dyDescent="0.2">
      <c r="A80" s="992"/>
      <c r="B80" s="991" t="s">
        <v>838</v>
      </c>
      <c r="C80" s="1070"/>
      <c r="D80" s="1070"/>
      <c r="E80" s="1070"/>
      <c r="F80" s="988" t="e">
        <f>E80/D80</f>
        <v>#DIV/0!</v>
      </c>
      <c r="G80" s="1070"/>
      <c r="H80" s="1070"/>
      <c r="I80" s="1070"/>
      <c r="J80" s="988" t="e">
        <f>I80/H80</f>
        <v>#DIV/0!</v>
      </c>
      <c r="K80" s="1070"/>
      <c r="L80" s="1070"/>
      <c r="M80" s="1070"/>
      <c r="N80" s="988" t="e">
        <f>M80/L80</f>
        <v>#DIV/0!</v>
      </c>
      <c r="O80" s="1071"/>
      <c r="P80" s="1071"/>
      <c r="Q80" s="1071"/>
      <c r="R80" s="988" t="e">
        <f>Q80/P80</f>
        <v>#DIV/0!</v>
      </c>
      <c r="S80" s="1070"/>
      <c r="T80" s="1070"/>
      <c r="U80" s="1070"/>
      <c r="V80" s="988" t="e">
        <f>U80/T80</f>
        <v>#DIV/0!</v>
      </c>
      <c r="W80" s="1070"/>
      <c r="X80" s="1070"/>
      <c r="Y80" s="1070"/>
      <c r="Z80" s="988" t="e">
        <f>Y80/X80</f>
        <v>#DIV/0!</v>
      </c>
      <c r="AA80" s="1070"/>
      <c r="AB80" s="1070"/>
      <c r="AC80" s="1070"/>
      <c r="AD80" s="988" t="e">
        <f>AC80/AB80</f>
        <v>#DIV/0!</v>
      </c>
      <c r="AE80" s="1070"/>
      <c r="AF80" s="1070"/>
      <c r="AG80" s="1070"/>
      <c r="AH80" s="988" t="e">
        <f>AG80/AF80</f>
        <v>#DIV/0!</v>
      </c>
      <c r="AI80" s="1070"/>
      <c r="AJ80" s="1070"/>
      <c r="AK80" s="1070"/>
      <c r="AL80" s="988" t="e">
        <f>AK80/AJ80</f>
        <v>#DIV/0!</v>
      </c>
      <c r="AM80" s="1070"/>
      <c r="AN80" s="1070"/>
      <c r="AO80" s="1070"/>
      <c r="AP80" s="988" t="e">
        <f>AO80/AN80</f>
        <v>#DIV/0!</v>
      </c>
      <c r="AQ80" s="1070"/>
      <c r="AR80" s="1070"/>
      <c r="AS80" s="1070"/>
      <c r="AT80" s="988" t="e">
        <f>AS80/AR80</f>
        <v>#DIV/0!</v>
      </c>
      <c r="AU80" s="1070"/>
      <c r="AV80" s="1070"/>
      <c r="AW80" s="1070"/>
      <c r="AX80" s="988" t="e">
        <f>AW80/AV80</f>
        <v>#DIV/0!</v>
      </c>
      <c r="AY80" s="1070"/>
      <c r="AZ80" s="1070"/>
      <c r="BA80" s="1070"/>
      <c r="BB80" s="988" t="e">
        <f>BA80/AZ80</f>
        <v>#DIV/0!</v>
      </c>
      <c r="BC80" s="1070"/>
      <c r="BD80" s="1070"/>
      <c r="BE80" s="1070"/>
      <c r="BF80" s="988" t="e">
        <f>BE80/BD80</f>
        <v>#DIV/0!</v>
      </c>
      <c r="BG80" s="1066">
        <f t="shared" si="10"/>
        <v>0</v>
      </c>
      <c r="BH80" s="1069">
        <f t="shared" si="11"/>
        <v>0</v>
      </c>
      <c r="BI80" s="1069">
        <f t="shared" si="12"/>
        <v>0</v>
      </c>
      <c r="BJ80" s="988" t="e">
        <f>BI80/BH80</f>
        <v>#DIV/0!</v>
      </c>
    </row>
    <row r="81" spans="1:62" s="153" customFormat="1" ht="13.5" hidden="1" customHeight="1" thickBot="1" x14ac:dyDescent="0.25">
      <c r="A81" s="987"/>
      <c r="B81" s="986" t="s">
        <v>837</v>
      </c>
      <c r="C81" s="1067"/>
      <c r="D81" s="1067"/>
      <c r="E81" s="1067"/>
      <c r="F81" s="982" t="e">
        <f>E81/D81</f>
        <v>#DIV/0!</v>
      </c>
      <c r="G81" s="1067"/>
      <c r="H81" s="1067"/>
      <c r="I81" s="1067"/>
      <c r="J81" s="982" t="e">
        <f>I81/H81</f>
        <v>#DIV/0!</v>
      </c>
      <c r="K81" s="1067"/>
      <c r="L81" s="1067"/>
      <c r="M81" s="1067"/>
      <c r="N81" s="982" t="e">
        <f>M81/L81</f>
        <v>#DIV/0!</v>
      </c>
      <c r="O81" s="1068"/>
      <c r="P81" s="1068"/>
      <c r="Q81" s="1068"/>
      <c r="R81" s="982" t="e">
        <f>Q81/P81</f>
        <v>#DIV/0!</v>
      </c>
      <c r="S81" s="1067"/>
      <c r="T81" s="1067"/>
      <c r="U81" s="1067"/>
      <c r="V81" s="982" t="e">
        <f>U81/T81</f>
        <v>#DIV/0!</v>
      </c>
      <c r="W81" s="1067"/>
      <c r="X81" s="1067"/>
      <c r="Y81" s="1067"/>
      <c r="Z81" s="982" t="e">
        <f>Y81/X81</f>
        <v>#DIV/0!</v>
      </c>
      <c r="AA81" s="1067"/>
      <c r="AB81" s="1067"/>
      <c r="AC81" s="1067"/>
      <c r="AD81" s="982" t="e">
        <f>AC81/AB81</f>
        <v>#DIV/0!</v>
      </c>
      <c r="AE81" s="1067"/>
      <c r="AF81" s="1067"/>
      <c r="AG81" s="1067"/>
      <c r="AH81" s="982" t="e">
        <f>AG81/AF81</f>
        <v>#DIV/0!</v>
      </c>
      <c r="AI81" s="1067"/>
      <c r="AJ81" s="1067"/>
      <c r="AK81" s="1067"/>
      <c r="AL81" s="982" t="e">
        <f>AK81/AJ81</f>
        <v>#DIV/0!</v>
      </c>
      <c r="AM81" s="1067"/>
      <c r="AN81" s="1067"/>
      <c r="AO81" s="1067"/>
      <c r="AP81" s="982" t="e">
        <f>AO81/AN81</f>
        <v>#DIV/0!</v>
      </c>
      <c r="AQ81" s="1067"/>
      <c r="AR81" s="1067"/>
      <c r="AS81" s="1067"/>
      <c r="AT81" s="982" t="e">
        <f>AS81/AR81</f>
        <v>#DIV/0!</v>
      </c>
      <c r="AU81" s="1067"/>
      <c r="AV81" s="1067"/>
      <c r="AW81" s="1067"/>
      <c r="AX81" s="982" t="e">
        <f>AW81/AV81</f>
        <v>#DIV/0!</v>
      </c>
      <c r="AY81" s="1067"/>
      <c r="AZ81" s="1067"/>
      <c r="BA81" s="1067"/>
      <c r="BB81" s="982" t="e">
        <f>BA81/AZ81</f>
        <v>#DIV/0!</v>
      </c>
      <c r="BC81" s="1067"/>
      <c r="BD81" s="1067"/>
      <c r="BE81" s="1067"/>
      <c r="BF81" s="982" t="e">
        <f>BE81/BD81</f>
        <v>#DIV/0!</v>
      </c>
      <c r="BG81" s="1066">
        <f t="shared" si="10"/>
        <v>0</v>
      </c>
      <c r="BH81" s="1065">
        <f t="shared" si="11"/>
        <v>0</v>
      </c>
      <c r="BI81" s="1065">
        <f t="shared" si="12"/>
        <v>0</v>
      </c>
      <c r="BJ81" s="982" t="e">
        <f>BI81/BH81</f>
        <v>#DIV/0!</v>
      </c>
    </row>
    <row r="82" spans="1:62" s="977" customFormat="1" ht="20.25" customHeight="1" thickTop="1" thickBot="1" x14ac:dyDescent="0.25">
      <c r="A82" s="981"/>
      <c r="B82" s="980" t="s">
        <v>414</v>
      </c>
      <c r="C82" s="979">
        <f>C78+C74+C70+C66+C62+C58+C54+C50+C46+C42</f>
        <v>5061</v>
      </c>
      <c r="D82" s="979">
        <f>D78+D74+D70+D66+D62+D58+D54+D50+D46+D42</f>
        <v>4169</v>
      </c>
      <c r="E82" s="979">
        <f>E78+E74+E70+E66+E62+E58+E54+E50+E46+E42</f>
        <v>4169</v>
      </c>
      <c r="F82" s="1063">
        <f>E82/D82</f>
        <v>1</v>
      </c>
      <c r="G82" s="979">
        <f>G78+G74+G70+G66+G62+G58+G54+G50+G46+G42</f>
        <v>8216</v>
      </c>
      <c r="H82" s="979">
        <f>H78+H74+H70+H66+H62+H58+H54+H50+H46+H42</f>
        <v>7029</v>
      </c>
      <c r="I82" s="979">
        <f>I78+I74+I70+I66+I62+I58+I54+I50+I46+I42</f>
        <v>7029</v>
      </c>
      <c r="J82" s="1063">
        <f>I82/H82</f>
        <v>1</v>
      </c>
      <c r="K82" s="979">
        <f>K78+K74+K70+K66+K62+K58+K54+K50+K46+K42</f>
        <v>4883</v>
      </c>
      <c r="L82" s="979">
        <f>L78+L74+L70+L66+L62+L58+L54+L50+L46+L42</f>
        <v>4444</v>
      </c>
      <c r="M82" s="979">
        <f>M78+M74+M70+M66+M62+M58+M54+M50+M46+M42</f>
        <v>4444</v>
      </c>
      <c r="N82" s="1063">
        <f>M82/L82</f>
        <v>1</v>
      </c>
      <c r="O82" s="979">
        <f>O78+O74+O70+O66+O62+O58+O54+O50+O46+O42</f>
        <v>7163</v>
      </c>
      <c r="P82" s="979">
        <f>P78+P74+P70+P66+P62+P58+P54+P50+P46+P42</f>
        <v>6961</v>
      </c>
      <c r="Q82" s="979">
        <f>Q78+Q74+Q70+Q66+Q62+Q58+Q54+Q50+Q46+Q42</f>
        <v>6961</v>
      </c>
      <c r="R82" s="1063">
        <f>Q82/P82</f>
        <v>1</v>
      </c>
      <c r="S82" s="979">
        <f>S78+S74+S70+S66+S62+S58+S54+S50+S46+S42</f>
        <v>3734</v>
      </c>
      <c r="T82" s="979">
        <f>T78+T74+T70+T66+T62+T58+T54+T50+T46+T42</f>
        <v>3681</v>
      </c>
      <c r="U82" s="979">
        <f>U78+U74+U70+U66+U62+U58+U54+U50+U46+U42</f>
        <v>3681</v>
      </c>
      <c r="V82" s="1063">
        <f>U82/T82</f>
        <v>1</v>
      </c>
      <c r="W82" s="979">
        <f>W78+W74+W70+W66+W62+W58+W54+W50+W46+W42</f>
        <v>4851</v>
      </c>
      <c r="X82" s="979">
        <f>X78+X74+X70+X66+X62+X58+X54+X50+X46+X42</f>
        <v>3184</v>
      </c>
      <c r="Y82" s="979">
        <f>Y78+Y74+Y70+Y66+Y62+Y58+Y54+Y50+Y46+Y42</f>
        <v>3184</v>
      </c>
      <c r="Z82" s="1063">
        <f>Y82/X82</f>
        <v>1</v>
      </c>
      <c r="AA82" s="979">
        <f>AA78+AA74+AA70+AA66+AA62+AA58+AA54+AA50+AA46+AA42</f>
        <v>3842</v>
      </c>
      <c r="AB82" s="979">
        <f>AB78+AB74+AB70+AB66+AB62+AB58+AB54+AB50+AB46+AB42</f>
        <v>3565</v>
      </c>
      <c r="AC82" s="979">
        <f>AC78+AC74+AC70+AC66+AC62+AC58+AC54+AC50+AC46+AC42</f>
        <v>3565</v>
      </c>
      <c r="AD82" s="1063">
        <f>AC82/AB82</f>
        <v>1</v>
      </c>
      <c r="AE82" s="979">
        <f>AE78+AE74+AE70+AE66+AE62+AE58+AE54+AE50+AE46+AE42</f>
        <v>4585</v>
      </c>
      <c r="AF82" s="979">
        <f>AF78+AF74+AF70+AF66+AF62+AF58+AF54+AF50+AF46+AF42</f>
        <v>3915</v>
      </c>
      <c r="AG82" s="979">
        <f>AG78+AG74+AG70+AG66+AG62+AG58+AG54+AG50+AG46+AG42</f>
        <v>3915</v>
      </c>
      <c r="AH82" s="1063">
        <f>AG82/AF82</f>
        <v>1</v>
      </c>
      <c r="AI82" s="979">
        <f>AI78+AI74+AI70+AI66+AI62+AI58+AI54+AI50+AI46+AI42</f>
        <v>5499</v>
      </c>
      <c r="AJ82" s="979">
        <f>AJ78+AJ74+AJ70+AJ66+AJ62+AJ58+AJ54+AJ50+AJ46+AJ42</f>
        <v>4077</v>
      </c>
      <c r="AK82" s="979">
        <f>AK78+AK74+AK70+AK66+AK62+AK58+AK54+AK50+AK46+AK42</f>
        <v>4077</v>
      </c>
      <c r="AL82" s="1063">
        <f>AK82/AJ82</f>
        <v>1</v>
      </c>
      <c r="AM82" s="979">
        <f>AM78+AM74+AM70+AM66+AM62+AM58+AM54+AM50+AM46+AM42</f>
        <v>5588</v>
      </c>
      <c r="AN82" s="979">
        <f>AN78+AN74+AN70+AN66+AN62+AN58+AN54+AN50+AN46+AN42</f>
        <v>4602</v>
      </c>
      <c r="AO82" s="979">
        <f>AO78+AO74+AO70+AO66+AO62+AO58+AO54+AO50+AO46+AO42</f>
        <v>4602</v>
      </c>
      <c r="AP82" s="1063">
        <f>AO82/AN82</f>
        <v>1</v>
      </c>
      <c r="AQ82" s="979">
        <f>AQ78+AQ74+AQ70+AQ66+AQ62+AQ58+AQ54+AQ50+AQ46+AQ42</f>
        <v>8761</v>
      </c>
      <c r="AR82" s="979">
        <f>AR78+AR74+AR70+AR66+AR62+AR58+AR54+AR50+AR46+AR42</f>
        <v>3587</v>
      </c>
      <c r="AS82" s="979">
        <f>AS78+AS74+AS70+AS66+AS62+AS58+AS54+AS50+AS46+AS42</f>
        <v>3587</v>
      </c>
      <c r="AT82" s="1063">
        <f>AS82/AR82</f>
        <v>1</v>
      </c>
      <c r="AU82" s="979">
        <f>AU78+AU74+AU70+AU66+AU62+AU58+AU54+AU50+AU46+AU42</f>
        <v>6242</v>
      </c>
      <c r="AV82" s="979">
        <f>AV78+AV74+AV70+AV66+AV62+AV58+AV54+AV50+AV46+AV42</f>
        <v>6046</v>
      </c>
      <c r="AW82" s="979">
        <f>AW78+AW74+AW70+AW66+AW62+AW58+AW54+AW50+AW46+AW42</f>
        <v>6046</v>
      </c>
      <c r="AX82" s="1063">
        <f>AW82/AV82</f>
        <v>1</v>
      </c>
      <c r="AY82" s="979">
        <f>AY78+AY74+AY70+AY66+AY62+AY58+AY54+AY50+AY46+AY42</f>
        <v>3804</v>
      </c>
      <c r="AZ82" s="979">
        <f>AZ78+AZ74+AZ70+AZ66+AZ62+AZ58+AZ54+AZ50+AZ46+AZ42</f>
        <v>4056</v>
      </c>
      <c r="BA82" s="979">
        <f>BA78+BA74+BA70+BA66+BA62+BA58+BA54+BA50+BA46+BA42</f>
        <v>4056</v>
      </c>
      <c r="BB82" s="1063">
        <f>BA82/AZ82</f>
        <v>1</v>
      </c>
      <c r="BC82" s="1064">
        <f>BC78+BC74+BC70+BC66+BC62+BC58+BC50+BC46+BC42</f>
        <v>4274</v>
      </c>
      <c r="BD82" s="1064">
        <f>BD78+BD74+BD70+BD66+BD62+BD58+BD50+BD46+BD42</f>
        <v>3606</v>
      </c>
      <c r="BE82" s="1064">
        <f>BE78+BE74+BE70+BE66+BE62+BE58+BE50+BE46+BE42</f>
        <v>3606</v>
      </c>
      <c r="BF82" s="1063">
        <f>BE82/BD82</f>
        <v>1</v>
      </c>
      <c r="BG82" s="1064">
        <f t="shared" si="10"/>
        <v>76503</v>
      </c>
      <c r="BH82" s="1064">
        <f t="shared" si="11"/>
        <v>62922</v>
      </c>
      <c r="BI82" s="1064">
        <f t="shared" si="12"/>
        <v>62922</v>
      </c>
      <c r="BJ82" s="1063">
        <f>BI82/BH82</f>
        <v>1</v>
      </c>
    </row>
    <row r="83" spans="1:62" s="408" customFormat="1" ht="13.5" thickTop="1" x14ac:dyDescent="0.2">
      <c r="F83" s="976"/>
      <c r="J83" s="976"/>
      <c r="N83" s="976"/>
      <c r="R83" s="976"/>
      <c r="V83" s="976"/>
      <c r="Z83" s="976"/>
      <c r="AD83" s="976"/>
      <c r="AH83" s="976"/>
      <c r="AL83" s="976"/>
      <c r="AP83" s="976"/>
      <c r="AT83" s="976"/>
      <c r="AX83" s="976"/>
      <c r="BB83" s="976"/>
      <c r="BF83" s="976"/>
      <c r="BG83" s="1061"/>
      <c r="BH83" s="1061"/>
      <c r="BI83" s="1061"/>
      <c r="BJ83" s="1060"/>
    </row>
    <row r="84" spans="1:62" s="408" customFormat="1" x14ac:dyDescent="0.2">
      <c r="E84" s="766"/>
      <c r="F84" s="976"/>
      <c r="I84" s="766"/>
      <c r="J84" s="976"/>
      <c r="M84" s="766"/>
      <c r="N84" s="976"/>
      <c r="Q84" s="766"/>
      <c r="R84" s="976"/>
      <c r="U84" s="766"/>
      <c r="V84" s="976"/>
      <c r="Y84" s="766"/>
      <c r="Z84" s="976"/>
      <c r="AC84" s="766"/>
      <c r="AD84" s="976"/>
      <c r="AG84" s="766"/>
      <c r="AH84" s="976"/>
      <c r="AK84" s="766"/>
      <c r="AL84" s="976"/>
      <c r="AO84" s="766"/>
      <c r="AP84" s="976"/>
      <c r="AS84" s="766"/>
      <c r="AT84" s="976"/>
      <c r="AW84" s="766"/>
      <c r="AX84" s="976"/>
      <c r="BA84" s="766"/>
      <c r="BB84" s="976"/>
      <c r="BE84" s="766"/>
      <c r="BF84" s="976"/>
      <c r="BG84" s="1061"/>
      <c r="BH84" s="1061"/>
      <c r="BI84" s="1062"/>
      <c r="BJ84" s="1060"/>
    </row>
    <row r="85" spans="1:62" s="408" customFormat="1" x14ac:dyDescent="0.2">
      <c r="F85" s="976"/>
      <c r="J85" s="976"/>
      <c r="N85" s="976"/>
      <c r="R85" s="976"/>
      <c r="V85" s="976"/>
      <c r="Z85" s="976"/>
      <c r="AD85" s="976"/>
      <c r="AH85" s="976"/>
      <c r="AL85" s="976"/>
      <c r="AP85" s="976"/>
      <c r="AT85" s="976"/>
      <c r="AX85" s="976"/>
      <c r="BB85" s="976"/>
      <c r="BF85" s="976"/>
      <c r="BG85" s="1061"/>
      <c r="BH85" s="1061"/>
      <c r="BI85" s="1061"/>
      <c r="BJ85" s="1060"/>
    </row>
    <row r="86" spans="1:62" s="408" customFormat="1" x14ac:dyDescent="0.2">
      <c r="F86" s="976"/>
      <c r="J86" s="976"/>
      <c r="N86" s="976"/>
      <c r="R86" s="976"/>
      <c r="V86" s="976"/>
      <c r="Z86" s="976"/>
      <c r="AD86" s="976"/>
      <c r="AH86" s="976"/>
      <c r="AL86" s="976"/>
      <c r="AP86" s="976"/>
      <c r="AT86" s="976"/>
      <c r="AX86" s="976"/>
      <c r="BB86" s="976"/>
      <c r="BF86" s="976"/>
      <c r="BG86" s="1061"/>
      <c r="BH86" s="1061"/>
      <c r="BI86" s="1061"/>
      <c r="BJ86" s="1060"/>
    </row>
    <row r="87" spans="1:62" s="408" customFormat="1" x14ac:dyDescent="0.2">
      <c r="F87" s="976"/>
      <c r="J87" s="976"/>
      <c r="N87" s="976"/>
      <c r="R87" s="976"/>
      <c r="V87" s="976"/>
      <c r="Z87" s="976"/>
      <c r="AD87" s="976"/>
      <c r="AH87" s="976"/>
      <c r="AL87" s="976"/>
      <c r="AP87" s="976"/>
      <c r="AT87" s="976"/>
      <c r="AX87" s="976"/>
      <c r="BA87" s="766"/>
      <c r="BB87" s="976"/>
      <c r="BF87" s="976"/>
      <c r="BG87" s="1061"/>
      <c r="BH87" s="1061"/>
      <c r="BI87" s="1061"/>
      <c r="BJ87" s="1060"/>
    </row>
    <row r="88" spans="1:62" s="408" customFormat="1" x14ac:dyDescent="0.2">
      <c r="F88" s="976"/>
      <c r="J88" s="976"/>
      <c r="N88" s="976"/>
      <c r="R88" s="976"/>
      <c r="V88" s="976"/>
      <c r="Z88" s="976"/>
      <c r="AD88" s="976"/>
      <c r="AH88" s="976"/>
      <c r="AL88" s="976"/>
      <c r="AP88" s="976"/>
      <c r="AT88" s="976"/>
      <c r="AX88" s="976"/>
      <c r="BB88" s="976"/>
      <c r="BF88" s="976"/>
      <c r="BG88" s="1061"/>
      <c r="BH88" s="1061"/>
      <c r="BI88" s="1061"/>
      <c r="BJ88" s="1060"/>
    </row>
    <row r="89" spans="1:62" s="408" customFormat="1" x14ac:dyDescent="0.2">
      <c r="F89" s="976"/>
      <c r="J89" s="976"/>
      <c r="N89" s="976"/>
      <c r="R89" s="976"/>
      <c r="V89" s="976"/>
      <c r="Z89" s="976"/>
      <c r="AD89" s="976"/>
      <c r="AH89" s="976"/>
      <c r="AL89" s="976"/>
      <c r="AP89" s="976"/>
      <c r="AT89" s="976"/>
      <c r="AX89" s="976"/>
      <c r="BB89" s="976"/>
      <c r="BF89" s="976"/>
      <c r="BG89" s="1061"/>
      <c r="BH89" s="1061"/>
      <c r="BI89" s="1061"/>
      <c r="BJ89" s="1060"/>
    </row>
    <row r="90" spans="1:62" s="408" customFormat="1" x14ac:dyDescent="0.2">
      <c r="F90" s="976"/>
      <c r="J90" s="976"/>
      <c r="N90" s="976"/>
      <c r="R90" s="976"/>
      <c r="V90" s="976"/>
      <c r="Z90" s="976"/>
      <c r="AD90" s="976"/>
      <c r="AH90" s="976"/>
      <c r="AL90" s="976"/>
      <c r="AP90" s="976"/>
      <c r="AT90" s="976"/>
      <c r="AX90" s="976"/>
      <c r="BA90" s="766"/>
      <c r="BB90" s="976"/>
      <c r="BF90" s="976"/>
      <c r="BG90" s="1061"/>
      <c r="BH90" s="1061"/>
      <c r="BI90" s="1061"/>
      <c r="BJ90" s="1060"/>
    </row>
    <row r="91" spans="1:62" s="408" customFormat="1" x14ac:dyDescent="0.2">
      <c r="F91" s="976"/>
      <c r="J91" s="976"/>
      <c r="N91" s="976"/>
      <c r="R91" s="976"/>
      <c r="V91" s="976"/>
      <c r="Z91" s="976"/>
      <c r="AD91" s="976"/>
      <c r="AH91" s="976"/>
      <c r="AL91" s="976"/>
      <c r="AP91" s="976"/>
      <c r="AT91" s="976"/>
      <c r="AX91" s="976"/>
      <c r="BB91" s="976"/>
      <c r="BF91" s="976"/>
      <c r="BG91" s="1061"/>
      <c r="BH91" s="1061"/>
      <c r="BI91" s="1061"/>
      <c r="BJ91" s="1060"/>
    </row>
    <row r="92" spans="1:62" s="408" customFormat="1" x14ac:dyDescent="0.2">
      <c r="F92" s="976"/>
      <c r="J92" s="976"/>
      <c r="N92" s="976"/>
      <c r="R92" s="976"/>
      <c r="V92" s="976"/>
      <c r="Z92" s="976"/>
      <c r="AD92" s="976"/>
      <c r="AH92" s="976"/>
      <c r="AL92" s="976"/>
      <c r="AP92" s="976"/>
      <c r="AT92" s="976"/>
      <c r="AX92" s="976"/>
      <c r="BB92" s="976"/>
      <c r="BF92" s="976"/>
      <c r="BG92" s="1061"/>
      <c r="BH92" s="1061"/>
      <c r="BI92" s="1061"/>
      <c r="BJ92" s="1060"/>
    </row>
    <row r="93" spans="1:62" s="408" customFormat="1" x14ac:dyDescent="0.2">
      <c r="F93" s="976"/>
      <c r="J93" s="976"/>
      <c r="N93" s="976"/>
      <c r="R93" s="976"/>
      <c r="V93" s="976"/>
      <c r="Z93" s="976"/>
      <c r="AD93" s="976"/>
      <c r="AH93" s="976"/>
      <c r="AL93" s="976"/>
      <c r="AP93" s="976"/>
      <c r="AT93" s="976"/>
      <c r="AX93" s="976"/>
      <c r="BB93" s="976"/>
      <c r="BF93" s="976"/>
      <c r="BG93" s="1061"/>
      <c r="BH93" s="1061"/>
      <c r="BI93" s="1061"/>
      <c r="BJ93" s="1060"/>
    </row>
    <row r="94" spans="1:62" s="408" customFormat="1" x14ac:dyDescent="0.2">
      <c r="F94" s="976"/>
      <c r="J94" s="976"/>
      <c r="N94" s="976"/>
      <c r="R94" s="976"/>
      <c r="V94" s="976"/>
      <c r="Z94" s="976"/>
      <c r="AD94" s="976"/>
      <c r="AH94" s="976"/>
      <c r="AL94" s="976"/>
      <c r="AP94" s="976"/>
      <c r="AT94" s="976"/>
      <c r="AX94" s="976"/>
      <c r="BB94" s="976"/>
      <c r="BF94" s="976"/>
      <c r="BG94" s="1061"/>
      <c r="BH94" s="1061"/>
      <c r="BI94" s="1061"/>
      <c r="BJ94" s="1060"/>
    </row>
    <row r="95" spans="1:62" s="408" customFormat="1" x14ac:dyDescent="0.2">
      <c r="F95" s="976"/>
      <c r="J95" s="976"/>
      <c r="N95" s="976"/>
      <c r="R95" s="976"/>
      <c r="V95" s="976"/>
      <c r="Z95" s="976"/>
      <c r="AD95" s="976"/>
      <c r="AH95" s="976"/>
      <c r="AL95" s="976"/>
      <c r="AP95" s="976"/>
      <c r="AT95" s="976"/>
      <c r="AX95" s="976"/>
      <c r="BB95" s="976"/>
      <c r="BF95" s="976"/>
      <c r="BG95" s="1061"/>
      <c r="BH95" s="1061"/>
      <c r="BI95" s="1061"/>
      <c r="BJ95" s="1060"/>
    </row>
    <row r="96" spans="1:62" s="408" customFormat="1" x14ac:dyDescent="0.2">
      <c r="F96" s="976"/>
      <c r="J96" s="976"/>
      <c r="N96" s="976"/>
      <c r="R96" s="976"/>
      <c r="V96" s="976"/>
      <c r="Z96" s="976"/>
      <c r="AD96" s="976"/>
      <c r="AH96" s="976"/>
      <c r="AL96" s="976"/>
      <c r="AP96" s="976"/>
      <c r="AT96" s="976"/>
      <c r="AX96" s="976"/>
      <c r="BB96" s="976"/>
      <c r="BF96" s="976"/>
      <c r="BG96" s="1061"/>
      <c r="BH96" s="1061"/>
      <c r="BI96" s="1061"/>
      <c r="BJ96" s="1060"/>
    </row>
    <row r="97" spans="6:62" s="408" customFormat="1" x14ac:dyDescent="0.2">
      <c r="F97" s="976"/>
      <c r="J97" s="976"/>
      <c r="N97" s="976"/>
      <c r="R97" s="976"/>
      <c r="V97" s="976"/>
      <c r="Z97" s="976"/>
      <c r="AD97" s="976"/>
      <c r="AH97" s="976"/>
      <c r="AL97" s="976"/>
      <c r="AP97" s="976"/>
      <c r="AT97" s="976"/>
      <c r="AX97" s="976"/>
      <c r="BB97" s="976"/>
      <c r="BF97" s="976"/>
      <c r="BG97" s="1061"/>
      <c r="BH97" s="1061"/>
      <c r="BI97" s="1061"/>
      <c r="BJ97" s="1060"/>
    </row>
    <row r="98" spans="6:62" s="408" customFormat="1" x14ac:dyDescent="0.2">
      <c r="F98" s="976"/>
      <c r="J98" s="976"/>
      <c r="N98" s="976"/>
      <c r="R98" s="976"/>
      <c r="V98" s="976"/>
      <c r="Z98" s="976"/>
      <c r="AD98" s="976"/>
      <c r="AH98" s="976"/>
      <c r="AL98" s="976"/>
      <c r="AP98" s="976"/>
      <c r="AT98" s="976"/>
      <c r="AX98" s="976"/>
      <c r="BB98" s="976"/>
      <c r="BF98" s="976"/>
      <c r="BG98" s="1061"/>
      <c r="BH98" s="1061"/>
      <c r="BI98" s="1061"/>
      <c r="BJ98" s="1060"/>
    </row>
    <row r="99" spans="6:62" s="408" customFormat="1" x14ac:dyDescent="0.2">
      <c r="F99" s="976"/>
      <c r="J99" s="976"/>
      <c r="N99" s="976"/>
      <c r="R99" s="976"/>
      <c r="V99" s="976"/>
      <c r="Z99" s="976"/>
      <c r="AD99" s="976"/>
      <c r="AH99" s="976"/>
      <c r="AL99" s="976"/>
      <c r="AP99" s="976"/>
      <c r="AT99" s="976"/>
      <c r="AX99" s="976"/>
      <c r="BB99" s="976"/>
      <c r="BF99" s="976"/>
      <c r="BG99" s="1061"/>
      <c r="BH99" s="1061"/>
      <c r="BI99" s="1061"/>
      <c r="BJ99" s="1060"/>
    </row>
    <row r="100" spans="6:62" s="408" customFormat="1" x14ac:dyDescent="0.2">
      <c r="F100" s="976"/>
      <c r="J100" s="976"/>
      <c r="N100" s="976"/>
      <c r="R100" s="976"/>
      <c r="V100" s="976"/>
      <c r="Z100" s="976"/>
      <c r="AD100" s="976"/>
      <c r="AH100" s="976"/>
      <c r="AL100" s="976"/>
      <c r="AP100" s="976"/>
      <c r="AT100" s="976"/>
      <c r="AX100" s="976"/>
      <c r="BB100" s="976"/>
      <c r="BF100" s="976"/>
      <c r="BG100" s="1061"/>
      <c r="BH100" s="1061"/>
      <c r="BI100" s="1061"/>
      <c r="BJ100" s="1060"/>
    </row>
    <row r="101" spans="6:62" s="408" customFormat="1" x14ac:dyDescent="0.2">
      <c r="F101" s="976"/>
      <c r="J101" s="976"/>
      <c r="N101" s="976"/>
      <c r="R101" s="976"/>
      <c r="V101" s="976"/>
      <c r="Z101" s="976"/>
      <c r="AD101" s="976"/>
      <c r="AH101" s="976"/>
      <c r="AL101" s="976"/>
      <c r="AP101" s="976"/>
      <c r="AT101" s="976"/>
      <c r="AX101" s="976"/>
      <c r="BB101" s="976"/>
      <c r="BF101" s="976"/>
      <c r="BG101" s="1061"/>
      <c r="BH101" s="1061"/>
      <c r="BI101" s="1061"/>
      <c r="BJ101" s="1060"/>
    </row>
    <row r="102" spans="6:62" s="408" customFormat="1" x14ac:dyDescent="0.2">
      <c r="F102" s="976"/>
      <c r="J102" s="976"/>
      <c r="N102" s="976"/>
      <c r="R102" s="976"/>
      <c r="V102" s="976"/>
      <c r="Z102" s="976"/>
      <c r="AD102" s="976"/>
      <c r="AH102" s="976"/>
      <c r="AL102" s="976"/>
      <c r="AP102" s="976"/>
      <c r="AT102" s="976"/>
      <c r="AX102" s="976"/>
      <c r="BB102" s="976"/>
      <c r="BF102" s="976"/>
      <c r="BG102" s="1061"/>
      <c r="BH102" s="1061"/>
      <c r="BI102" s="1061"/>
      <c r="BJ102" s="1060"/>
    </row>
    <row r="103" spans="6:62" s="408" customFormat="1" x14ac:dyDescent="0.2">
      <c r="F103" s="976"/>
      <c r="J103" s="976"/>
      <c r="N103" s="976"/>
      <c r="R103" s="976"/>
      <c r="V103" s="976"/>
      <c r="Z103" s="976"/>
      <c r="AD103" s="976"/>
      <c r="AH103" s="976"/>
      <c r="AL103" s="976"/>
      <c r="AP103" s="976"/>
      <c r="AT103" s="976"/>
      <c r="AX103" s="976"/>
      <c r="BB103" s="976"/>
      <c r="BF103" s="976"/>
      <c r="BG103" s="1061"/>
      <c r="BH103" s="1061"/>
      <c r="BI103" s="1061"/>
      <c r="BJ103" s="1060"/>
    </row>
    <row r="104" spans="6:62" s="408" customFormat="1" x14ac:dyDescent="0.2">
      <c r="F104" s="976"/>
      <c r="J104" s="976"/>
      <c r="N104" s="976"/>
      <c r="R104" s="976"/>
      <c r="V104" s="976"/>
      <c r="Z104" s="976"/>
      <c r="AD104" s="976"/>
      <c r="AH104" s="976"/>
      <c r="AL104" s="976"/>
      <c r="AP104" s="976"/>
      <c r="AT104" s="976"/>
      <c r="AX104" s="976"/>
      <c r="BB104" s="976"/>
      <c r="BF104" s="976"/>
      <c r="BG104" s="1061"/>
      <c r="BH104" s="1061"/>
      <c r="BI104" s="1061"/>
      <c r="BJ104" s="1060"/>
    </row>
    <row r="105" spans="6:62" s="408" customFormat="1" x14ac:dyDescent="0.2">
      <c r="F105" s="976"/>
      <c r="J105" s="976"/>
      <c r="N105" s="976"/>
      <c r="R105" s="976"/>
      <c r="V105" s="976"/>
      <c r="Z105" s="976"/>
      <c r="AD105" s="976"/>
      <c r="AH105" s="976"/>
      <c r="AL105" s="976"/>
      <c r="AP105" s="976"/>
      <c r="AT105" s="976"/>
      <c r="AX105" s="976"/>
      <c r="BB105" s="976"/>
      <c r="BF105" s="976"/>
      <c r="BG105" s="1061"/>
      <c r="BH105" s="1061"/>
      <c r="BI105" s="1061"/>
      <c r="BJ105" s="1060"/>
    </row>
    <row r="106" spans="6:62" s="408" customFormat="1" x14ac:dyDescent="0.2">
      <c r="F106" s="976"/>
      <c r="J106" s="976"/>
      <c r="N106" s="976"/>
      <c r="R106" s="976"/>
      <c r="V106" s="976"/>
      <c r="Z106" s="976"/>
      <c r="AD106" s="976"/>
      <c r="AH106" s="976"/>
      <c r="AL106" s="976"/>
      <c r="AP106" s="976"/>
      <c r="AT106" s="976"/>
      <c r="AX106" s="976"/>
      <c r="BB106" s="976"/>
      <c r="BF106" s="976"/>
      <c r="BG106" s="1061"/>
      <c r="BH106" s="1061"/>
      <c r="BI106" s="1061"/>
      <c r="BJ106" s="1060"/>
    </row>
    <row r="107" spans="6:62" s="408" customFormat="1" x14ac:dyDescent="0.2">
      <c r="F107" s="976"/>
      <c r="J107" s="976"/>
      <c r="N107" s="976"/>
      <c r="R107" s="976"/>
      <c r="V107" s="976"/>
      <c r="Z107" s="976"/>
      <c r="AD107" s="976"/>
      <c r="AH107" s="976"/>
      <c r="AL107" s="976"/>
      <c r="AP107" s="976"/>
      <c r="AT107" s="976"/>
      <c r="AX107" s="976"/>
      <c r="BB107" s="976"/>
      <c r="BF107" s="976"/>
      <c r="BG107" s="1061"/>
      <c r="BH107" s="1061"/>
      <c r="BI107" s="1061"/>
      <c r="BJ107" s="1060"/>
    </row>
    <row r="108" spans="6:62" s="408" customFormat="1" x14ac:dyDescent="0.2">
      <c r="F108" s="976"/>
      <c r="J108" s="976"/>
      <c r="N108" s="976"/>
      <c r="R108" s="976"/>
      <c r="V108" s="976"/>
      <c r="Z108" s="976"/>
      <c r="AD108" s="976"/>
      <c r="AH108" s="976"/>
      <c r="AL108" s="976"/>
      <c r="AP108" s="976"/>
      <c r="AT108" s="976"/>
      <c r="AX108" s="976"/>
      <c r="BB108" s="976"/>
      <c r="BF108" s="976"/>
      <c r="BG108" s="1061"/>
      <c r="BH108" s="1061"/>
      <c r="BI108" s="1061"/>
      <c r="BJ108" s="1060"/>
    </row>
    <row r="109" spans="6:62" s="408" customFormat="1" x14ac:dyDescent="0.2">
      <c r="F109" s="976"/>
      <c r="J109" s="976"/>
      <c r="N109" s="976"/>
      <c r="R109" s="976"/>
      <c r="V109" s="976"/>
      <c r="Z109" s="976"/>
      <c r="AD109" s="976"/>
      <c r="AH109" s="976"/>
      <c r="AL109" s="976"/>
      <c r="AP109" s="976"/>
      <c r="AT109" s="976"/>
      <c r="AX109" s="976"/>
      <c r="BB109" s="976"/>
      <c r="BF109" s="976"/>
      <c r="BG109" s="1061"/>
      <c r="BH109" s="1061"/>
      <c r="BI109" s="1061"/>
      <c r="BJ109" s="1060"/>
    </row>
    <row r="110" spans="6:62" s="408" customFormat="1" x14ac:dyDescent="0.2">
      <c r="F110" s="976"/>
      <c r="J110" s="976"/>
      <c r="N110" s="976"/>
      <c r="R110" s="976"/>
      <c r="V110" s="976"/>
      <c r="Z110" s="976"/>
      <c r="AD110" s="976"/>
      <c r="AH110" s="976"/>
      <c r="AL110" s="976"/>
      <c r="AP110" s="976"/>
      <c r="AT110" s="976"/>
      <c r="AX110" s="976"/>
      <c r="BB110" s="976"/>
      <c r="BF110" s="976"/>
      <c r="BG110" s="1061"/>
      <c r="BH110" s="1061"/>
      <c r="BI110" s="1061"/>
      <c r="BJ110" s="1060"/>
    </row>
    <row r="111" spans="6:62" s="408" customFormat="1" x14ac:dyDescent="0.2">
      <c r="F111" s="976"/>
      <c r="J111" s="976"/>
      <c r="N111" s="976"/>
      <c r="R111" s="976"/>
      <c r="V111" s="976"/>
      <c r="Z111" s="976"/>
      <c r="AD111" s="976"/>
      <c r="AH111" s="976"/>
      <c r="AL111" s="976"/>
      <c r="AP111" s="976"/>
      <c r="AT111" s="976"/>
      <c r="AX111" s="976"/>
      <c r="BB111" s="976"/>
      <c r="BF111" s="976"/>
      <c r="BG111" s="1061"/>
      <c r="BH111" s="1061"/>
      <c r="BI111" s="1061"/>
      <c r="BJ111" s="1060"/>
    </row>
    <row r="112" spans="6:62" s="408" customFormat="1" x14ac:dyDescent="0.2">
      <c r="F112" s="976"/>
      <c r="J112" s="976"/>
      <c r="N112" s="976"/>
      <c r="R112" s="976"/>
      <c r="V112" s="976"/>
      <c r="Z112" s="976"/>
      <c r="AD112" s="976"/>
      <c r="AH112" s="976"/>
      <c r="AL112" s="976"/>
      <c r="AP112" s="976"/>
      <c r="AT112" s="976"/>
      <c r="AX112" s="976"/>
      <c r="BB112" s="976"/>
      <c r="BF112" s="976"/>
      <c r="BG112" s="1061"/>
      <c r="BH112" s="1061"/>
      <c r="BI112" s="1061"/>
      <c r="BJ112" s="1060"/>
    </row>
    <row r="113" spans="6:62" s="408" customFormat="1" x14ac:dyDescent="0.2">
      <c r="F113" s="976"/>
      <c r="J113" s="976"/>
      <c r="N113" s="976"/>
      <c r="R113" s="976"/>
      <c r="V113" s="976"/>
      <c r="Z113" s="976"/>
      <c r="AD113" s="976"/>
      <c r="AH113" s="976"/>
      <c r="AL113" s="976"/>
      <c r="AP113" s="976"/>
      <c r="AT113" s="976"/>
      <c r="AX113" s="976"/>
      <c r="BB113" s="976"/>
      <c r="BF113" s="976"/>
      <c r="BG113" s="1061"/>
      <c r="BH113" s="1061"/>
      <c r="BI113" s="1061"/>
      <c r="BJ113" s="1060"/>
    </row>
    <row r="114" spans="6:62" s="408" customFormat="1" x14ac:dyDescent="0.2">
      <c r="F114" s="976"/>
      <c r="J114" s="976"/>
      <c r="N114" s="976"/>
      <c r="R114" s="976"/>
      <c r="V114" s="976"/>
      <c r="Z114" s="976"/>
      <c r="AD114" s="976"/>
      <c r="AH114" s="976"/>
      <c r="AL114" s="976"/>
      <c r="AP114" s="976"/>
      <c r="AT114" s="976"/>
      <c r="AX114" s="976"/>
      <c r="BB114" s="976"/>
      <c r="BF114" s="976"/>
      <c r="BG114" s="1061"/>
      <c r="BH114" s="1061"/>
      <c r="BI114" s="1061"/>
      <c r="BJ114" s="1060"/>
    </row>
    <row r="115" spans="6:62" s="408" customFormat="1" x14ac:dyDescent="0.2">
      <c r="F115" s="976"/>
      <c r="J115" s="976"/>
      <c r="N115" s="976"/>
      <c r="R115" s="976"/>
      <c r="V115" s="976"/>
      <c r="Z115" s="976"/>
      <c r="AD115" s="976"/>
      <c r="AH115" s="976"/>
      <c r="AL115" s="976"/>
      <c r="AP115" s="976"/>
      <c r="AT115" s="976"/>
      <c r="AX115" s="976"/>
      <c r="BB115" s="976"/>
      <c r="BF115" s="976"/>
      <c r="BG115" s="1061"/>
      <c r="BH115" s="1061"/>
      <c r="BI115" s="1061"/>
      <c r="BJ115" s="1060"/>
    </row>
    <row r="116" spans="6:62" s="408" customFormat="1" x14ac:dyDescent="0.2">
      <c r="F116" s="976"/>
      <c r="J116" s="976"/>
      <c r="N116" s="976"/>
      <c r="R116" s="976"/>
      <c r="V116" s="976"/>
      <c r="Z116" s="976"/>
      <c r="AD116" s="976"/>
      <c r="AH116" s="976"/>
      <c r="AL116" s="976"/>
      <c r="AP116" s="976"/>
      <c r="AT116" s="976"/>
      <c r="AX116" s="976"/>
      <c r="BB116" s="976"/>
      <c r="BF116" s="976"/>
      <c r="BG116" s="1061"/>
      <c r="BH116" s="1061"/>
      <c r="BI116" s="1061"/>
      <c r="BJ116" s="1060"/>
    </row>
    <row r="117" spans="6:62" s="408" customFormat="1" x14ac:dyDescent="0.2">
      <c r="F117" s="976"/>
      <c r="J117" s="976"/>
      <c r="N117" s="976"/>
      <c r="R117" s="976"/>
      <c r="V117" s="976"/>
      <c r="Z117" s="976"/>
      <c r="AD117" s="976"/>
      <c r="AH117" s="976"/>
      <c r="AL117" s="976"/>
      <c r="AP117" s="976"/>
      <c r="AT117" s="976"/>
      <c r="AX117" s="976"/>
      <c r="BB117" s="976"/>
      <c r="BF117" s="976"/>
      <c r="BG117" s="1061"/>
      <c r="BH117" s="1061"/>
      <c r="BI117" s="1061"/>
      <c r="BJ117" s="1060"/>
    </row>
    <row r="118" spans="6:62" s="408" customFormat="1" x14ac:dyDescent="0.2">
      <c r="F118" s="976"/>
      <c r="J118" s="976"/>
      <c r="N118" s="976"/>
      <c r="R118" s="976"/>
      <c r="V118" s="976"/>
      <c r="Z118" s="976"/>
      <c r="AD118" s="976"/>
      <c r="AH118" s="976"/>
      <c r="AL118" s="976"/>
      <c r="AP118" s="976"/>
      <c r="AT118" s="976"/>
      <c r="AX118" s="976"/>
      <c r="BB118" s="976"/>
      <c r="BF118" s="976"/>
      <c r="BG118" s="1061"/>
      <c r="BH118" s="1061"/>
      <c r="BI118" s="1061"/>
      <c r="BJ118" s="1060"/>
    </row>
    <row r="119" spans="6:62" s="408" customFormat="1" x14ac:dyDescent="0.2">
      <c r="F119" s="976"/>
      <c r="J119" s="976"/>
      <c r="N119" s="976"/>
      <c r="R119" s="976"/>
      <c r="V119" s="976"/>
      <c r="Z119" s="976"/>
      <c r="AD119" s="976"/>
      <c r="AH119" s="976"/>
      <c r="AL119" s="976"/>
      <c r="AP119" s="976"/>
      <c r="AT119" s="976"/>
      <c r="AX119" s="976"/>
      <c r="BB119" s="976"/>
      <c r="BF119" s="976"/>
      <c r="BG119" s="1061"/>
      <c r="BH119" s="1061"/>
      <c r="BI119" s="1061"/>
      <c r="BJ119" s="1060"/>
    </row>
    <row r="120" spans="6:62" s="408" customFormat="1" x14ac:dyDescent="0.2">
      <c r="F120" s="976"/>
      <c r="J120" s="976"/>
      <c r="N120" s="976"/>
      <c r="R120" s="976"/>
      <c r="V120" s="976"/>
      <c r="Z120" s="976"/>
      <c r="AD120" s="976"/>
      <c r="AH120" s="976"/>
      <c r="AL120" s="976"/>
      <c r="AP120" s="976"/>
      <c r="AT120" s="976"/>
      <c r="AX120" s="976"/>
      <c r="BB120" s="976"/>
      <c r="BF120" s="976"/>
      <c r="BG120" s="1061"/>
      <c r="BH120" s="1061"/>
      <c r="BI120" s="1061"/>
      <c r="BJ120" s="1060"/>
    </row>
    <row r="121" spans="6:62" s="408" customFormat="1" x14ac:dyDescent="0.2">
      <c r="F121" s="976"/>
      <c r="J121" s="976"/>
      <c r="N121" s="976"/>
      <c r="R121" s="976"/>
      <c r="V121" s="976"/>
      <c r="Z121" s="976"/>
      <c r="AD121" s="976"/>
      <c r="AH121" s="976"/>
      <c r="AL121" s="976"/>
      <c r="AP121" s="976"/>
      <c r="AT121" s="976"/>
      <c r="AX121" s="976"/>
      <c r="BB121" s="976"/>
      <c r="BF121" s="976"/>
      <c r="BG121" s="1061"/>
      <c r="BH121" s="1061"/>
      <c r="BI121" s="1061"/>
      <c r="BJ121" s="1060"/>
    </row>
    <row r="122" spans="6:62" s="408" customFormat="1" x14ac:dyDescent="0.2">
      <c r="F122" s="976"/>
      <c r="J122" s="976"/>
      <c r="N122" s="976"/>
      <c r="R122" s="976"/>
      <c r="V122" s="976"/>
      <c r="Z122" s="976"/>
      <c r="AD122" s="976"/>
      <c r="AH122" s="976"/>
      <c r="AL122" s="976"/>
      <c r="AP122" s="976"/>
      <c r="AT122" s="976"/>
      <c r="AX122" s="976"/>
      <c r="BB122" s="976"/>
      <c r="BF122" s="976"/>
      <c r="BG122" s="1061"/>
      <c r="BH122" s="1061"/>
      <c r="BI122" s="1061"/>
      <c r="BJ122" s="1060"/>
    </row>
    <row r="123" spans="6:62" s="408" customFormat="1" x14ac:dyDescent="0.2">
      <c r="F123" s="976"/>
      <c r="J123" s="976"/>
      <c r="N123" s="976"/>
      <c r="R123" s="976"/>
      <c r="V123" s="976"/>
      <c r="Z123" s="976"/>
      <c r="AD123" s="976"/>
      <c r="AH123" s="976"/>
      <c r="AL123" s="976"/>
      <c r="AP123" s="976"/>
      <c r="AT123" s="976"/>
      <c r="AX123" s="976"/>
      <c r="BB123" s="976"/>
      <c r="BF123" s="976"/>
      <c r="BG123" s="1061"/>
      <c r="BH123" s="1061"/>
      <c r="BI123" s="1061"/>
      <c r="BJ123" s="1060"/>
    </row>
    <row r="124" spans="6:62" s="408" customFormat="1" x14ac:dyDescent="0.2">
      <c r="F124" s="976"/>
      <c r="J124" s="976"/>
      <c r="N124" s="976"/>
      <c r="R124" s="976"/>
      <c r="V124" s="976"/>
      <c r="Z124" s="976"/>
      <c r="AD124" s="976"/>
      <c r="AH124" s="976"/>
      <c r="AL124" s="976"/>
      <c r="AP124" s="976"/>
      <c r="AT124" s="976"/>
      <c r="AX124" s="976"/>
      <c r="BB124" s="976"/>
      <c r="BF124" s="976"/>
      <c r="BG124" s="1061"/>
      <c r="BH124" s="1061"/>
      <c r="BI124" s="1061"/>
      <c r="BJ124" s="1060"/>
    </row>
    <row r="125" spans="6:62" s="408" customFormat="1" x14ac:dyDescent="0.2">
      <c r="F125" s="976"/>
      <c r="J125" s="976"/>
      <c r="N125" s="976"/>
      <c r="R125" s="976"/>
      <c r="V125" s="976"/>
      <c r="Z125" s="976"/>
      <c r="AD125" s="976"/>
      <c r="AH125" s="976"/>
      <c r="AL125" s="976"/>
      <c r="AP125" s="976"/>
      <c r="AT125" s="976"/>
      <c r="AX125" s="976"/>
      <c r="BB125" s="976"/>
      <c r="BF125" s="976"/>
      <c r="BG125" s="1061"/>
      <c r="BH125" s="1061"/>
      <c r="BI125" s="1061"/>
      <c r="BJ125" s="1060"/>
    </row>
    <row r="126" spans="6:62" s="408" customFormat="1" x14ac:dyDescent="0.2">
      <c r="F126" s="976"/>
      <c r="J126" s="976"/>
      <c r="N126" s="976"/>
      <c r="R126" s="976"/>
      <c r="V126" s="976"/>
      <c r="Z126" s="976"/>
      <c r="AD126" s="976"/>
      <c r="AH126" s="976"/>
      <c r="AL126" s="976"/>
      <c r="AP126" s="976"/>
      <c r="AT126" s="976"/>
      <c r="AX126" s="976"/>
      <c r="BB126" s="976"/>
      <c r="BF126" s="976"/>
      <c r="BG126" s="1061"/>
      <c r="BH126" s="1061"/>
      <c r="BI126" s="1061"/>
      <c r="BJ126" s="1060"/>
    </row>
    <row r="127" spans="6:62" s="408" customFormat="1" x14ac:dyDescent="0.2">
      <c r="F127" s="976"/>
      <c r="J127" s="976"/>
      <c r="N127" s="976"/>
      <c r="R127" s="976"/>
      <c r="V127" s="976"/>
      <c r="Z127" s="976"/>
      <c r="AD127" s="976"/>
      <c r="AH127" s="976"/>
      <c r="AL127" s="976"/>
      <c r="AP127" s="976"/>
      <c r="AT127" s="976"/>
      <c r="AX127" s="976"/>
      <c r="BB127" s="976"/>
      <c r="BF127" s="976"/>
      <c r="BG127" s="1061"/>
      <c r="BH127" s="1061"/>
      <c r="BI127" s="1061"/>
      <c r="BJ127" s="1060"/>
    </row>
    <row r="128" spans="6:62" s="408" customFormat="1" x14ac:dyDescent="0.2">
      <c r="F128" s="976"/>
      <c r="J128" s="976"/>
      <c r="N128" s="976"/>
      <c r="R128" s="976"/>
      <c r="V128" s="976"/>
      <c r="Z128" s="976"/>
      <c r="AD128" s="976"/>
      <c r="AH128" s="976"/>
      <c r="AL128" s="976"/>
      <c r="AP128" s="976"/>
      <c r="AT128" s="976"/>
      <c r="AX128" s="976"/>
      <c r="BB128" s="976"/>
      <c r="BF128" s="976"/>
      <c r="BG128" s="1061"/>
      <c r="BH128" s="1061"/>
      <c r="BI128" s="1061"/>
      <c r="BJ128" s="1060"/>
    </row>
    <row r="129" spans="6:62" s="408" customFormat="1" x14ac:dyDescent="0.2">
      <c r="F129" s="976"/>
      <c r="J129" s="976"/>
      <c r="N129" s="976"/>
      <c r="R129" s="976"/>
      <c r="V129" s="976"/>
      <c r="Z129" s="976"/>
      <c r="AD129" s="976"/>
      <c r="AH129" s="976"/>
      <c r="AL129" s="976"/>
      <c r="AP129" s="976"/>
      <c r="AT129" s="976"/>
      <c r="AX129" s="976"/>
      <c r="BB129" s="976"/>
      <c r="BF129" s="976"/>
      <c r="BG129" s="1061"/>
      <c r="BH129" s="1061"/>
      <c r="BI129" s="1061"/>
      <c r="BJ129" s="1060"/>
    </row>
    <row r="130" spans="6:62" s="408" customFormat="1" x14ac:dyDescent="0.2">
      <c r="F130" s="976"/>
      <c r="J130" s="976"/>
      <c r="N130" s="976"/>
      <c r="R130" s="976"/>
      <c r="V130" s="976"/>
      <c r="Z130" s="976"/>
      <c r="AD130" s="976"/>
      <c r="AH130" s="976"/>
      <c r="AL130" s="976"/>
      <c r="AP130" s="976"/>
      <c r="AT130" s="976"/>
      <c r="AX130" s="976"/>
      <c r="BB130" s="976"/>
      <c r="BF130" s="976"/>
      <c r="BG130" s="1061"/>
      <c r="BH130" s="1061"/>
      <c r="BI130" s="1061"/>
      <c r="BJ130" s="1060"/>
    </row>
    <row r="131" spans="6:62" s="408" customFormat="1" x14ac:dyDescent="0.2">
      <c r="F131" s="976"/>
      <c r="J131" s="976"/>
      <c r="N131" s="976"/>
      <c r="R131" s="976"/>
      <c r="V131" s="976"/>
      <c r="Z131" s="976"/>
      <c r="AD131" s="976"/>
      <c r="AH131" s="976"/>
      <c r="AL131" s="976"/>
      <c r="AP131" s="976"/>
      <c r="AT131" s="976"/>
      <c r="AX131" s="976"/>
      <c r="BB131" s="976"/>
      <c r="BF131" s="976"/>
      <c r="BG131" s="1061"/>
      <c r="BH131" s="1061"/>
      <c r="BI131" s="1061"/>
      <c r="BJ131" s="1060"/>
    </row>
    <row r="132" spans="6:62" s="408" customFormat="1" x14ac:dyDescent="0.2">
      <c r="F132" s="976"/>
      <c r="J132" s="976"/>
      <c r="N132" s="976"/>
      <c r="R132" s="976"/>
      <c r="V132" s="976"/>
      <c r="Z132" s="976"/>
      <c r="AD132" s="976"/>
      <c r="AH132" s="976"/>
      <c r="AL132" s="976"/>
      <c r="AP132" s="976"/>
      <c r="AT132" s="976"/>
      <c r="AX132" s="976"/>
      <c r="BB132" s="976"/>
      <c r="BF132" s="976"/>
      <c r="BG132" s="1061"/>
      <c r="BH132" s="1061"/>
      <c r="BI132" s="1061"/>
      <c r="BJ132" s="1060"/>
    </row>
    <row r="133" spans="6:62" s="408" customFormat="1" x14ac:dyDescent="0.2">
      <c r="F133" s="976"/>
      <c r="J133" s="976"/>
      <c r="N133" s="976"/>
      <c r="R133" s="976"/>
      <c r="V133" s="976"/>
      <c r="Z133" s="976"/>
      <c r="AD133" s="976"/>
      <c r="AH133" s="976"/>
      <c r="AL133" s="976"/>
      <c r="AP133" s="976"/>
      <c r="AT133" s="976"/>
      <c r="AX133" s="976"/>
      <c r="BB133" s="976"/>
      <c r="BF133" s="976"/>
      <c r="BG133" s="1061"/>
      <c r="BH133" s="1061"/>
      <c r="BI133" s="1061"/>
      <c r="BJ133" s="1060"/>
    </row>
    <row r="134" spans="6:62" s="408" customFormat="1" x14ac:dyDescent="0.2">
      <c r="F134" s="976"/>
      <c r="J134" s="976"/>
      <c r="N134" s="976"/>
      <c r="R134" s="976"/>
      <c r="V134" s="976"/>
      <c r="Z134" s="976"/>
      <c r="AD134" s="976"/>
      <c r="AH134" s="976"/>
      <c r="AL134" s="976"/>
      <c r="AP134" s="976"/>
      <c r="AT134" s="976"/>
      <c r="AX134" s="976"/>
      <c r="BB134" s="976"/>
      <c r="BF134" s="976"/>
      <c r="BG134" s="1061"/>
      <c r="BH134" s="1061"/>
      <c r="BI134" s="1061"/>
      <c r="BJ134" s="1060"/>
    </row>
    <row r="135" spans="6:62" s="408" customFormat="1" x14ac:dyDescent="0.2">
      <c r="F135" s="976"/>
      <c r="J135" s="976"/>
      <c r="N135" s="976"/>
      <c r="R135" s="976"/>
      <c r="V135" s="976"/>
      <c r="Z135" s="976"/>
      <c r="AD135" s="976"/>
      <c r="AH135" s="976"/>
      <c r="AL135" s="976"/>
      <c r="AP135" s="976"/>
      <c r="AT135" s="976"/>
      <c r="AX135" s="976"/>
      <c r="BB135" s="976"/>
      <c r="BF135" s="976"/>
      <c r="BG135" s="1061"/>
      <c r="BH135" s="1061"/>
      <c r="BI135" s="1061"/>
      <c r="BJ135" s="1060"/>
    </row>
    <row r="136" spans="6:62" s="408" customFormat="1" x14ac:dyDescent="0.2">
      <c r="F136" s="976"/>
      <c r="J136" s="976"/>
      <c r="N136" s="976"/>
      <c r="R136" s="976"/>
      <c r="V136" s="976"/>
      <c r="Z136" s="976"/>
      <c r="AD136" s="976"/>
      <c r="AH136" s="976"/>
      <c r="AL136" s="976"/>
      <c r="AP136" s="976"/>
      <c r="AT136" s="976"/>
      <c r="AX136" s="976"/>
      <c r="BB136" s="976"/>
      <c r="BF136" s="976"/>
      <c r="BG136" s="1061"/>
      <c r="BH136" s="1061"/>
      <c r="BI136" s="1061"/>
      <c r="BJ136" s="1060"/>
    </row>
    <row r="137" spans="6:62" s="408" customFormat="1" x14ac:dyDescent="0.2">
      <c r="F137" s="976"/>
      <c r="J137" s="976"/>
      <c r="N137" s="976"/>
      <c r="R137" s="976"/>
      <c r="V137" s="976"/>
      <c r="Z137" s="976"/>
      <c r="AD137" s="976"/>
      <c r="AH137" s="976"/>
      <c r="AL137" s="976"/>
      <c r="AP137" s="976"/>
      <c r="AT137" s="976"/>
      <c r="AX137" s="976"/>
      <c r="BB137" s="976"/>
      <c r="BF137" s="976"/>
      <c r="BG137" s="1061"/>
      <c r="BH137" s="1061"/>
      <c r="BI137" s="1061"/>
      <c r="BJ137" s="1060"/>
    </row>
    <row r="138" spans="6:62" s="408" customFormat="1" x14ac:dyDescent="0.2">
      <c r="F138" s="976"/>
      <c r="J138" s="976"/>
      <c r="N138" s="976"/>
      <c r="R138" s="976"/>
      <c r="V138" s="976"/>
      <c r="Z138" s="976"/>
      <c r="AD138" s="976"/>
      <c r="AH138" s="976"/>
      <c r="AL138" s="976"/>
      <c r="AP138" s="976"/>
      <c r="AT138" s="976"/>
      <c r="AX138" s="976"/>
      <c r="BB138" s="976"/>
      <c r="BF138" s="976"/>
      <c r="BG138" s="1061"/>
      <c r="BH138" s="1061"/>
      <c r="BI138" s="1061"/>
      <c r="BJ138" s="1060"/>
    </row>
    <row r="139" spans="6:62" s="408" customFormat="1" x14ac:dyDescent="0.2">
      <c r="F139" s="976"/>
      <c r="J139" s="976"/>
      <c r="N139" s="976"/>
      <c r="R139" s="976"/>
      <c r="V139" s="976"/>
      <c r="Z139" s="976"/>
      <c r="AD139" s="976"/>
      <c r="AH139" s="976"/>
      <c r="AL139" s="976"/>
      <c r="AP139" s="976"/>
      <c r="AT139" s="976"/>
      <c r="AX139" s="976"/>
      <c r="BB139" s="976"/>
      <c r="BF139" s="976"/>
      <c r="BG139" s="1061"/>
      <c r="BH139" s="1061"/>
      <c r="BI139" s="1061"/>
      <c r="BJ139" s="1060"/>
    </row>
    <row r="140" spans="6:62" s="408" customFormat="1" x14ac:dyDescent="0.2">
      <c r="F140" s="976"/>
      <c r="J140" s="976"/>
      <c r="N140" s="976"/>
      <c r="R140" s="976"/>
      <c r="V140" s="976"/>
      <c r="Z140" s="976"/>
      <c r="AD140" s="976"/>
      <c r="AH140" s="976"/>
      <c r="AL140" s="976"/>
      <c r="AP140" s="976"/>
      <c r="AT140" s="976"/>
      <c r="AX140" s="976"/>
      <c r="BB140" s="976"/>
      <c r="BF140" s="976"/>
      <c r="BG140" s="1061"/>
      <c r="BH140" s="1061"/>
      <c r="BI140" s="1061"/>
      <c r="BJ140" s="1060"/>
    </row>
    <row r="141" spans="6:62" s="408" customFormat="1" x14ac:dyDescent="0.2">
      <c r="F141" s="976"/>
      <c r="J141" s="976"/>
      <c r="N141" s="976"/>
      <c r="R141" s="976"/>
      <c r="V141" s="976"/>
      <c r="Z141" s="976"/>
      <c r="AD141" s="976"/>
      <c r="AH141" s="976"/>
      <c r="AL141" s="976"/>
      <c r="AP141" s="976"/>
      <c r="AT141" s="976"/>
      <c r="AX141" s="976"/>
      <c r="BB141" s="976"/>
      <c r="BF141" s="976"/>
      <c r="BG141" s="1061"/>
      <c r="BH141" s="1061"/>
      <c r="BI141" s="1061"/>
      <c r="BJ141" s="1060"/>
    </row>
    <row r="142" spans="6:62" s="408" customFormat="1" x14ac:dyDescent="0.2">
      <c r="F142" s="976"/>
      <c r="J142" s="976"/>
      <c r="N142" s="976"/>
      <c r="R142" s="976"/>
      <c r="V142" s="976"/>
      <c r="Z142" s="976"/>
      <c r="AD142" s="976"/>
      <c r="AH142" s="976"/>
      <c r="AL142" s="976"/>
      <c r="AP142" s="976"/>
      <c r="AT142" s="976"/>
      <c r="AX142" s="976"/>
      <c r="BB142" s="976"/>
      <c r="BF142" s="976"/>
      <c r="BG142" s="1061"/>
      <c r="BH142" s="1061"/>
      <c r="BI142" s="1061"/>
      <c r="BJ142" s="1060"/>
    </row>
    <row r="143" spans="6:62" s="408" customFormat="1" x14ac:dyDescent="0.2">
      <c r="F143" s="976"/>
      <c r="J143" s="976"/>
      <c r="N143" s="976"/>
      <c r="R143" s="976"/>
      <c r="V143" s="976"/>
      <c r="Z143" s="976"/>
      <c r="AD143" s="976"/>
      <c r="AH143" s="976"/>
      <c r="AL143" s="976"/>
      <c r="AP143" s="976"/>
      <c r="AT143" s="976"/>
      <c r="AX143" s="976"/>
      <c r="BB143" s="976"/>
      <c r="BF143" s="976"/>
      <c r="BG143" s="1061"/>
      <c r="BH143" s="1061"/>
      <c r="BI143" s="1061"/>
      <c r="BJ143" s="1060"/>
    </row>
    <row r="144" spans="6:62" s="408" customFormat="1" x14ac:dyDescent="0.2">
      <c r="F144" s="976"/>
      <c r="J144" s="976"/>
      <c r="N144" s="976"/>
      <c r="R144" s="976"/>
      <c r="V144" s="976"/>
      <c r="Z144" s="976"/>
      <c r="AD144" s="976"/>
      <c r="AH144" s="976"/>
      <c r="AL144" s="976"/>
      <c r="AP144" s="976"/>
      <c r="AT144" s="976"/>
      <c r="AX144" s="976"/>
      <c r="BB144" s="976"/>
      <c r="BF144" s="976"/>
      <c r="BG144" s="1061"/>
      <c r="BH144" s="1061"/>
      <c r="BI144" s="1061"/>
      <c r="BJ144" s="1060"/>
    </row>
    <row r="145" spans="6:62" s="408" customFormat="1" x14ac:dyDescent="0.2">
      <c r="F145" s="976"/>
      <c r="J145" s="976"/>
      <c r="N145" s="976"/>
      <c r="R145" s="976"/>
      <c r="V145" s="976"/>
      <c r="Z145" s="976"/>
      <c r="AD145" s="976"/>
      <c r="AH145" s="976"/>
      <c r="AL145" s="976"/>
      <c r="AP145" s="976"/>
      <c r="AT145" s="976"/>
      <c r="AX145" s="976"/>
      <c r="BB145" s="976"/>
      <c r="BF145" s="976"/>
      <c r="BG145" s="1061"/>
      <c r="BH145" s="1061"/>
      <c r="BI145" s="1061"/>
      <c r="BJ145" s="1060"/>
    </row>
    <row r="146" spans="6:62" s="408" customFormat="1" x14ac:dyDescent="0.2">
      <c r="F146" s="976"/>
      <c r="J146" s="976"/>
      <c r="N146" s="976"/>
      <c r="R146" s="976"/>
      <c r="V146" s="976"/>
      <c r="Z146" s="976"/>
      <c r="AD146" s="976"/>
      <c r="AH146" s="976"/>
      <c r="AL146" s="976"/>
      <c r="AP146" s="976"/>
      <c r="AT146" s="976"/>
      <c r="AX146" s="976"/>
      <c r="BB146" s="976"/>
      <c r="BF146" s="976"/>
      <c r="BG146" s="1061"/>
      <c r="BH146" s="1061"/>
      <c r="BI146" s="1061"/>
      <c r="BJ146" s="1060"/>
    </row>
    <row r="147" spans="6:62" s="408" customFormat="1" x14ac:dyDescent="0.2">
      <c r="F147" s="976"/>
      <c r="J147" s="976"/>
      <c r="N147" s="976"/>
      <c r="R147" s="976"/>
      <c r="V147" s="976"/>
      <c r="Z147" s="976"/>
      <c r="AD147" s="976"/>
      <c r="AH147" s="976"/>
      <c r="AL147" s="976"/>
      <c r="AP147" s="976"/>
      <c r="AT147" s="976"/>
      <c r="AX147" s="976"/>
      <c r="BB147" s="976"/>
      <c r="BF147" s="976"/>
      <c r="BG147" s="1061"/>
      <c r="BH147" s="1061"/>
      <c r="BI147" s="1061"/>
      <c r="BJ147" s="1060"/>
    </row>
    <row r="148" spans="6:62" s="408" customFormat="1" x14ac:dyDescent="0.2">
      <c r="F148" s="976"/>
      <c r="J148" s="976"/>
      <c r="N148" s="976"/>
      <c r="R148" s="976"/>
      <c r="V148" s="976"/>
      <c r="Z148" s="976"/>
      <c r="AD148" s="976"/>
      <c r="AH148" s="976"/>
      <c r="AL148" s="976"/>
      <c r="AP148" s="976"/>
      <c r="AT148" s="976"/>
      <c r="AX148" s="976"/>
      <c r="BB148" s="976"/>
      <c r="BF148" s="976"/>
      <c r="BG148" s="1061"/>
      <c r="BH148" s="1061"/>
      <c r="BI148" s="1061"/>
      <c r="BJ148" s="1060"/>
    </row>
    <row r="149" spans="6:62" s="408" customFormat="1" x14ac:dyDescent="0.2">
      <c r="F149" s="976"/>
      <c r="J149" s="976"/>
      <c r="N149" s="976"/>
      <c r="R149" s="976"/>
      <c r="V149" s="976"/>
      <c r="Z149" s="976"/>
      <c r="AD149" s="976"/>
      <c r="AH149" s="976"/>
      <c r="AL149" s="976"/>
      <c r="AP149" s="976"/>
      <c r="AT149" s="976"/>
      <c r="AX149" s="976"/>
      <c r="BB149" s="976"/>
      <c r="BF149" s="976"/>
      <c r="BG149" s="1061"/>
      <c r="BH149" s="1061"/>
      <c r="BI149" s="1061"/>
      <c r="BJ149" s="1060"/>
    </row>
    <row r="150" spans="6:62" s="408" customFormat="1" x14ac:dyDescent="0.2">
      <c r="F150" s="976"/>
      <c r="J150" s="976"/>
      <c r="N150" s="976"/>
      <c r="R150" s="976"/>
      <c r="V150" s="976"/>
      <c r="Z150" s="976"/>
      <c r="AD150" s="976"/>
      <c r="AH150" s="976"/>
      <c r="AL150" s="976"/>
      <c r="AP150" s="976"/>
      <c r="AT150" s="976"/>
      <c r="AX150" s="976"/>
      <c r="BB150" s="976"/>
      <c r="BF150" s="976"/>
      <c r="BG150" s="1061"/>
      <c r="BH150" s="1061"/>
      <c r="BI150" s="1061"/>
      <c r="BJ150" s="1060"/>
    </row>
    <row r="151" spans="6:62" s="408" customFormat="1" x14ac:dyDescent="0.2">
      <c r="F151" s="976"/>
      <c r="J151" s="976"/>
      <c r="N151" s="976"/>
      <c r="R151" s="976"/>
      <c r="V151" s="976"/>
      <c r="Z151" s="976"/>
      <c r="AD151" s="976"/>
      <c r="AH151" s="976"/>
      <c r="AL151" s="976"/>
      <c r="AP151" s="976"/>
      <c r="AT151" s="976"/>
      <c r="AX151" s="976"/>
      <c r="BB151" s="976"/>
      <c r="BF151" s="976"/>
      <c r="BG151" s="1061"/>
      <c r="BH151" s="1061"/>
      <c r="BI151" s="1061"/>
      <c r="BJ151" s="1060"/>
    </row>
    <row r="152" spans="6:62" s="408" customFormat="1" x14ac:dyDescent="0.2">
      <c r="F152" s="976"/>
      <c r="J152" s="976"/>
      <c r="N152" s="976"/>
      <c r="R152" s="976"/>
      <c r="V152" s="976"/>
      <c r="Z152" s="976"/>
      <c r="AD152" s="976"/>
      <c r="AH152" s="976"/>
      <c r="AL152" s="976"/>
      <c r="AP152" s="976"/>
      <c r="AT152" s="976"/>
      <c r="AX152" s="976"/>
      <c r="BB152" s="976"/>
      <c r="BF152" s="976"/>
      <c r="BG152" s="1061"/>
      <c r="BH152" s="1061"/>
      <c r="BI152" s="1061"/>
      <c r="BJ152" s="1060"/>
    </row>
    <row r="153" spans="6:62" s="408" customFormat="1" x14ac:dyDescent="0.2">
      <c r="F153" s="976"/>
      <c r="J153" s="976"/>
      <c r="N153" s="976"/>
      <c r="R153" s="976"/>
      <c r="V153" s="976"/>
      <c r="Z153" s="976"/>
      <c r="AD153" s="976"/>
      <c r="AH153" s="976"/>
      <c r="AL153" s="976"/>
      <c r="AP153" s="976"/>
      <c r="AT153" s="976"/>
      <c r="AX153" s="976"/>
      <c r="BB153" s="976"/>
      <c r="BF153" s="976"/>
      <c r="BG153" s="1061"/>
      <c r="BH153" s="1061"/>
      <c r="BI153" s="1061"/>
      <c r="BJ153" s="1060"/>
    </row>
    <row r="154" spans="6:62" s="408" customFormat="1" x14ac:dyDescent="0.2">
      <c r="F154" s="976"/>
      <c r="J154" s="976"/>
      <c r="N154" s="976"/>
      <c r="R154" s="976"/>
      <c r="V154" s="976"/>
      <c r="Z154" s="976"/>
      <c r="AD154" s="976"/>
      <c r="AH154" s="976"/>
      <c r="AL154" s="976"/>
      <c r="AP154" s="976"/>
      <c r="AT154" s="976"/>
      <c r="AX154" s="976"/>
      <c r="BB154" s="976"/>
      <c r="BF154" s="976"/>
      <c r="BG154" s="1061"/>
      <c r="BH154" s="1061"/>
      <c r="BI154" s="1061"/>
      <c r="BJ154" s="1060"/>
    </row>
  </sheetData>
  <mergeCells count="80">
    <mergeCell ref="AN5:AN6"/>
    <mergeCell ref="BI3:BJ3"/>
    <mergeCell ref="BI1:BJ1"/>
    <mergeCell ref="T5:T6"/>
    <mergeCell ref="X5:X6"/>
    <mergeCell ref="AB5:AB6"/>
    <mergeCell ref="AF5:AF6"/>
    <mergeCell ref="AU4:AX4"/>
    <mergeCell ref="AX5:AX6"/>
    <mergeCell ref="AC5:AC6"/>
    <mergeCell ref="Y5:Y6"/>
    <mergeCell ref="AI5:AI6"/>
    <mergeCell ref="AW5:AW6"/>
    <mergeCell ref="AS5:AS6"/>
    <mergeCell ref="AO5:AO6"/>
    <mergeCell ref="AQ5:AQ6"/>
    <mergeCell ref="R5:R6"/>
    <mergeCell ref="W5:W6"/>
    <mergeCell ref="AE5:AE6"/>
    <mergeCell ref="U5:U6"/>
    <mergeCell ref="K4:N4"/>
    <mergeCell ref="Q5:Q6"/>
    <mergeCell ref="N5:N6"/>
    <mergeCell ref="O4:R4"/>
    <mergeCell ref="P5:P6"/>
    <mergeCell ref="S4:V4"/>
    <mergeCell ref="V5:V6"/>
    <mergeCell ref="S5:S6"/>
    <mergeCell ref="O5:O6"/>
    <mergeCell ref="W4:Z4"/>
    <mergeCell ref="Z5:Z6"/>
    <mergeCell ref="AA5:AA6"/>
    <mergeCell ref="K5:K6"/>
    <mergeCell ref="M5:M6"/>
    <mergeCell ref="C5:C6"/>
    <mergeCell ref="E5:E6"/>
    <mergeCell ref="F5:F6"/>
    <mergeCell ref="G5:G6"/>
    <mergeCell ref="I5:I6"/>
    <mergeCell ref="L5:L6"/>
    <mergeCell ref="A3:F3"/>
    <mergeCell ref="C4:F4"/>
    <mergeCell ref="G4:J4"/>
    <mergeCell ref="D5:D6"/>
    <mergeCell ref="H5:H6"/>
    <mergeCell ref="A5:A6"/>
    <mergeCell ref="B5:B6"/>
    <mergeCell ref="J5:J6"/>
    <mergeCell ref="AA4:AD4"/>
    <mergeCell ref="AE4:AH4"/>
    <mergeCell ref="BI5:BI6"/>
    <mergeCell ref="BB5:BB6"/>
    <mergeCell ref="AI4:AL4"/>
    <mergeCell ref="AM4:AP4"/>
    <mergeCell ref="AU5:AU6"/>
    <mergeCell ref="BG4:BJ4"/>
    <mergeCell ref="AG5:AG6"/>
    <mergeCell ref="AD5:AD6"/>
    <mergeCell ref="AH5:AH6"/>
    <mergeCell ref="AM5:AM6"/>
    <mergeCell ref="AK5:AK6"/>
    <mergeCell ref="AL5:AL6"/>
    <mergeCell ref="AT5:AT6"/>
    <mergeCell ref="BH5:BH6"/>
    <mergeCell ref="AQ4:AT4"/>
    <mergeCell ref="AJ5:AJ6"/>
    <mergeCell ref="BJ5:BJ6"/>
    <mergeCell ref="AY4:BB4"/>
    <mergeCell ref="BC4:BF4"/>
    <mergeCell ref="AY5:AY6"/>
    <mergeCell ref="BA5:BA6"/>
    <mergeCell ref="BC5:BC6"/>
    <mergeCell ref="AV5:AV6"/>
    <mergeCell ref="AZ5:AZ6"/>
    <mergeCell ref="BD5:BD6"/>
    <mergeCell ref="AR5:AR6"/>
    <mergeCell ref="BE5:BE6"/>
    <mergeCell ref="BF5:BF6"/>
    <mergeCell ref="BG5:BG6"/>
    <mergeCell ref="AP5:AP6"/>
  </mergeCells>
  <printOptions horizontalCentered="1" verticalCentered="1"/>
  <pageMargins left="0" right="0" top="0.74803149606299213" bottom="0" header="0.31496062992125984" footer="0.31496062992125984"/>
  <pageSetup paperSize="9" fitToWidth="0" orientation="landscape" r:id="rId1"/>
  <headerFooter alignWithMargins="0">
    <oddHeader>&amp;C&amp;"Times New Roman,Félkövér"&amp;12A  9/2021. (II.16.) önkormányzati rendelethez Budapest Főváros IV. kerület Újpest Önkormányzat 
Gazdasági Intézmény Központhoz tartozó óvodák beépülő bevételei és kiadásai</oddHeader>
    <oddFooter>&amp;C&amp;P oldal</oddFooter>
  </headerFooter>
  <rowBreaks count="1" manualBreakCount="1">
    <brk id="40" max="16383" man="1"/>
  </rowBreaks>
  <colBreaks count="4" manualBreakCount="4">
    <brk id="14" min="3" max="81" man="1"/>
    <brk id="26" min="3" max="81" man="1"/>
    <brk id="38" min="3" max="81" man="1"/>
    <brk id="50" min="3" max="8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54"/>
  <sheetViews>
    <sheetView view="pageLayout" zoomScaleNormal="100" workbookViewId="0">
      <selection activeCell="Q94" sqref="Q94"/>
    </sheetView>
  </sheetViews>
  <sheetFormatPr defaultColWidth="8.42578125" defaultRowHeight="12.75" x14ac:dyDescent="0.2"/>
  <cols>
    <col min="1" max="1" width="6.7109375" style="1" customWidth="1"/>
    <col min="2" max="2" width="35.42578125" style="1" customWidth="1"/>
    <col min="3" max="4" width="10.140625" style="1" hidden="1" customWidth="1"/>
    <col min="5" max="5" width="8.85546875" style="2" hidden="1" customWidth="1"/>
    <col min="6" max="6" width="10.28515625" style="1" hidden="1" customWidth="1"/>
    <col min="7" max="7" width="10.28515625" style="1" customWidth="1"/>
    <col min="8" max="8" width="9.7109375" style="1" customWidth="1"/>
    <col min="9" max="9" width="7.7109375" style="1" customWidth="1"/>
    <col min="10" max="10" width="9" style="1" hidden="1" customWidth="1"/>
    <col min="11" max="11" width="9" style="1" customWidth="1"/>
    <col min="12" max="12" width="9.85546875" style="1" customWidth="1"/>
    <col min="13" max="13" width="8.28515625" style="1" customWidth="1"/>
    <col min="14" max="14" width="12.5703125" style="1" hidden="1" customWidth="1"/>
    <col min="15" max="15" width="12.5703125" style="1" customWidth="1"/>
    <col min="16" max="16" width="11.42578125" style="1" customWidth="1"/>
    <col min="17" max="17" width="8.7109375" style="1" customWidth="1"/>
    <col min="18" max="18" width="10.85546875" style="1" hidden="1" customWidth="1"/>
    <col min="19" max="19" width="10.85546875" style="1" customWidth="1"/>
    <col min="20" max="20" width="11.140625" style="1" bestFit="1" customWidth="1"/>
    <col min="21" max="21" width="8.85546875" style="1" customWidth="1"/>
    <col min="22" max="22" width="9.140625" style="1" customWidth="1"/>
    <col min="23" max="23" width="14.5703125" style="1" customWidth="1"/>
    <col min="24" max="203" width="9.140625" style="1" customWidth="1"/>
    <col min="204" max="204" width="6.7109375" style="1" customWidth="1"/>
    <col min="205" max="205" width="34.85546875" style="1" customWidth="1"/>
    <col min="206" max="206" width="37.42578125" style="1" customWidth="1"/>
    <col min="207" max="207" width="12.7109375" style="1" customWidth="1"/>
    <col min="208" max="208" width="11" style="1" customWidth="1"/>
    <col min="209" max="209" width="7.28515625" style="1" customWidth="1"/>
    <col min="210" max="210" width="12.7109375" style="1" customWidth="1"/>
    <col min="211" max="211" width="11.5703125" style="1" customWidth="1"/>
    <col min="212" max="212" width="9.140625" style="1" customWidth="1"/>
    <col min="213" max="214" width="12.7109375" style="1" customWidth="1"/>
    <col min="215" max="215" width="8.5703125" style="1" customWidth="1"/>
    <col min="216" max="217" width="12.7109375" style="1" customWidth="1"/>
    <col min="218" max="218" width="8" style="1" customWidth="1"/>
    <col min="219" max="219" width="10.5703125" style="1" customWidth="1"/>
    <col min="220" max="220" width="11.42578125" style="1" bestFit="1" customWidth="1"/>
    <col min="221" max="221" width="8.42578125" style="1" customWidth="1"/>
    <col min="222" max="223" width="12.7109375" style="1" customWidth="1"/>
    <col min="224" max="224" width="8.28515625" style="1" customWidth="1"/>
    <col min="225" max="226" width="12.7109375" style="1" customWidth="1"/>
    <col min="227" max="16384" width="8.42578125" style="1"/>
  </cols>
  <sheetData>
    <row r="1" spans="1:21" x14ac:dyDescent="0.2">
      <c r="T1" s="1338" t="s">
        <v>860</v>
      </c>
      <c r="U1" s="1338"/>
    </row>
    <row r="3" spans="1:21" ht="15" customHeight="1" thickBot="1" x14ac:dyDescent="0.25">
      <c r="A3" s="1364"/>
      <c r="B3" s="1365"/>
      <c r="C3" s="1365"/>
      <c r="D3" s="1365"/>
      <c r="E3" s="1365"/>
      <c r="T3" s="1366" t="s">
        <v>277</v>
      </c>
      <c r="U3" s="1366"/>
    </row>
    <row r="4" spans="1:21" ht="21.75" customHeight="1" thickTop="1" x14ac:dyDescent="0.2">
      <c r="A4" s="1058"/>
      <c r="B4" s="1057" t="s">
        <v>438</v>
      </c>
      <c r="C4" s="1329" t="s">
        <v>845</v>
      </c>
      <c r="D4" s="1330"/>
      <c r="E4" s="1331"/>
      <c r="F4" s="1328" t="s">
        <v>815</v>
      </c>
      <c r="G4" s="1329"/>
      <c r="H4" s="1330"/>
      <c r="I4" s="1331"/>
      <c r="J4" s="1328" t="s">
        <v>844</v>
      </c>
      <c r="K4" s="1329"/>
      <c r="L4" s="1330"/>
      <c r="M4" s="1331"/>
      <c r="N4" s="1349" t="s">
        <v>843</v>
      </c>
      <c r="O4" s="1349"/>
      <c r="P4" s="1350"/>
      <c r="Q4" s="1351"/>
      <c r="R4" s="1348" t="s">
        <v>842</v>
      </c>
      <c r="S4" s="1349"/>
      <c r="T4" s="1350"/>
      <c r="U4" s="1351"/>
    </row>
    <row r="5" spans="1:21" s="860" customFormat="1" ht="12.75" customHeight="1" x14ac:dyDescent="0.25">
      <c r="A5" s="1332"/>
      <c r="B5" s="1334" t="s">
        <v>778</v>
      </c>
      <c r="C5" s="1346" t="s">
        <v>841</v>
      </c>
      <c r="D5" s="1316" t="s">
        <v>599</v>
      </c>
      <c r="E5" s="1344" t="s">
        <v>840</v>
      </c>
      <c r="F5" s="1346" t="s">
        <v>777</v>
      </c>
      <c r="G5" s="1316" t="s">
        <v>835</v>
      </c>
      <c r="H5" s="1316" t="s">
        <v>834</v>
      </c>
      <c r="I5" s="1344" t="s">
        <v>840</v>
      </c>
      <c r="J5" s="1346" t="s">
        <v>777</v>
      </c>
      <c r="K5" s="1316" t="s">
        <v>835</v>
      </c>
      <c r="L5" s="1316" t="s">
        <v>834</v>
      </c>
      <c r="M5" s="1344" t="s">
        <v>840</v>
      </c>
      <c r="N5" s="1346" t="s">
        <v>777</v>
      </c>
      <c r="O5" s="1316" t="s">
        <v>835</v>
      </c>
      <c r="P5" s="1316" t="s">
        <v>834</v>
      </c>
      <c r="Q5" s="1352" t="s">
        <v>840</v>
      </c>
      <c r="R5" s="1346" t="s">
        <v>777</v>
      </c>
      <c r="S5" s="1316" t="s">
        <v>835</v>
      </c>
      <c r="T5" s="1316" t="s">
        <v>834</v>
      </c>
      <c r="U5" s="1352" t="s">
        <v>840</v>
      </c>
    </row>
    <row r="6" spans="1:21" s="854" customFormat="1" ht="18" customHeight="1" thickBot="1" x14ac:dyDescent="0.25">
      <c r="A6" s="1333"/>
      <c r="B6" s="1335"/>
      <c r="C6" s="1347"/>
      <c r="D6" s="1317"/>
      <c r="E6" s="1345"/>
      <c r="F6" s="1347"/>
      <c r="G6" s="1317"/>
      <c r="H6" s="1317"/>
      <c r="I6" s="1345"/>
      <c r="J6" s="1347"/>
      <c r="K6" s="1317"/>
      <c r="L6" s="1317"/>
      <c r="M6" s="1345"/>
      <c r="N6" s="1347"/>
      <c r="O6" s="1317"/>
      <c r="P6" s="1317"/>
      <c r="Q6" s="1353"/>
      <c r="R6" s="1347"/>
      <c r="S6" s="1317"/>
      <c r="T6" s="1317"/>
      <c r="U6" s="1353"/>
    </row>
    <row r="7" spans="1:21" s="183" customFormat="1" ht="18" customHeight="1" x14ac:dyDescent="0.2">
      <c r="A7" s="1056" t="s">
        <v>64</v>
      </c>
      <c r="B7" s="1055" t="s">
        <v>424</v>
      </c>
      <c r="C7" s="1054"/>
      <c r="D7" s="1054"/>
      <c r="E7" s="1053"/>
      <c r="F7" s="1054"/>
      <c r="G7" s="1054"/>
      <c r="H7" s="1054"/>
      <c r="I7" s="1053"/>
      <c r="J7" s="1054"/>
      <c r="K7" s="1054"/>
      <c r="L7" s="1054"/>
      <c r="M7" s="1053"/>
      <c r="N7" s="1051"/>
      <c r="O7" s="1051"/>
      <c r="P7" s="1051"/>
      <c r="Q7" s="1050"/>
      <c r="R7" s="1052"/>
      <c r="S7" s="1051"/>
      <c r="T7" s="1051"/>
      <c r="U7" s="1050"/>
    </row>
    <row r="8" spans="1:21" s="977" customFormat="1" ht="30" x14ac:dyDescent="0.25">
      <c r="A8" s="1001" t="s">
        <v>72</v>
      </c>
      <c r="B8" s="1025" t="s">
        <v>267</v>
      </c>
      <c r="C8" s="1049"/>
      <c r="D8" s="1049"/>
      <c r="E8" s="1048"/>
      <c r="F8" s="1049"/>
      <c r="G8" s="1049"/>
      <c r="H8" s="1049"/>
      <c r="I8" s="1048"/>
      <c r="J8" s="1049"/>
      <c r="K8" s="1049"/>
      <c r="L8" s="1049"/>
      <c r="M8" s="1048"/>
      <c r="N8" s="1047"/>
      <c r="O8" s="1047"/>
      <c r="P8" s="1047"/>
      <c r="Q8" s="1046"/>
      <c r="R8" s="983">
        <f t="shared" ref="R8:R39" si="0">C8+F8+J8+N8</f>
        <v>0</v>
      </c>
      <c r="S8" s="983">
        <f t="shared" ref="S8:S39" si="1">C8+G8+K8+O8</f>
        <v>0</v>
      </c>
      <c r="T8" s="983">
        <f t="shared" ref="T8:T39" si="2">D8+H8+L8+P8</f>
        <v>0</v>
      </c>
      <c r="U8" s="1046"/>
    </row>
    <row r="9" spans="1:21" s="153" customFormat="1" ht="12.75" hidden="1" customHeight="1" x14ac:dyDescent="0.2">
      <c r="A9" s="992"/>
      <c r="B9" s="991" t="s">
        <v>839</v>
      </c>
      <c r="C9" s="1027"/>
      <c r="D9" s="1027"/>
      <c r="E9" s="988"/>
      <c r="F9" s="1027"/>
      <c r="G9" s="1027"/>
      <c r="H9" s="1027"/>
      <c r="I9" s="988"/>
      <c r="J9" s="1027"/>
      <c r="K9" s="1027"/>
      <c r="L9" s="1027"/>
      <c r="M9" s="988"/>
      <c r="N9" s="1026"/>
      <c r="O9" s="1026"/>
      <c r="P9" s="1026"/>
      <c r="Q9" s="1041"/>
      <c r="R9" s="983">
        <f t="shared" si="0"/>
        <v>0</v>
      </c>
      <c r="S9" s="983">
        <f t="shared" si="1"/>
        <v>0</v>
      </c>
      <c r="T9" s="983">
        <f t="shared" si="2"/>
        <v>0</v>
      </c>
      <c r="U9" s="1041"/>
    </row>
    <row r="10" spans="1:21" s="153" customFormat="1" ht="12.75" hidden="1" customHeight="1" x14ac:dyDescent="0.2">
      <c r="A10" s="992"/>
      <c r="B10" s="991" t="s">
        <v>838</v>
      </c>
      <c r="C10" s="1027"/>
      <c r="D10" s="1027"/>
      <c r="E10" s="988"/>
      <c r="F10" s="1027"/>
      <c r="G10" s="1027"/>
      <c r="H10" s="1027"/>
      <c r="I10" s="988"/>
      <c r="J10" s="1027"/>
      <c r="K10" s="1027"/>
      <c r="L10" s="1027"/>
      <c r="M10" s="988"/>
      <c r="N10" s="1026"/>
      <c r="O10" s="1026"/>
      <c r="P10" s="1026"/>
      <c r="Q10" s="1041"/>
      <c r="R10" s="983">
        <f t="shared" si="0"/>
        <v>0</v>
      </c>
      <c r="S10" s="983">
        <f t="shared" si="1"/>
        <v>0</v>
      </c>
      <c r="T10" s="983">
        <f t="shared" si="2"/>
        <v>0</v>
      </c>
      <c r="U10" s="1041"/>
    </row>
    <row r="11" spans="1:21" s="153" customFormat="1" ht="12.75" hidden="1" customHeight="1" x14ac:dyDescent="0.2">
      <c r="A11" s="992"/>
      <c r="B11" s="991" t="s">
        <v>837</v>
      </c>
      <c r="C11" s="1027"/>
      <c r="D11" s="1027"/>
      <c r="E11" s="988"/>
      <c r="F11" s="1027"/>
      <c r="G11" s="1027"/>
      <c r="H11" s="1027"/>
      <c r="I11" s="988"/>
      <c r="J11" s="1027"/>
      <c r="K11" s="1027"/>
      <c r="L11" s="1027"/>
      <c r="M11" s="988"/>
      <c r="N11" s="1026"/>
      <c r="O11" s="1026"/>
      <c r="P11" s="1026"/>
      <c r="Q11" s="1041"/>
      <c r="R11" s="983">
        <f t="shared" si="0"/>
        <v>0</v>
      </c>
      <c r="S11" s="983">
        <f t="shared" si="1"/>
        <v>0</v>
      </c>
      <c r="T11" s="983">
        <f t="shared" si="2"/>
        <v>0</v>
      </c>
      <c r="U11" s="1041"/>
    </row>
    <row r="12" spans="1:21" s="977" customFormat="1" ht="30" x14ac:dyDescent="0.25">
      <c r="A12" s="1010" t="s">
        <v>70</v>
      </c>
      <c r="B12" s="1025" t="s">
        <v>232</v>
      </c>
      <c r="C12" s="1045"/>
      <c r="D12" s="1045"/>
      <c r="E12" s="1044"/>
      <c r="F12" s="1045"/>
      <c r="G12" s="1045"/>
      <c r="H12" s="1045"/>
      <c r="I12" s="1044"/>
      <c r="J12" s="1045"/>
      <c r="K12" s="1045"/>
      <c r="L12" s="1045"/>
      <c r="M12" s="1044"/>
      <c r="N12" s="1043"/>
      <c r="O12" s="1043"/>
      <c r="P12" s="1043"/>
      <c r="Q12" s="1042"/>
      <c r="R12" s="983">
        <f t="shared" si="0"/>
        <v>0</v>
      </c>
      <c r="S12" s="983">
        <f t="shared" si="1"/>
        <v>0</v>
      </c>
      <c r="T12" s="983">
        <f t="shared" si="2"/>
        <v>0</v>
      </c>
      <c r="U12" s="1042"/>
    </row>
    <row r="13" spans="1:21" s="153" customFormat="1" ht="12.75" hidden="1" customHeight="1" x14ac:dyDescent="0.2">
      <c r="A13" s="992"/>
      <c r="B13" s="991" t="s">
        <v>839</v>
      </c>
      <c r="C13" s="1027"/>
      <c r="D13" s="1027"/>
      <c r="E13" s="988"/>
      <c r="F13" s="1027"/>
      <c r="G13" s="1027"/>
      <c r="H13" s="1027"/>
      <c r="I13" s="988"/>
      <c r="J13" s="1027"/>
      <c r="K13" s="1027"/>
      <c r="L13" s="1027"/>
      <c r="M13" s="988"/>
      <c r="N13" s="1026"/>
      <c r="O13" s="1026"/>
      <c r="P13" s="1026"/>
      <c r="Q13" s="1041"/>
      <c r="R13" s="983">
        <f t="shared" si="0"/>
        <v>0</v>
      </c>
      <c r="S13" s="983">
        <f t="shared" si="1"/>
        <v>0</v>
      </c>
      <c r="T13" s="983">
        <f t="shared" si="2"/>
        <v>0</v>
      </c>
      <c r="U13" s="1041"/>
    </row>
    <row r="14" spans="1:21" s="153" customFormat="1" ht="12.75" hidden="1" customHeight="1" x14ac:dyDescent="0.2">
      <c r="A14" s="992"/>
      <c r="B14" s="991" t="s">
        <v>838</v>
      </c>
      <c r="C14" s="1027"/>
      <c r="D14" s="1027"/>
      <c r="E14" s="988"/>
      <c r="F14" s="1027"/>
      <c r="G14" s="1027"/>
      <c r="H14" s="1027"/>
      <c r="I14" s="988"/>
      <c r="J14" s="1027"/>
      <c r="K14" s="1027"/>
      <c r="L14" s="1027"/>
      <c r="M14" s="988"/>
      <c r="N14" s="1026"/>
      <c r="O14" s="1026"/>
      <c r="P14" s="1026"/>
      <c r="Q14" s="1041"/>
      <c r="R14" s="983">
        <f t="shared" si="0"/>
        <v>0</v>
      </c>
      <c r="S14" s="983">
        <f t="shared" si="1"/>
        <v>0</v>
      </c>
      <c r="T14" s="983">
        <f t="shared" si="2"/>
        <v>0</v>
      </c>
      <c r="U14" s="1041"/>
    </row>
    <row r="15" spans="1:21" s="153" customFormat="1" ht="12.75" hidden="1" customHeight="1" x14ac:dyDescent="0.2">
      <c r="A15" s="992"/>
      <c r="B15" s="991" t="s">
        <v>837</v>
      </c>
      <c r="C15" s="1027"/>
      <c r="D15" s="1027"/>
      <c r="E15" s="988"/>
      <c r="F15" s="1027"/>
      <c r="G15" s="1027"/>
      <c r="H15" s="1027"/>
      <c r="I15" s="988"/>
      <c r="J15" s="1027"/>
      <c r="K15" s="1027"/>
      <c r="L15" s="1027"/>
      <c r="M15" s="988"/>
      <c r="N15" s="1026"/>
      <c r="O15" s="1026"/>
      <c r="P15" s="1026"/>
      <c r="Q15" s="1041"/>
      <c r="R15" s="983">
        <f t="shared" si="0"/>
        <v>0</v>
      </c>
      <c r="S15" s="983">
        <f t="shared" si="1"/>
        <v>0</v>
      </c>
      <c r="T15" s="983">
        <f t="shared" si="2"/>
        <v>0</v>
      </c>
      <c r="U15" s="1041"/>
    </row>
    <row r="16" spans="1:21" s="977" customFormat="1" ht="15" x14ac:dyDescent="0.25">
      <c r="A16" s="1010" t="s">
        <v>91</v>
      </c>
      <c r="B16" s="1025" t="s">
        <v>225</v>
      </c>
      <c r="C16" s="1045"/>
      <c r="D16" s="1045"/>
      <c r="E16" s="1044"/>
      <c r="F16" s="1045"/>
      <c r="G16" s="1045"/>
      <c r="H16" s="1045"/>
      <c r="I16" s="1044"/>
      <c r="J16" s="1045"/>
      <c r="K16" s="1045"/>
      <c r="L16" s="1045"/>
      <c r="M16" s="1044"/>
      <c r="N16" s="1043"/>
      <c r="O16" s="1043"/>
      <c r="P16" s="1043"/>
      <c r="Q16" s="1042"/>
      <c r="R16" s="983">
        <f t="shared" si="0"/>
        <v>0</v>
      </c>
      <c r="S16" s="983">
        <f t="shared" si="1"/>
        <v>0</v>
      </c>
      <c r="T16" s="983">
        <f t="shared" si="2"/>
        <v>0</v>
      </c>
      <c r="U16" s="1042"/>
    </row>
    <row r="17" spans="1:21" s="153" customFormat="1" ht="12.75" hidden="1" customHeight="1" x14ac:dyDescent="0.2">
      <c r="A17" s="992"/>
      <c r="B17" s="991" t="s">
        <v>839</v>
      </c>
      <c r="C17" s="1027"/>
      <c r="D17" s="1027"/>
      <c r="E17" s="988"/>
      <c r="F17" s="1027"/>
      <c r="G17" s="1027"/>
      <c r="H17" s="1027"/>
      <c r="I17" s="988"/>
      <c r="J17" s="1027"/>
      <c r="K17" s="1027"/>
      <c r="L17" s="1027"/>
      <c r="M17" s="988"/>
      <c r="N17" s="1026"/>
      <c r="O17" s="1026"/>
      <c r="P17" s="1026"/>
      <c r="Q17" s="1041"/>
      <c r="R17" s="983">
        <f t="shared" si="0"/>
        <v>0</v>
      </c>
      <c r="S17" s="983">
        <f t="shared" si="1"/>
        <v>0</v>
      </c>
      <c r="T17" s="983">
        <f t="shared" si="2"/>
        <v>0</v>
      </c>
      <c r="U17" s="1041"/>
    </row>
    <row r="18" spans="1:21" s="153" customFormat="1" ht="12.75" hidden="1" customHeight="1" x14ac:dyDescent="0.2">
      <c r="A18" s="992"/>
      <c r="B18" s="991" t="s">
        <v>838</v>
      </c>
      <c r="C18" s="1027"/>
      <c r="D18" s="1027"/>
      <c r="E18" s="988"/>
      <c r="F18" s="1027"/>
      <c r="G18" s="1027"/>
      <c r="H18" s="1027"/>
      <c r="I18" s="988"/>
      <c r="J18" s="1027"/>
      <c r="K18" s="1027"/>
      <c r="L18" s="1027"/>
      <c r="M18" s="988"/>
      <c r="N18" s="1026"/>
      <c r="O18" s="1026"/>
      <c r="P18" s="1026"/>
      <c r="Q18" s="1041"/>
      <c r="R18" s="983">
        <f t="shared" si="0"/>
        <v>0</v>
      </c>
      <c r="S18" s="983">
        <f t="shared" si="1"/>
        <v>0</v>
      </c>
      <c r="T18" s="983">
        <f t="shared" si="2"/>
        <v>0</v>
      </c>
      <c r="U18" s="1041"/>
    </row>
    <row r="19" spans="1:21" s="153" customFormat="1" ht="12.75" hidden="1" customHeight="1" x14ac:dyDescent="0.2">
      <c r="A19" s="992"/>
      <c r="B19" s="991" t="s">
        <v>837</v>
      </c>
      <c r="C19" s="1027"/>
      <c r="D19" s="1027"/>
      <c r="E19" s="988"/>
      <c r="F19" s="1027"/>
      <c r="G19" s="1027"/>
      <c r="H19" s="1027"/>
      <c r="I19" s="988"/>
      <c r="J19" s="1027"/>
      <c r="K19" s="1027"/>
      <c r="L19" s="1027"/>
      <c r="M19" s="988"/>
      <c r="N19" s="1026"/>
      <c r="O19" s="1026"/>
      <c r="P19" s="1026"/>
      <c r="Q19" s="1041"/>
      <c r="R19" s="983">
        <f t="shared" si="0"/>
        <v>0</v>
      </c>
      <c r="S19" s="983">
        <f t="shared" si="1"/>
        <v>0</v>
      </c>
      <c r="T19" s="983">
        <f t="shared" si="2"/>
        <v>0</v>
      </c>
      <c r="U19" s="1041"/>
    </row>
    <row r="20" spans="1:21" s="977" customFormat="1" ht="15" x14ac:dyDescent="0.25">
      <c r="A20" s="1010" t="s">
        <v>66</v>
      </c>
      <c r="B20" s="1025" t="s">
        <v>187</v>
      </c>
      <c r="C20" s="1039">
        <f>SUM(C21:C23)</f>
        <v>0</v>
      </c>
      <c r="D20" s="1039">
        <f>SUM(D21:D23)</f>
        <v>0</v>
      </c>
      <c r="E20" s="1008"/>
      <c r="F20" s="1040">
        <f>SUM(F21:F23)</f>
        <v>125860</v>
      </c>
      <c r="G20" s="1040">
        <f>SUM(G21:G23)</f>
        <v>117200</v>
      </c>
      <c r="H20" s="1040">
        <f>SUM(H21:H23)</f>
        <v>117200</v>
      </c>
      <c r="I20" s="1008">
        <f>H20/G20</f>
        <v>1</v>
      </c>
      <c r="J20" s="1039">
        <f>SUM(J21:J23)</f>
        <v>37000</v>
      </c>
      <c r="K20" s="1039">
        <f>SUM(K21:K23)</f>
        <v>32000</v>
      </c>
      <c r="L20" s="1039">
        <f>SUM(L21:L23)</f>
        <v>32000</v>
      </c>
      <c r="M20" s="1008">
        <f>L20/K20</f>
        <v>1</v>
      </c>
      <c r="N20" s="983">
        <f>SUM(N21:N23)</f>
        <v>1024726</v>
      </c>
      <c r="O20" s="983">
        <f>SUM(O21:O23)</f>
        <v>960084</v>
      </c>
      <c r="P20" s="983">
        <f>SUM(P21:P23)</f>
        <v>960084</v>
      </c>
      <c r="Q20" s="1008">
        <f>P20/O20</f>
        <v>1</v>
      </c>
      <c r="R20" s="983">
        <f t="shared" si="0"/>
        <v>1187586</v>
      </c>
      <c r="S20" s="983">
        <f t="shared" si="1"/>
        <v>1109284</v>
      </c>
      <c r="T20" s="983">
        <f t="shared" si="2"/>
        <v>1109284</v>
      </c>
      <c r="U20" s="1008">
        <f>T20/S20</f>
        <v>1</v>
      </c>
    </row>
    <row r="21" spans="1:21" s="153" customFormat="1" ht="12.75" hidden="1" customHeight="1" x14ac:dyDescent="0.2">
      <c r="A21" s="992"/>
      <c r="B21" s="991" t="s">
        <v>839</v>
      </c>
      <c r="C21" s="1038"/>
      <c r="D21" s="1038"/>
      <c r="E21" s="988"/>
      <c r="F21" s="1037"/>
      <c r="G21" s="1037"/>
      <c r="H21" s="1037"/>
      <c r="I21" s="988" t="e">
        <f>H21/G21</f>
        <v>#DIV/0!</v>
      </c>
      <c r="J21" s="1027"/>
      <c r="K21" s="1027"/>
      <c r="L21" s="1027"/>
      <c r="M21" s="988" t="e">
        <f>L21/K21</f>
        <v>#DIV/0!</v>
      </c>
      <c r="N21" s="1026"/>
      <c r="O21" s="1026"/>
      <c r="P21" s="1026"/>
      <c r="Q21" s="988" t="e">
        <f>P21/O21</f>
        <v>#DIV/0!</v>
      </c>
      <c r="R21" s="983">
        <f t="shared" si="0"/>
        <v>0</v>
      </c>
      <c r="S21" s="983">
        <f t="shared" si="1"/>
        <v>0</v>
      </c>
      <c r="T21" s="983">
        <f t="shared" si="2"/>
        <v>0</v>
      </c>
      <c r="U21" s="988" t="e">
        <f>T21/S21</f>
        <v>#DIV/0!</v>
      </c>
    </row>
    <row r="22" spans="1:21" s="153" customFormat="1" ht="12.75" hidden="1" customHeight="1" x14ac:dyDescent="0.2">
      <c r="A22" s="992"/>
      <c r="B22" s="991" t="s">
        <v>838</v>
      </c>
      <c r="C22" s="1036"/>
      <c r="D22" s="1036"/>
      <c r="E22" s="1007"/>
      <c r="F22" s="1033">
        <v>125860</v>
      </c>
      <c r="G22" s="1033">
        <v>117200</v>
      </c>
      <c r="H22" s="1033">
        <v>117200</v>
      </c>
      <c r="I22" s="1007">
        <f>H22/G22</f>
        <v>1</v>
      </c>
      <c r="J22" s="1036">
        <v>37000</v>
      </c>
      <c r="K22" s="1036">
        <v>32000</v>
      </c>
      <c r="L22" s="1036">
        <v>32000</v>
      </c>
      <c r="M22" s="1007">
        <f>L22/K22</f>
        <v>1</v>
      </c>
      <c r="N22" s="1002">
        <v>1024726</v>
      </c>
      <c r="O22" s="1002">
        <v>960084</v>
      </c>
      <c r="P22" s="1002">
        <v>960084</v>
      </c>
      <c r="Q22" s="1007">
        <f>P22/O22</f>
        <v>1</v>
      </c>
      <c r="R22" s="1002">
        <f t="shared" si="0"/>
        <v>1187586</v>
      </c>
      <c r="S22" s="1002">
        <f t="shared" si="1"/>
        <v>1109284</v>
      </c>
      <c r="T22" s="1002">
        <f t="shared" si="2"/>
        <v>1109284</v>
      </c>
      <c r="U22" s="1007">
        <f>T22/S22</f>
        <v>1</v>
      </c>
    </row>
    <row r="23" spans="1:21" s="153" customFormat="1" ht="12.75" hidden="1" customHeight="1" x14ac:dyDescent="0.2">
      <c r="A23" s="992"/>
      <c r="B23" s="991" t="s">
        <v>837</v>
      </c>
      <c r="C23" s="1027"/>
      <c r="D23" s="1027"/>
      <c r="E23" s="988"/>
      <c r="F23" s="1027"/>
      <c r="G23" s="1027"/>
      <c r="H23" s="1027"/>
      <c r="I23" s="988" t="e">
        <f>H23/G23</f>
        <v>#DIV/0!</v>
      </c>
      <c r="J23" s="1027"/>
      <c r="K23" s="1027"/>
      <c r="L23" s="1027"/>
      <c r="M23" s="988" t="e">
        <f>L23/K23</f>
        <v>#DIV/0!</v>
      </c>
      <c r="N23" s="1026"/>
      <c r="O23" s="1026"/>
      <c r="P23" s="1026"/>
      <c r="Q23" s="988" t="e">
        <f>P23/O23</f>
        <v>#DIV/0!</v>
      </c>
      <c r="R23" s="983">
        <f t="shared" si="0"/>
        <v>0</v>
      </c>
      <c r="S23" s="983">
        <f t="shared" si="1"/>
        <v>0</v>
      </c>
      <c r="T23" s="983">
        <f t="shared" si="2"/>
        <v>0</v>
      </c>
      <c r="U23" s="988" t="e">
        <f>T23/S23</f>
        <v>#DIV/0!</v>
      </c>
    </row>
    <row r="24" spans="1:21" s="977" customFormat="1" ht="15" x14ac:dyDescent="0.25">
      <c r="A24" s="1010" t="s">
        <v>200</v>
      </c>
      <c r="B24" s="1025" t="s">
        <v>152</v>
      </c>
      <c r="C24" s="1029"/>
      <c r="D24" s="1029"/>
      <c r="E24" s="1008"/>
      <c r="F24" s="1029"/>
      <c r="G24" s="1029"/>
      <c r="H24" s="1029"/>
      <c r="I24" s="1008"/>
      <c r="J24" s="1029"/>
      <c r="K24" s="1029"/>
      <c r="L24" s="1029"/>
      <c r="M24" s="1008"/>
      <c r="N24" s="1028"/>
      <c r="O24" s="1028"/>
      <c r="P24" s="1028"/>
      <c r="Q24" s="1008"/>
      <c r="R24" s="983">
        <f t="shared" si="0"/>
        <v>0</v>
      </c>
      <c r="S24" s="983">
        <f t="shared" si="1"/>
        <v>0</v>
      </c>
      <c r="T24" s="983">
        <f t="shared" si="2"/>
        <v>0</v>
      </c>
      <c r="U24" s="1008"/>
    </row>
    <row r="25" spans="1:21" s="153" customFormat="1" ht="12.75" hidden="1" customHeight="1" x14ac:dyDescent="0.2">
      <c r="A25" s="992"/>
      <c r="B25" s="991" t="s">
        <v>839</v>
      </c>
      <c r="C25" s="1027"/>
      <c r="D25" s="1027"/>
      <c r="E25" s="988"/>
      <c r="F25" s="1027"/>
      <c r="G25" s="1027"/>
      <c r="H25" s="1027"/>
      <c r="I25" s="988"/>
      <c r="J25" s="1027"/>
      <c r="K25" s="1027"/>
      <c r="L25" s="1027"/>
      <c r="M25" s="988"/>
      <c r="N25" s="1026"/>
      <c r="O25" s="1026"/>
      <c r="P25" s="1026"/>
      <c r="Q25" s="988"/>
      <c r="R25" s="983">
        <f t="shared" si="0"/>
        <v>0</v>
      </c>
      <c r="S25" s="983">
        <f t="shared" si="1"/>
        <v>0</v>
      </c>
      <c r="T25" s="983">
        <f t="shared" si="2"/>
        <v>0</v>
      </c>
      <c r="U25" s="988"/>
    </row>
    <row r="26" spans="1:21" s="153" customFormat="1" ht="12.75" hidden="1" customHeight="1" x14ac:dyDescent="0.2">
      <c r="A26" s="992"/>
      <c r="B26" s="991" t="s">
        <v>838</v>
      </c>
      <c r="C26" s="1027"/>
      <c r="D26" s="1027"/>
      <c r="E26" s="988"/>
      <c r="F26" s="1027"/>
      <c r="G26" s="1027"/>
      <c r="H26" s="1027"/>
      <c r="I26" s="988"/>
      <c r="J26" s="1027"/>
      <c r="K26" s="1027"/>
      <c r="L26" s="1027"/>
      <c r="M26" s="988"/>
      <c r="N26" s="1026"/>
      <c r="O26" s="1026"/>
      <c r="P26" s="1026"/>
      <c r="Q26" s="988"/>
      <c r="R26" s="983">
        <f t="shared" si="0"/>
        <v>0</v>
      </c>
      <c r="S26" s="983">
        <f t="shared" si="1"/>
        <v>0</v>
      </c>
      <c r="T26" s="983">
        <f t="shared" si="2"/>
        <v>0</v>
      </c>
      <c r="U26" s="988"/>
    </row>
    <row r="27" spans="1:21" s="153" customFormat="1" ht="12.75" hidden="1" customHeight="1" x14ac:dyDescent="0.2">
      <c r="A27" s="992"/>
      <c r="B27" s="991" t="s">
        <v>837</v>
      </c>
      <c r="C27" s="1027"/>
      <c r="D27" s="1027"/>
      <c r="E27" s="988"/>
      <c r="F27" s="1027"/>
      <c r="G27" s="1027"/>
      <c r="H27" s="1027"/>
      <c r="I27" s="988"/>
      <c r="J27" s="1027"/>
      <c r="K27" s="1027"/>
      <c r="L27" s="1027"/>
      <c r="M27" s="988"/>
      <c r="N27" s="1026"/>
      <c r="O27" s="1026"/>
      <c r="P27" s="1026"/>
      <c r="Q27" s="988"/>
      <c r="R27" s="983">
        <f t="shared" si="0"/>
        <v>0</v>
      </c>
      <c r="S27" s="983">
        <f t="shared" si="1"/>
        <v>0</v>
      </c>
      <c r="T27" s="983">
        <f t="shared" si="2"/>
        <v>0</v>
      </c>
      <c r="U27" s="988"/>
    </row>
    <row r="28" spans="1:21" s="977" customFormat="1" ht="15" x14ac:dyDescent="0.25">
      <c r="A28" s="1010" t="s">
        <v>420</v>
      </c>
      <c r="B28" s="1025" t="s">
        <v>137</v>
      </c>
      <c r="C28" s="1023"/>
      <c r="D28" s="1023"/>
      <c r="E28" s="1008"/>
      <c r="F28" s="1035"/>
      <c r="G28" s="1035"/>
      <c r="H28" s="1035"/>
      <c r="I28" s="1008"/>
      <c r="J28" s="1023"/>
      <c r="K28" s="1023"/>
      <c r="L28" s="1023"/>
      <c r="M28" s="1008"/>
      <c r="N28" s="1028"/>
      <c r="O28" s="1028"/>
      <c r="P28" s="1028"/>
      <c r="Q28" s="1008"/>
      <c r="R28" s="983">
        <f t="shared" si="0"/>
        <v>0</v>
      </c>
      <c r="S28" s="983">
        <f t="shared" si="1"/>
        <v>0</v>
      </c>
      <c r="T28" s="983">
        <f t="shared" si="2"/>
        <v>0</v>
      </c>
      <c r="U28" s="1008"/>
    </row>
    <row r="29" spans="1:21" s="153" customFormat="1" ht="12.75" hidden="1" customHeight="1" x14ac:dyDescent="0.2">
      <c r="A29" s="992"/>
      <c r="B29" s="991" t="s">
        <v>839</v>
      </c>
      <c r="C29" s="1027"/>
      <c r="D29" s="1027"/>
      <c r="E29" s="988"/>
      <c r="F29" s="1027"/>
      <c r="G29" s="1027"/>
      <c r="H29" s="1027"/>
      <c r="I29" s="988"/>
      <c r="J29" s="1027"/>
      <c r="K29" s="1027"/>
      <c r="L29" s="1027"/>
      <c r="M29" s="988"/>
      <c r="N29" s="1026"/>
      <c r="O29" s="1026"/>
      <c r="P29" s="1026"/>
      <c r="Q29" s="988"/>
      <c r="R29" s="983">
        <f t="shared" si="0"/>
        <v>0</v>
      </c>
      <c r="S29" s="983">
        <f t="shared" si="1"/>
        <v>0</v>
      </c>
      <c r="T29" s="983">
        <f t="shared" si="2"/>
        <v>0</v>
      </c>
      <c r="U29" s="988"/>
    </row>
    <row r="30" spans="1:21" s="153" customFormat="1" ht="12.75" hidden="1" customHeight="1" x14ac:dyDescent="0.2">
      <c r="A30" s="992"/>
      <c r="B30" s="991" t="s">
        <v>838</v>
      </c>
      <c r="C30" s="1034"/>
      <c r="D30" s="1034"/>
      <c r="E30" s="988"/>
      <c r="F30" s="1033"/>
      <c r="G30" s="1033"/>
      <c r="H30" s="1033"/>
      <c r="I30" s="1030"/>
      <c r="J30" s="1032"/>
      <c r="K30" s="1032"/>
      <c r="L30" s="1032"/>
      <c r="M30" s="1030"/>
      <c r="N30" s="1031"/>
      <c r="O30" s="1031"/>
      <c r="P30" s="1031"/>
      <c r="Q30" s="1030"/>
      <c r="R30" s="983">
        <f t="shared" si="0"/>
        <v>0</v>
      </c>
      <c r="S30" s="983">
        <f t="shared" si="1"/>
        <v>0</v>
      </c>
      <c r="T30" s="983">
        <f t="shared" si="2"/>
        <v>0</v>
      </c>
      <c r="U30" s="1030"/>
    </row>
    <row r="31" spans="1:21" s="153" customFormat="1" ht="12.75" hidden="1" customHeight="1" x14ac:dyDescent="0.2">
      <c r="A31" s="992"/>
      <c r="B31" s="991" t="s">
        <v>837</v>
      </c>
      <c r="C31" s="1027"/>
      <c r="D31" s="1027"/>
      <c r="E31" s="988"/>
      <c r="F31" s="1027"/>
      <c r="G31" s="1027"/>
      <c r="H31" s="1027"/>
      <c r="I31" s="988"/>
      <c r="J31" s="1027"/>
      <c r="K31" s="1027"/>
      <c r="L31" s="1027"/>
      <c r="M31" s="988"/>
      <c r="N31" s="1026"/>
      <c r="O31" s="1026"/>
      <c r="P31" s="1026"/>
      <c r="Q31" s="988"/>
      <c r="R31" s="983">
        <f t="shared" si="0"/>
        <v>0</v>
      </c>
      <c r="S31" s="983">
        <f t="shared" si="1"/>
        <v>0</v>
      </c>
      <c r="T31" s="983">
        <f t="shared" si="2"/>
        <v>0</v>
      </c>
      <c r="U31" s="988"/>
    </row>
    <row r="32" spans="1:21" s="977" customFormat="1" ht="30" x14ac:dyDescent="0.25">
      <c r="A32" s="1010" t="s">
        <v>419</v>
      </c>
      <c r="B32" s="1025" t="s">
        <v>130</v>
      </c>
      <c r="C32" s="1029"/>
      <c r="D32" s="1029"/>
      <c r="E32" s="1008"/>
      <c r="F32" s="1029"/>
      <c r="G32" s="1029"/>
      <c r="H32" s="1029"/>
      <c r="I32" s="1008"/>
      <c r="J32" s="1029"/>
      <c r="K32" s="1029"/>
      <c r="L32" s="1029"/>
      <c r="M32" s="1008"/>
      <c r="N32" s="1028"/>
      <c r="O32" s="1028"/>
      <c r="P32" s="1028"/>
      <c r="Q32" s="1008"/>
      <c r="R32" s="983">
        <f t="shared" si="0"/>
        <v>0</v>
      </c>
      <c r="S32" s="983">
        <f t="shared" si="1"/>
        <v>0</v>
      </c>
      <c r="T32" s="983">
        <f t="shared" si="2"/>
        <v>0</v>
      </c>
      <c r="U32" s="1008"/>
    </row>
    <row r="33" spans="1:23" s="153" customFormat="1" ht="12.75" hidden="1" customHeight="1" x14ac:dyDescent="0.2">
      <c r="A33" s="992"/>
      <c r="B33" s="991" t="s">
        <v>839</v>
      </c>
      <c r="C33" s="1027"/>
      <c r="D33" s="1027"/>
      <c r="E33" s="988"/>
      <c r="F33" s="1027"/>
      <c r="G33" s="1027"/>
      <c r="H33" s="1027"/>
      <c r="I33" s="988" t="e">
        <f t="shared" ref="I33:I40" si="3">H33/G33</f>
        <v>#DIV/0!</v>
      </c>
      <c r="J33" s="1027"/>
      <c r="K33" s="1027"/>
      <c r="L33" s="1027"/>
      <c r="M33" s="988" t="e">
        <f t="shared" ref="M33:M40" si="4">L33/K33</f>
        <v>#DIV/0!</v>
      </c>
      <c r="N33" s="1026"/>
      <c r="O33" s="1026"/>
      <c r="P33" s="1026"/>
      <c r="Q33" s="988" t="e">
        <f t="shared" ref="Q33:Q40" si="5">P33/O33</f>
        <v>#DIV/0!</v>
      </c>
      <c r="R33" s="983">
        <f t="shared" si="0"/>
        <v>0</v>
      </c>
      <c r="S33" s="983">
        <f t="shared" si="1"/>
        <v>0</v>
      </c>
      <c r="T33" s="983">
        <f t="shared" si="2"/>
        <v>0</v>
      </c>
      <c r="U33" s="988" t="e">
        <f t="shared" ref="U33:U40" si="6">T33/S33</f>
        <v>#DIV/0!</v>
      </c>
    </row>
    <row r="34" spans="1:23" s="153" customFormat="1" ht="12.75" hidden="1" customHeight="1" x14ac:dyDescent="0.2">
      <c r="A34" s="992"/>
      <c r="B34" s="991" t="s">
        <v>838</v>
      </c>
      <c r="C34" s="1027"/>
      <c r="D34" s="1027"/>
      <c r="E34" s="988"/>
      <c r="F34" s="1027"/>
      <c r="G34" s="1027"/>
      <c r="H34" s="1027"/>
      <c r="I34" s="988" t="e">
        <f t="shared" si="3"/>
        <v>#DIV/0!</v>
      </c>
      <c r="J34" s="1027"/>
      <c r="K34" s="1027"/>
      <c r="L34" s="1027"/>
      <c r="M34" s="988" t="e">
        <f t="shared" si="4"/>
        <v>#DIV/0!</v>
      </c>
      <c r="N34" s="1026"/>
      <c r="O34" s="1026"/>
      <c r="P34" s="1026"/>
      <c r="Q34" s="988" t="e">
        <f t="shared" si="5"/>
        <v>#DIV/0!</v>
      </c>
      <c r="R34" s="983">
        <f t="shared" si="0"/>
        <v>0</v>
      </c>
      <c r="S34" s="983">
        <f t="shared" si="1"/>
        <v>0</v>
      </c>
      <c r="T34" s="983">
        <f t="shared" si="2"/>
        <v>0</v>
      </c>
      <c r="U34" s="988" t="e">
        <f t="shared" si="6"/>
        <v>#DIV/0!</v>
      </c>
    </row>
    <row r="35" spans="1:23" s="153" customFormat="1" ht="12.75" hidden="1" customHeight="1" x14ac:dyDescent="0.2">
      <c r="A35" s="992"/>
      <c r="B35" s="991" t="s">
        <v>837</v>
      </c>
      <c r="C35" s="1027"/>
      <c r="D35" s="1027"/>
      <c r="E35" s="988"/>
      <c r="F35" s="1027"/>
      <c r="G35" s="1027"/>
      <c r="H35" s="1027"/>
      <c r="I35" s="988" t="e">
        <f t="shared" si="3"/>
        <v>#DIV/0!</v>
      </c>
      <c r="J35" s="1027"/>
      <c r="K35" s="1027"/>
      <c r="L35" s="1027"/>
      <c r="M35" s="988" t="e">
        <f t="shared" si="4"/>
        <v>#DIV/0!</v>
      </c>
      <c r="N35" s="1026"/>
      <c r="O35" s="1026"/>
      <c r="P35" s="1026"/>
      <c r="Q35" s="988" t="e">
        <f t="shared" si="5"/>
        <v>#DIV/0!</v>
      </c>
      <c r="R35" s="983">
        <f t="shared" si="0"/>
        <v>0</v>
      </c>
      <c r="S35" s="983">
        <f t="shared" si="1"/>
        <v>0</v>
      </c>
      <c r="T35" s="983">
        <f t="shared" si="2"/>
        <v>0</v>
      </c>
      <c r="U35" s="988" t="e">
        <f t="shared" si="6"/>
        <v>#DIV/0!</v>
      </c>
    </row>
    <row r="36" spans="1:23" s="977" customFormat="1" ht="15.75" thickBot="1" x14ac:dyDescent="0.3">
      <c r="A36" s="1010" t="s">
        <v>418</v>
      </c>
      <c r="B36" s="1025" t="s">
        <v>423</v>
      </c>
      <c r="C36" s="1024">
        <f>C37+C38+C39</f>
        <v>0</v>
      </c>
      <c r="D36" s="1024">
        <f>D37+D38+D39</f>
        <v>0</v>
      </c>
      <c r="E36" s="1008"/>
      <c r="F36" s="1023">
        <f>SUM(F37:F39)</f>
        <v>93258</v>
      </c>
      <c r="G36" s="1023">
        <f>SUM(G37:G39)</f>
        <v>159428</v>
      </c>
      <c r="H36" s="1023">
        <f>SUM(H37:H39)</f>
        <v>159428</v>
      </c>
      <c r="I36" s="1008">
        <f t="shared" si="3"/>
        <v>1</v>
      </c>
      <c r="J36" s="1023">
        <f>SUM(J37:J39)</f>
        <v>83418</v>
      </c>
      <c r="K36" s="1023">
        <f>SUM(K37:K39)</f>
        <v>84524</v>
      </c>
      <c r="L36" s="1023">
        <f>SUM(L37:L39)</f>
        <v>84524</v>
      </c>
      <c r="M36" s="1008">
        <f t="shared" si="4"/>
        <v>1</v>
      </c>
      <c r="N36" s="1022">
        <f>SUM(N37:N39)</f>
        <v>2620625</v>
      </c>
      <c r="O36" s="1022">
        <f>SUM(O37:O39)</f>
        <v>3123733</v>
      </c>
      <c r="P36" s="1022">
        <f>SUM(P37:P39)</f>
        <v>3123733</v>
      </c>
      <c r="Q36" s="1008">
        <f t="shared" si="5"/>
        <v>1</v>
      </c>
      <c r="R36" s="983">
        <f t="shared" si="0"/>
        <v>2797301</v>
      </c>
      <c r="S36" s="983">
        <f t="shared" si="1"/>
        <v>3367685</v>
      </c>
      <c r="T36" s="983">
        <f t="shared" si="2"/>
        <v>3367685</v>
      </c>
      <c r="U36" s="1008">
        <f t="shared" si="6"/>
        <v>1</v>
      </c>
    </row>
    <row r="37" spans="1:23" s="153" customFormat="1" ht="12.75" hidden="1" customHeight="1" x14ac:dyDescent="0.2">
      <c r="A37" s="992"/>
      <c r="B37" s="991" t="s">
        <v>839</v>
      </c>
      <c r="C37" s="1021"/>
      <c r="D37" s="1021"/>
      <c r="E37" s="988"/>
      <c r="F37" s="990"/>
      <c r="G37" s="990"/>
      <c r="H37" s="990"/>
      <c r="I37" s="988" t="e">
        <f t="shared" si="3"/>
        <v>#DIV/0!</v>
      </c>
      <c r="J37" s="990"/>
      <c r="K37" s="990"/>
      <c r="L37" s="990"/>
      <c r="M37" s="988" t="e">
        <f t="shared" si="4"/>
        <v>#DIV/0!</v>
      </c>
      <c r="N37" s="989"/>
      <c r="O37" s="989"/>
      <c r="P37" s="989"/>
      <c r="Q37" s="988" t="e">
        <f t="shared" si="5"/>
        <v>#DIV/0!</v>
      </c>
      <c r="R37" s="983">
        <f t="shared" si="0"/>
        <v>0</v>
      </c>
      <c r="S37" s="983">
        <f t="shared" si="1"/>
        <v>0</v>
      </c>
      <c r="T37" s="983">
        <f t="shared" si="2"/>
        <v>0</v>
      </c>
      <c r="U37" s="988" t="e">
        <f t="shared" si="6"/>
        <v>#DIV/0!</v>
      </c>
    </row>
    <row r="38" spans="1:23" s="153" customFormat="1" ht="12.75" hidden="1" customHeight="1" x14ac:dyDescent="0.2">
      <c r="A38" s="992"/>
      <c r="B38" s="991" t="s">
        <v>838</v>
      </c>
      <c r="C38" s="1021">
        <f>C82-C8-C12-C16-C20-C24-C28-C32-C39</f>
        <v>0</v>
      </c>
      <c r="D38" s="1021">
        <f>D82-D8-D12-D16-D20-D24-D28-D32-D39</f>
        <v>0</v>
      </c>
      <c r="E38" s="988"/>
      <c r="F38" s="1021">
        <f>F82-F8-F12-F16-F20-F24-F28-F32-F39</f>
        <v>93258</v>
      </c>
      <c r="G38" s="1021">
        <f>G82-G8-G12-G16-G20-G24-G28-G32-G39</f>
        <v>159428</v>
      </c>
      <c r="H38" s="1021">
        <f>H82-H8-H12-H16-H20-H24-H28-H32-H39</f>
        <v>159428</v>
      </c>
      <c r="I38" s="1007">
        <f t="shared" si="3"/>
        <v>1</v>
      </c>
      <c r="J38" s="1021">
        <f>J82-J8-J12-J16-J20-J24-J28-J32</f>
        <v>83418</v>
      </c>
      <c r="K38" s="1021">
        <f>K82-K8-K12-K16-K20-K24-K28-K32</f>
        <v>84524</v>
      </c>
      <c r="L38" s="1021">
        <f>L82-L8-L12-L16-L20-L24-L28-L32</f>
        <v>84524</v>
      </c>
      <c r="M38" s="1007">
        <f t="shared" si="4"/>
        <v>1</v>
      </c>
      <c r="N38" s="1021">
        <f>N82-N8-N12-N16-N20-N24-N28-N32-N39</f>
        <v>2620625</v>
      </c>
      <c r="O38" s="1021">
        <f>O82-O8-O12-O16-O20-O24-O28-O32-O39</f>
        <v>3123733</v>
      </c>
      <c r="P38" s="1021">
        <f>P82-P8-P12-P16-P20-P24-P28-P32-P39</f>
        <v>3123733</v>
      </c>
      <c r="Q38" s="1007">
        <f t="shared" si="5"/>
        <v>1</v>
      </c>
      <c r="R38" s="1002">
        <f t="shared" si="0"/>
        <v>2797301</v>
      </c>
      <c r="S38" s="1002">
        <f t="shared" si="1"/>
        <v>3367685</v>
      </c>
      <c r="T38" s="1002">
        <f t="shared" si="2"/>
        <v>3367685</v>
      </c>
      <c r="U38" s="1007">
        <f t="shared" si="6"/>
        <v>1</v>
      </c>
      <c r="W38" s="1020"/>
    </row>
    <row r="39" spans="1:23" s="153" customFormat="1" ht="13.5" hidden="1" customHeight="1" thickBot="1" x14ac:dyDescent="0.25">
      <c r="A39" s="992"/>
      <c r="B39" s="991" t="s">
        <v>837</v>
      </c>
      <c r="C39" s="990"/>
      <c r="D39" s="990"/>
      <c r="E39" s="988"/>
      <c r="F39" s="990"/>
      <c r="G39" s="990"/>
      <c r="H39" s="990"/>
      <c r="I39" s="988" t="e">
        <f t="shared" si="3"/>
        <v>#DIV/0!</v>
      </c>
      <c r="J39" s="990"/>
      <c r="K39" s="990"/>
      <c r="L39" s="990"/>
      <c r="M39" s="988" t="e">
        <f t="shared" si="4"/>
        <v>#DIV/0!</v>
      </c>
      <c r="N39" s="989"/>
      <c r="O39" s="989"/>
      <c r="P39" s="989"/>
      <c r="Q39" s="988" t="e">
        <f t="shared" si="5"/>
        <v>#DIV/0!</v>
      </c>
      <c r="R39" s="983">
        <f t="shared" si="0"/>
        <v>0</v>
      </c>
      <c r="S39" s="1002">
        <f t="shared" si="1"/>
        <v>0</v>
      </c>
      <c r="T39" s="1002">
        <f t="shared" si="2"/>
        <v>0</v>
      </c>
      <c r="U39" s="988" t="e">
        <f t="shared" si="6"/>
        <v>#DIV/0!</v>
      </c>
    </row>
    <row r="40" spans="1:23" s="977" customFormat="1" ht="15.75" customHeight="1" thickTop="1" thickBot="1" x14ac:dyDescent="0.3">
      <c r="A40" s="1019"/>
      <c r="B40" s="1018" t="s">
        <v>422</v>
      </c>
      <c r="C40" s="1017">
        <f>C8+C12+C16+C20+C24+C28+C32+C36</f>
        <v>0</v>
      </c>
      <c r="D40" s="1017">
        <f>D8+D12+D16+D20+D24+D28+D32+D36</f>
        <v>0</v>
      </c>
      <c r="E40" s="1016"/>
      <c r="F40" s="1017">
        <f>F8+F12+F16+F20+F24+F28+F32+F36</f>
        <v>219118</v>
      </c>
      <c r="G40" s="1017">
        <f>G8+G12+G16+G20+G24+G28+G32+G36</f>
        <v>276628</v>
      </c>
      <c r="H40" s="1017">
        <f>H8+H12+H16+H20+H24+H28+H32+H36</f>
        <v>276628</v>
      </c>
      <c r="I40" s="1016">
        <f t="shared" si="3"/>
        <v>1</v>
      </c>
      <c r="J40" s="1017">
        <f>J8+J12+J16+J20+J24+J28+J32+J36</f>
        <v>120418</v>
      </c>
      <c r="K40" s="1017">
        <f>K8+K12+K16+K20+K24+K28+K32+K36</f>
        <v>116524</v>
      </c>
      <c r="L40" s="1017">
        <f>L8+L12+L16+L20+L24+L28+L32+L36</f>
        <v>116524</v>
      </c>
      <c r="M40" s="1016">
        <f t="shared" si="4"/>
        <v>1</v>
      </c>
      <c r="N40" s="1017">
        <f>N8+N12+N16+N20+N24+N28+N32+N36</f>
        <v>3645351</v>
      </c>
      <c r="O40" s="1017">
        <f>O8+O12+O16+O20+O24+O28+O32+O36</f>
        <v>4083817</v>
      </c>
      <c r="P40" s="1017">
        <f>P8+P12+P16+P20+P24+P28+P32+P36</f>
        <v>4083817</v>
      </c>
      <c r="Q40" s="1016">
        <f t="shared" si="5"/>
        <v>1</v>
      </c>
      <c r="R40" s="1017">
        <f t="shared" ref="R40:R71" si="7">C40+F40+J40+N40</f>
        <v>3984887</v>
      </c>
      <c r="S40" s="1017">
        <f t="shared" ref="S40:S71" si="8">C40+G40+K40+O40</f>
        <v>4476969</v>
      </c>
      <c r="T40" s="1017">
        <f t="shared" ref="T40:T71" si="9">D40+H40+L40+P40</f>
        <v>4476969</v>
      </c>
      <c r="U40" s="1016">
        <f t="shared" si="6"/>
        <v>1</v>
      </c>
    </row>
    <row r="41" spans="1:23" s="183" customFormat="1" ht="14.25" customHeight="1" x14ac:dyDescent="0.2">
      <c r="A41" s="1015" t="s">
        <v>119</v>
      </c>
      <c r="B41" s="1014" t="s">
        <v>421</v>
      </c>
      <c r="C41" s="1013"/>
      <c r="D41" s="1013"/>
      <c r="E41" s="1011"/>
      <c r="F41" s="1013"/>
      <c r="G41" s="1013"/>
      <c r="H41" s="1013"/>
      <c r="I41" s="1011"/>
      <c r="J41" s="1013"/>
      <c r="K41" s="1013"/>
      <c r="L41" s="1013"/>
      <c r="M41" s="1011"/>
      <c r="N41" s="1012"/>
      <c r="O41" s="1012"/>
      <c r="P41" s="1012"/>
      <c r="Q41" s="1011"/>
      <c r="R41" s="983">
        <f t="shared" si="7"/>
        <v>0</v>
      </c>
      <c r="S41" s="983">
        <f t="shared" si="8"/>
        <v>0</v>
      </c>
      <c r="T41" s="983">
        <f t="shared" si="9"/>
        <v>0</v>
      </c>
      <c r="U41" s="1011"/>
    </row>
    <row r="42" spans="1:23" s="977" customFormat="1" ht="15" x14ac:dyDescent="0.25">
      <c r="A42" s="1010" t="s">
        <v>72</v>
      </c>
      <c r="B42" s="1000" t="s">
        <v>59</v>
      </c>
      <c r="C42" s="1009"/>
      <c r="D42" s="1009"/>
      <c r="E42" s="994"/>
      <c r="F42" s="995"/>
      <c r="G42" s="995"/>
      <c r="H42" s="995"/>
      <c r="I42" s="994"/>
      <c r="J42" s="995"/>
      <c r="K42" s="995"/>
      <c r="L42" s="995"/>
      <c r="M42" s="994"/>
      <c r="N42" s="983">
        <f>SUM(N43:N45)</f>
        <v>594363</v>
      </c>
      <c r="O42" s="983">
        <f>SUM(O43:O45)</f>
        <v>544026</v>
      </c>
      <c r="P42" s="983">
        <f>SUM(P43:P45)</f>
        <v>544026</v>
      </c>
      <c r="Q42" s="994">
        <f t="shared" ref="Q42:Q53" si="10">P42/O42</f>
        <v>1</v>
      </c>
      <c r="R42" s="983">
        <f t="shared" si="7"/>
        <v>594363</v>
      </c>
      <c r="S42" s="983">
        <f t="shared" si="8"/>
        <v>544026</v>
      </c>
      <c r="T42" s="983">
        <f t="shared" si="9"/>
        <v>544026</v>
      </c>
      <c r="U42" s="994">
        <f t="shared" ref="U42:U57" si="11">T42/S42</f>
        <v>1</v>
      </c>
    </row>
    <row r="43" spans="1:23" s="153" customFormat="1" ht="12.75" hidden="1" customHeight="1" x14ac:dyDescent="0.2">
      <c r="A43" s="992"/>
      <c r="B43" s="991" t="s">
        <v>839</v>
      </c>
      <c r="C43" s="990"/>
      <c r="D43" s="990"/>
      <c r="E43" s="988"/>
      <c r="F43" s="990"/>
      <c r="G43" s="990"/>
      <c r="H43" s="990"/>
      <c r="I43" s="988"/>
      <c r="J43" s="990"/>
      <c r="K43" s="990"/>
      <c r="L43" s="990"/>
      <c r="M43" s="988"/>
      <c r="N43" s="989"/>
      <c r="O43" s="989"/>
      <c r="P43" s="989"/>
      <c r="Q43" s="988" t="e">
        <f t="shared" si="10"/>
        <v>#DIV/0!</v>
      </c>
      <c r="R43" s="983">
        <f t="shared" si="7"/>
        <v>0</v>
      </c>
      <c r="S43" s="983">
        <f t="shared" si="8"/>
        <v>0</v>
      </c>
      <c r="T43" s="983">
        <f t="shared" si="9"/>
        <v>0</v>
      </c>
      <c r="U43" s="988" t="e">
        <f t="shared" si="11"/>
        <v>#DIV/0!</v>
      </c>
    </row>
    <row r="44" spans="1:23" s="153" customFormat="1" ht="12.75" hidden="1" customHeight="1" x14ac:dyDescent="0.2">
      <c r="A44" s="992"/>
      <c r="B44" s="991" t="s">
        <v>838</v>
      </c>
      <c r="C44" s="990"/>
      <c r="D44" s="990"/>
      <c r="E44" s="988"/>
      <c r="F44" s="990"/>
      <c r="G44" s="990"/>
      <c r="H44" s="990"/>
      <c r="I44" s="988"/>
      <c r="J44" s="990"/>
      <c r="K44" s="990"/>
      <c r="L44" s="990"/>
      <c r="M44" s="988"/>
      <c r="N44" s="989">
        <v>594363</v>
      </c>
      <c r="O44" s="989">
        <v>544026</v>
      </c>
      <c r="P44" s="989">
        <v>544026</v>
      </c>
      <c r="Q44" s="988">
        <f t="shared" si="10"/>
        <v>1</v>
      </c>
      <c r="R44" s="1002">
        <f t="shared" si="7"/>
        <v>594363</v>
      </c>
      <c r="S44" s="1002">
        <f t="shared" si="8"/>
        <v>544026</v>
      </c>
      <c r="T44" s="1002">
        <f t="shared" si="9"/>
        <v>544026</v>
      </c>
      <c r="U44" s="988">
        <f t="shared" si="11"/>
        <v>1</v>
      </c>
    </row>
    <row r="45" spans="1:23" s="153" customFormat="1" ht="12.75" hidden="1" customHeight="1" x14ac:dyDescent="0.2">
      <c r="A45" s="992"/>
      <c r="B45" s="991" t="s">
        <v>837</v>
      </c>
      <c r="C45" s="990"/>
      <c r="D45" s="990"/>
      <c r="E45" s="988"/>
      <c r="F45" s="990"/>
      <c r="G45" s="990"/>
      <c r="H45" s="990"/>
      <c r="I45" s="988"/>
      <c r="J45" s="990"/>
      <c r="K45" s="990"/>
      <c r="L45" s="990"/>
      <c r="M45" s="988"/>
      <c r="N45" s="989"/>
      <c r="O45" s="989"/>
      <c r="P45" s="989"/>
      <c r="Q45" s="988" t="e">
        <f t="shared" si="10"/>
        <v>#DIV/0!</v>
      </c>
      <c r="R45" s="983">
        <f t="shared" si="7"/>
        <v>0</v>
      </c>
      <c r="S45" s="983">
        <f t="shared" si="8"/>
        <v>0</v>
      </c>
      <c r="T45" s="983">
        <f t="shared" si="9"/>
        <v>0</v>
      </c>
      <c r="U45" s="988" t="e">
        <f t="shared" si="11"/>
        <v>#DIV/0!</v>
      </c>
    </row>
    <row r="46" spans="1:23" s="977" customFormat="1" ht="30" x14ac:dyDescent="0.25">
      <c r="A46" s="1010" t="s">
        <v>70</v>
      </c>
      <c r="B46" s="996" t="s">
        <v>56</v>
      </c>
      <c r="C46" s="1009"/>
      <c r="D46" s="1009"/>
      <c r="E46" s="994"/>
      <c r="F46" s="995"/>
      <c r="G46" s="995"/>
      <c r="H46" s="995"/>
      <c r="I46" s="994"/>
      <c r="J46" s="995"/>
      <c r="K46" s="995"/>
      <c r="L46" s="995"/>
      <c r="M46" s="994"/>
      <c r="N46" s="983">
        <f>SUM(N47:N49)</f>
        <v>103628</v>
      </c>
      <c r="O46" s="983">
        <f>SUM(O47:O49)</f>
        <v>83932</v>
      </c>
      <c r="P46" s="983">
        <f>SUM(P47:P49)</f>
        <v>83932</v>
      </c>
      <c r="Q46" s="994">
        <f t="shared" si="10"/>
        <v>1</v>
      </c>
      <c r="R46" s="983">
        <f t="shared" si="7"/>
        <v>103628</v>
      </c>
      <c r="S46" s="983">
        <f t="shared" si="8"/>
        <v>83932</v>
      </c>
      <c r="T46" s="983">
        <f t="shared" si="9"/>
        <v>83932</v>
      </c>
      <c r="U46" s="994">
        <f t="shared" si="11"/>
        <v>1</v>
      </c>
    </row>
    <row r="47" spans="1:23" s="153" customFormat="1" ht="12.75" hidden="1" customHeight="1" x14ac:dyDescent="0.2">
      <c r="A47" s="992"/>
      <c r="B47" s="991" t="s">
        <v>839</v>
      </c>
      <c r="C47" s="990"/>
      <c r="D47" s="990"/>
      <c r="E47" s="988"/>
      <c r="F47" s="990"/>
      <c r="G47" s="990"/>
      <c r="H47" s="990"/>
      <c r="I47" s="988" t="e">
        <f t="shared" ref="I47:I57" si="12">H47/G47</f>
        <v>#DIV/0!</v>
      </c>
      <c r="J47" s="990"/>
      <c r="K47" s="990"/>
      <c r="L47" s="990"/>
      <c r="M47" s="988" t="e">
        <f t="shared" ref="M47:M53" si="13">L47/K47</f>
        <v>#DIV/0!</v>
      </c>
      <c r="N47" s="989"/>
      <c r="O47" s="989"/>
      <c r="P47" s="989"/>
      <c r="Q47" s="988" t="e">
        <f t="shared" si="10"/>
        <v>#DIV/0!</v>
      </c>
      <c r="R47" s="983">
        <f t="shared" si="7"/>
        <v>0</v>
      </c>
      <c r="S47" s="983">
        <f t="shared" si="8"/>
        <v>0</v>
      </c>
      <c r="T47" s="983">
        <f t="shared" si="9"/>
        <v>0</v>
      </c>
      <c r="U47" s="988" t="e">
        <f t="shared" si="11"/>
        <v>#DIV/0!</v>
      </c>
    </row>
    <row r="48" spans="1:23" s="153" customFormat="1" ht="12.75" hidden="1" customHeight="1" x14ac:dyDescent="0.2">
      <c r="A48" s="992"/>
      <c r="B48" s="991" t="s">
        <v>838</v>
      </c>
      <c r="C48" s="990"/>
      <c r="D48" s="990"/>
      <c r="E48" s="988"/>
      <c r="F48" s="990"/>
      <c r="G48" s="990"/>
      <c r="H48" s="990"/>
      <c r="I48" s="988" t="e">
        <f t="shared" si="12"/>
        <v>#DIV/0!</v>
      </c>
      <c r="J48" s="990"/>
      <c r="K48" s="990"/>
      <c r="L48" s="990"/>
      <c r="M48" s="988" t="e">
        <f t="shared" si="13"/>
        <v>#DIV/0!</v>
      </c>
      <c r="N48" s="989">
        <v>103628</v>
      </c>
      <c r="O48" s="989">
        <v>83932</v>
      </c>
      <c r="P48" s="989">
        <v>83932</v>
      </c>
      <c r="Q48" s="988">
        <f t="shared" si="10"/>
        <v>1</v>
      </c>
      <c r="R48" s="1002">
        <f t="shared" si="7"/>
        <v>103628</v>
      </c>
      <c r="S48" s="1002">
        <f t="shared" si="8"/>
        <v>83932</v>
      </c>
      <c r="T48" s="1002">
        <f t="shared" si="9"/>
        <v>83932</v>
      </c>
      <c r="U48" s="988">
        <f t="shared" si="11"/>
        <v>1</v>
      </c>
    </row>
    <row r="49" spans="1:21" s="153" customFormat="1" ht="12.75" hidden="1" customHeight="1" x14ac:dyDescent="0.2">
      <c r="A49" s="992"/>
      <c r="B49" s="991" t="s">
        <v>837</v>
      </c>
      <c r="C49" s="990"/>
      <c r="D49" s="990"/>
      <c r="E49" s="988"/>
      <c r="F49" s="990"/>
      <c r="G49" s="990"/>
      <c r="H49" s="990"/>
      <c r="I49" s="988" t="e">
        <f t="shared" si="12"/>
        <v>#DIV/0!</v>
      </c>
      <c r="J49" s="990"/>
      <c r="K49" s="990"/>
      <c r="L49" s="990"/>
      <c r="M49" s="988" t="e">
        <f t="shared" si="13"/>
        <v>#DIV/0!</v>
      </c>
      <c r="N49" s="989"/>
      <c r="O49" s="989"/>
      <c r="P49" s="989"/>
      <c r="Q49" s="988" t="e">
        <f t="shared" si="10"/>
        <v>#DIV/0!</v>
      </c>
      <c r="R49" s="983">
        <f t="shared" si="7"/>
        <v>0</v>
      </c>
      <c r="S49" s="983">
        <f t="shared" si="8"/>
        <v>0</v>
      </c>
      <c r="T49" s="983">
        <f t="shared" si="9"/>
        <v>0</v>
      </c>
      <c r="U49" s="988" t="e">
        <f t="shared" si="11"/>
        <v>#DIV/0!</v>
      </c>
    </row>
    <row r="50" spans="1:21" s="977" customFormat="1" ht="15" x14ac:dyDescent="0.25">
      <c r="A50" s="1010" t="s">
        <v>91</v>
      </c>
      <c r="B50" s="996" t="s">
        <v>53</v>
      </c>
      <c r="C50" s="1009">
        <f>SUM(C51:C53)</f>
        <v>0</v>
      </c>
      <c r="D50" s="1009">
        <f>SUM(D51:D53)</f>
        <v>0</v>
      </c>
      <c r="E50" s="1008"/>
      <c r="F50" s="1009">
        <f>SUM(F51:F53)</f>
        <v>214154</v>
      </c>
      <c r="G50" s="1009">
        <f>SUM(G51:G53)+55108</f>
        <v>270639</v>
      </c>
      <c r="H50" s="1009">
        <f>SUM(H51:H53)+55108</f>
        <v>270639</v>
      </c>
      <c r="I50" s="1008">
        <f t="shared" si="12"/>
        <v>1</v>
      </c>
      <c r="J50" s="1009">
        <f>SUM(J51:J53)</f>
        <v>77775</v>
      </c>
      <c r="K50" s="1009">
        <f>SUM(K51:K53)+13538</f>
        <v>82880</v>
      </c>
      <c r="L50" s="1009">
        <f>SUM(L51:L53)+13538</f>
        <v>82880</v>
      </c>
      <c r="M50" s="1008">
        <f t="shared" si="13"/>
        <v>1</v>
      </c>
      <c r="N50" s="1004">
        <f>SUM(N51:N53)</f>
        <v>2748036</v>
      </c>
      <c r="O50" s="1004">
        <f>SUM(O51:O53)+382086-1117</f>
        <v>3286477</v>
      </c>
      <c r="P50" s="1004">
        <f>SUM(P51:P53)+382086-1117</f>
        <v>3286477</v>
      </c>
      <c r="Q50" s="1008">
        <f t="shared" si="10"/>
        <v>1</v>
      </c>
      <c r="R50" s="983">
        <f t="shared" si="7"/>
        <v>3039965</v>
      </c>
      <c r="S50" s="983">
        <f t="shared" si="8"/>
        <v>3639996</v>
      </c>
      <c r="T50" s="983">
        <f t="shared" si="9"/>
        <v>3639996</v>
      </c>
      <c r="U50" s="1008">
        <f t="shared" si="11"/>
        <v>1</v>
      </c>
    </row>
    <row r="51" spans="1:21" s="153" customFormat="1" ht="12.75" hidden="1" customHeight="1" x14ac:dyDescent="0.2">
      <c r="A51" s="992"/>
      <c r="B51" s="991" t="s">
        <v>839</v>
      </c>
      <c r="C51" s="990"/>
      <c r="D51" s="990"/>
      <c r="E51" s="988"/>
      <c r="F51" s="990"/>
      <c r="G51" s="990"/>
      <c r="H51" s="990"/>
      <c r="I51" s="988" t="e">
        <f t="shared" si="12"/>
        <v>#DIV/0!</v>
      </c>
      <c r="J51" s="990"/>
      <c r="K51" s="990"/>
      <c r="L51" s="990"/>
      <c r="M51" s="988" t="e">
        <f t="shared" si="13"/>
        <v>#DIV/0!</v>
      </c>
      <c r="N51" s="989"/>
      <c r="O51" s="989"/>
      <c r="P51" s="989"/>
      <c r="Q51" s="988" t="e">
        <f t="shared" si="10"/>
        <v>#DIV/0!</v>
      </c>
      <c r="R51" s="983">
        <f t="shared" si="7"/>
        <v>0</v>
      </c>
      <c r="S51" s="983">
        <f t="shared" si="8"/>
        <v>0</v>
      </c>
      <c r="T51" s="983">
        <f t="shared" si="9"/>
        <v>0</v>
      </c>
      <c r="U51" s="988" t="e">
        <f t="shared" si="11"/>
        <v>#DIV/0!</v>
      </c>
    </row>
    <row r="52" spans="1:21" s="153" customFormat="1" ht="12.75" hidden="1" customHeight="1" x14ac:dyDescent="0.2">
      <c r="A52" s="992"/>
      <c r="B52" s="991" t="s">
        <v>838</v>
      </c>
      <c r="C52" s="990"/>
      <c r="D52" s="990"/>
      <c r="E52" s="1007"/>
      <c r="F52" s="990">
        <v>214154</v>
      </c>
      <c r="G52" s="990">
        <v>215531</v>
      </c>
      <c r="H52" s="990">
        <v>215531</v>
      </c>
      <c r="I52" s="1007">
        <f t="shared" si="12"/>
        <v>1</v>
      </c>
      <c r="J52" s="990">
        <v>77775</v>
      </c>
      <c r="K52" s="990">
        <v>69342</v>
      </c>
      <c r="L52" s="990">
        <v>69342</v>
      </c>
      <c r="M52" s="1007">
        <f t="shared" si="13"/>
        <v>1</v>
      </c>
      <c r="N52" s="989">
        <v>2748036</v>
      </c>
      <c r="O52" s="989">
        <v>2905508</v>
      </c>
      <c r="P52" s="989">
        <v>2905508</v>
      </c>
      <c r="Q52" s="1007">
        <f t="shared" si="10"/>
        <v>1</v>
      </c>
      <c r="R52" s="1002">
        <f t="shared" si="7"/>
        <v>3039965</v>
      </c>
      <c r="S52" s="1002">
        <f t="shared" si="8"/>
        <v>3190381</v>
      </c>
      <c r="T52" s="1002">
        <f t="shared" si="9"/>
        <v>3190381</v>
      </c>
      <c r="U52" s="1007">
        <f t="shared" si="11"/>
        <v>1</v>
      </c>
    </row>
    <row r="53" spans="1:21" s="153" customFormat="1" ht="12.75" hidden="1" customHeight="1" x14ac:dyDescent="0.2">
      <c r="A53" s="992"/>
      <c r="B53" s="991" t="s">
        <v>837</v>
      </c>
      <c r="C53" s="990"/>
      <c r="D53" s="990"/>
      <c r="E53" s="988"/>
      <c r="F53" s="990"/>
      <c r="G53" s="990"/>
      <c r="H53" s="990"/>
      <c r="I53" s="988" t="e">
        <f t="shared" si="12"/>
        <v>#DIV/0!</v>
      </c>
      <c r="J53" s="990"/>
      <c r="K53" s="990"/>
      <c r="L53" s="990"/>
      <c r="M53" s="988" t="e">
        <f t="shared" si="13"/>
        <v>#DIV/0!</v>
      </c>
      <c r="N53" s="989"/>
      <c r="O53" s="989"/>
      <c r="P53" s="989"/>
      <c r="Q53" s="988" t="e">
        <f t="shared" si="10"/>
        <v>#DIV/0!</v>
      </c>
      <c r="R53" s="983">
        <f t="shared" si="7"/>
        <v>0</v>
      </c>
      <c r="S53" s="983">
        <f t="shared" si="8"/>
        <v>0</v>
      </c>
      <c r="T53" s="983">
        <f t="shared" si="9"/>
        <v>0</v>
      </c>
      <c r="U53" s="988" t="e">
        <f t="shared" si="11"/>
        <v>#DIV/0!</v>
      </c>
    </row>
    <row r="54" spans="1:21" s="977" customFormat="1" ht="13.5" customHeight="1" x14ac:dyDescent="0.25">
      <c r="A54" s="1010" t="s">
        <v>66</v>
      </c>
      <c r="B54" s="996" t="s">
        <v>50</v>
      </c>
      <c r="C54" s="1009"/>
      <c r="D54" s="1009"/>
      <c r="E54" s="994"/>
      <c r="F54" s="1009">
        <f>SUM(F55:F57)</f>
        <v>900</v>
      </c>
      <c r="G54" s="1009">
        <f>SUM(G55:G57)</f>
        <v>900</v>
      </c>
      <c r="H54" s="1009">
        <f>SUM(H55:H57)</f>
        <v>900</v>
      </c>
      <c r="I54" s="994">
        <f t="shared" si="12"/>
        <v>1</v>
      </c>
      <c r="J54" s="1009"/>
      <c r="K54" s="1009"/>
      <c r="L54" s="1009"/>
      <c r="M54" s="994"/>
      <c r="N54" s="1004"/>
      <c r="O54" s="1004"/>
      <c r="P54" s="1004"/>
      <c r="Q54" s="994"/>
      <c r="R54" s="983">
        <f t="shared" si="7"/>
        <v>900</v>
      </c>
      <c r="S54" s="983">
        <f t="shared" si="8"/>
        <v>900</v>
      </c>
      <c r="T54" s="983">
        <f t="shared" si="9"/>
        <v>900</v>
      </c>
      <c r="U54" s="994">
        <f t="shared" si="11"/>
        <v>1</v>
      </c>
    </row>
    <row r="55" spans="1:21" s="153" customFormat="1" ht="12.75" hidden="1" customHeight="1" x14ac:dyDescent="0.2">
      <c r="A55" s="992"/>
      <c r="B55" s="991" t="s">
        <v>839</v>
      </c>
      <c r="C55" s="990"/>
      <c r="D55" s="990"/>
      <c r="E55" s="988"/>
      <c r="F55" s="990"/>
      <c r="G55" s="990"/>
      <c r="H55" s="990"/>
      <c r="I55" s="988" t="e">
        <f t="shared" si="12"/>
        <v>#DIV/0!</v>
      </c>
      <c r="J55" s="990"/>
      <c r="K55" s="990"/>
      <c r="L55" s="990"/>
      <c r="M55" s="988"/>
      <c r="N55" s="989"/>
      <c r="O55" s="989"/>
      <c r="P55" s="989"/>
      <c r="Q55" s="988"/>
      <c r="R55" s="983">
        <f t="shared" si="7"/>
        <v>0</v>
      </c>
      <c r="S55" s="983">
        <f t="shared" si="8"/>
        <v>0</v>
      </c>
      <c r="T55" s="983">
        <f t="shared" si="9"/>
        <v>0</v>
      </c>
      <c r="U55" s="988" t="e">
        <f t="shared" si="11"/>
        <v>#DIV/0!</v>
      </c>
    </row>
    <row r="56" spans="1:21" s="153" customFormat="1" ht="12.75" hidden="1" customHeight="1" x14ac:dyDescent="0.2">
      <c r="A56" s="992"/>
      <c r="B56" s="991" t="s">
        <v>838</v>
      </c>
      <c r="C56" s="990"/>
      <c r="D56" s="990"/>
      <c r="E56" s="988"/>
      <c r="F56" s="990">
        <v>900</v>
      </c>
      <c r="G56" s="990">
        <v>900</v>
      </c>
      <c r="H56" s="990">
        <v>900</v>
      </c>
      <c r="I56" s="988">
        <f t="shared" si="12"/>
        <v>1</v>
      </c>
      <c r="J56" s="990"/>
      <c r="K56" s="990"/>
      <c r="L56" s="990"/>
      <c r="M56" s="988"/>
      <c r="N56" s="989"/>
      <c r="O56" s="989"/>
      <c r="P56" s="989"/>
      <c r="Q56" s="988"/>
      <c r="R56" s="1002">
        <f t="shared" si="7"/>
        <v>900</v>
      </c>
      <c r="S56" s="1002">
        <f t="shared" si="8"/>
        <v>900</v>
      </c>
      <c r="T56" s="1002">
        <f t="shared" si="9"/>
        <v>900</v>
      </c>
      <c r="U56" s="988">
        <f t="shared" si="11"/>
        <v>1</v>
      </c>
    </row>
    <row r="57" spans="1:21" s="153" customFormat="1" ht="12.75" hidden="1" customHeight="1" x14ac:dyDescent="0.2">
      <c r="A57" s="992"/>
      <c r="B57" s="991" t="s">
        <v>837</v>
      </c>
      <c r="C57" s="990"/>
      <c r="D57" s="990"/>
      <c r="E57" s="988"/>
      <c r="F57" s="990"/>
      <c r="G57" s="990"/>
      <c r="H57" s="990"/>
      <c r="I57" s="988" t="e">
        <f t="shared" si="12"/>
        <v>#DIV/0!</v>
      </c>
      <c r="J57" s="990"/>
      <c r="K57" s="990"/>
      <c r="L57" s="990"/>
      <c r="M57" s="988"/>
      <c r="N57" s="989"/>
      <c r="O57" s="989"/>
      <c r="P57" s="989"/>
      <c r="Q57" s="988"/>
      <c r="R57" s="983">
        <f t="shared" si="7"/>
        <v>0</v>
      </c>
      <c r="S57" s="983">
        <f t="shared" si="8"/>
        <v>0</v>
      </c>
      <c r="T57" s="983">
        <f t="shared" si="9"/>
        <v>0</v>
      </c>
      <c r="U57" s="988" t="e">
        <f t="shared" si="11"/>
        <v>#DIV/0!</v>
      </c>
    </row>
    <row r="58" spans="1:21" s="977" customFormat="1" ht="15" x14ac:dyDescent="0.25">
      <c r="A58" s="1001" t="s">
        <v>200</v>
      </c>
      <c r="B58" s="996" t="s">
        <v>47</v>
      </c>
      <c r="C58" s="1009">
        <f>SUM(C59:C61)</f>
        <v>0</v>
      </c>
      <c r="D58" s="1009">
        <f>SUM(D59:D61)</f>
        <v>0</v>
      </c>
      <c r="E58" s="1008"/>
      <c r="F58" s="1009">
        <f>SUM(F59:F61)</f>
        <v>0</v>
      </c>
      <c r="G58" s="1009">
        <f>SUM(G59:G61)</f>
        <v>0</v>
      </c>
      <c r="H58" s="1009">
        <f>SUM(H59:H61)</f>
        <v>0</v>
      </c>
      <c r="I58" s="1008"/>
      <c r="J58" s="1009">
        <f>SUM(J59:J61)</f>
        <v>0</v>
      </c>
      <c r="K58" s="1009">
        <f>SUM(K59:K61)</f>
        <v>0</v>
      </c>
      <c r="L58" s="1009">
        <f>SUM(L59:L61)</f>
        <v>0</v>
      </c>
      <c r="M58" s="1008"/>
      <c r="N58" s="1004">
        <f>SUM(N59:N61)</f>
        <v>0</v>
      </c>
      <c r="O58" s="1004">
        <f>SUM(O59:O61)</f>
        <v>0</v>
      </c>
      <c r="P58" s="1004">
        <f>SUM(P59:P61)</f>
        <v>0</v>
      </c>
      <c r="Q58" s="1008"/>
      <c r="R58" s="983">
        <f t="shared" si="7"/>
        <v>0</v>
      </c>
      <c r="S58" s="983">
        <f t="shared" si="8"/>
        <v>0</v>
      </c>
      <c r="T58" s="983">
        <f t="shared" si="9"/>
        <v>0</v>
      </c>
      <c r="U58" s="1008"/>
    </row>
    <row r="59" spans="1:21" s="153" customFormat="1" ht="12.75" hidden="1" customHeight="1" x14ac:dyDescent="0.2">
      <c r="A59" s="987"/>
      <c r="B59" s="991" t="s">
        <v>839</v>
      </c>
      <c r="C59" s="990"/>
      <c r="D59" s="990"/>
      <c r="E59" s="988"/>
      <c r="F59" s="990"/>
      <c r="G59" s="990"/>
      <c r="H59" s="990"/>
      <c r="I59" s="988"/>
      <c r="J59" s="990"/>
      <c r="K59" s="990"/>
      <c r="L59" s="990"/>
      <c r="M59" s="988"/>
      <c r="N59" s="989"/>
      <c r="O59" s="989"/>
      <c r="P59" s="989"/>
      <c r="Q59" s="988"/>
      <c r="R59" s="983">
        <f t="shared" si="7"/>
        <v>0</v>
      </c>
      <c r="S59" s="983">
        <f t="shared" si="8"/>
        <v>0</v>
      </c>
      <c r="T59" s="983">
        <f t="shared" si="9"/>
        <v>0</v>
      </c>
      <c r="U59" s="988"/>
    </row>
    <row r="60" spans="1:21" s="153" customFormat="1" ht="12.75" hidden="1" customHeight="1" x14ac:dyDescent="0.2">
      <c r="A60" s="987"/>
      <c r="B60" s="991" t="s">
        <v>838</v>
      </c>
      <c r="C60" s="990"/>
      <c r="D60" s="990"/>
      <c r="E60" s="1007"/>
      <c r="F60" s="990">
        <v>0</v>
      </c>
      <c r="G60" s="990">
        <v>0</v>
      </c>
      <c r="H60" s="990">
        <v>0</v>
      </c>
      <c r="I60" s="1007"/>
      <c r="J60" s="990">
        <v>0</v>
      </c>
      <c r="K60" s="990">
        <v>0</v>
      </c>
      <c r="L60" s="990">
        <v>0</v>
      </c>
      <c r="M60" s="1007"/>
      <c r="N60" s="989"/>
      <c r="O60" s="989"/>
      <c r="P60" s="989"/>
      <c r="Q60" s="1007"/>
      <c r="R60" s="1002">
        <f t="shared" si="7"/>
        <v>0</v>
      </c>
      <c r="S60" s="1002">
        <f t="shared" si="8"/>
        <v>0</v>
      </c>
      <c r="T60" s="1002">
        <f t="shared" si="9"/>
        <v>0</v>
      </c>
      <c r="U60" s="1007"/>
    </row>
    <row r="61" spans="1:21" s="153" customFormat="1" ht="12.75" hidden="1" customHeight="1" x14ac:dyDescent="0.2">
      <c r="A61" s="987"/>
      <c r="B61" s="991" t="s">
        <v>837</v>
      </c>
      <c r="C61" s="990"/>
      <c r="D61" s="990"/>
      <c r="E61" s="988"/>
      <c r="F61" s="990"/>
      <c r="G61" s="990"/>
      <c r="H61" s="990"/>
      <c r="I61" s="988"/>
      <c r="J61" s="990"/>
      <c r="K61" s="990"/>
      <c r="L61" s="990"/>
      <c r="M61" s="988"/>
      <c r="N61" s="989"/>
      <c r="O61" s="989"/>
      <c r="P61" s="989"/>
      <c r="Q61" s="988"/>
      <c r="R61" s="983">
        <f t="shared" si="7"/>
        <v>0</v>
      </c>
      <c r="S61" s="983">
        <f t="shared" si="8"/>
        <v>0</v>
      </c>
      <c r="T61" s="983">
        <f t="shared" si="9"/>
        <v>0</v>
      </c>
      <c r="U61" s="988"/>
    </row>
    <row r="62" spans="1:21" s="977" customFormat="1" ht="15" x14ac:dyDescent="0.25">
      <c r="A62" s="1006" t="s">
        <v>420</v>
      </c>
      <c r="B62" s="996" t="s">
        <v>35</v>
      </c>
      <c r="C62" s="995"/>
      <c r="D62" s="995"/>
      <c r="E62" s="994"/>
      <c r="F62" s="995"/>
      <c r="G62" s="995"/>
      <c r="H62" s="995"/>
      <c r="I62" s="994"/>
      <c r="J62" s="995"/>
      <c r="K62" s="995"/>
      <c r="L62" s="995"/>
      <c r="M62" s="994"/>
      <c r="N62" s="983"/>
      <c r="O62" s="983"/>
      <c r="P62" s="983"/>
      <c r="Q62" s="994"/>
      <c r="R62" s="983">
        <f t="shared" si="7"/>
        <v>0</v>
      </c>
      <c r="S62" s="983">
        <f t="shared" si="8"/>
        <v>0</v>
      </c>
      <c r="T62" s="983">
        <f t="shared" si="9"/>
        <v>0</v>
      </c>
      <c r="U62" s="994"/>
    </row>
    <row r="63" spans="1:21" s="153" customFormat="1" ht="12.75" hidden="1" customHeight="1" x14ac:dyDescent="0.2">
      <c r="A63" s="987"/>
      <c r="B63" s="991" t="s">
        <v>839</v>
      </c>
      <c r="C63" s="990"/>
      <c r="D63" s="990"/>
      <c r="E63" s="988"/>
      <c r="F63" s="990"/>
      <c r="G63" s="990"/>
      <c r="H63" s="990"/>
      <c r="I63" s="988" t="e">
        <f t="shared" ref="I63:I69" si="14">H63/G63</f>
        <v>#DIV/0!</v>
      </c>
      <c r="J63" s="990"/>
      <c r="K63" s="990"/>
      <c r="L63" s="990"/>
      <c r="M63" s="988" t="e">
        <f t="shared" ref="M63:M69" si="15">L63/K63</f>
        <v>#DIV/0!</v>
      </c>
      <c r="N63" s="989"/>
      <c r="O63" s="989"/>
      <c r="P63" s="989"/>
      <c r="Q63" s="988" t="e">
        <f t="shared" ref="Q63:Q73" si="16">P63/O63</f>
        <v>#DIV/0!</v>
      </c>
      <c r="R63" s="983">
        <f t="shared" si="7"/>
        <v>0</v>
      </c>
      <c r="S63" s="983">
        <f t="shared" si="8"/>
        <v>0</v>
      </c>
      <c r="T63" s="983">
        <f t="shared" si="9"/>
        <v>0</v>
      </c>
      <c r="U63" s="988" t="e">
        <f t="shared" ref="U63:U73" si="17">T63/S63</f>
        <v>#DIV/0!</v>
      </c>
    </row>
    <row r="64" spans="1:21" s="153" customFormat="1" ht="12.75" hidden="1" customHeight="1" x14ac:dyDescent="0.2">
      <c r="A64" s="987"/>
      <c r="B64" s="991" t="s">
        <v>838</v>
      </c>
      <c r="C64" s="990"/>
      <c r="D64" s="990"/>
      <c r="E64" s="988"/>
      <c r="F64" s="990"/>
      <c r="G64" s="990"/>
      <c r="H64" s="990"/>
      <c r="I64" s="988" t="e">
        <f t="shared" si="14"/>
        <v>#DIV/0!</v>
      </c>
      <c r="J64" s="990"/>
      <c r="K64" s="990"/>
      <c r="L64" s="990"/>
      <c r="M64" s="988" t="e">
        <f t="shared" si="15"/>
        <v>#DIV/0!</v>
      </c>
      <c r="N64" s="989"/>
      <c r="O64" s="989"/>
      <c r="P64" s="989"/>
      <c r="Q64" s="988" t="e">
        <f t="shared" si="16"/>
        <v>#DIV/0!</v>
      </c>
      <c r="R64" s="983">
        <f t="shared" si="7"/>
        <v>0</v>
      </c>
      <c r="S64" s="983">
        <f t="shared" si="8"/>
        <v>0</v>
      </c>
      <c r="T64" s="983">
        <f t="shared" si="9"/>
        <v>0</v>
      </c>
      <c r="U64" s="988" t="e">
        <f t="shared" si="17"/>
        <v>#DIV/0!</v>
      </c>
    </row>
    <row r="65" spans="1:25" s="153" customFormat="1" ht="12.75" hidden="1" customHeight="1" x14ac:dyDescent="0.2">
      <c r="A65" s="987"/>
      <c r="B65" s="991" t="s">
        <v>837</v>
      </c>
      <c r="C65" s="990"/>
      <c r="D65" s="990"/>
      <c r="E65" s="988"/>
      <c r="F65" s="990"/>
      <c r="G65" s="990"/>
      <c r="H65" s="990"/>
      <c r="I65" s="988" t="e">
        <f t="shared" si="14"/>
        <v>#DIV/0!</v>
      </c>
      <c r="J65" s="990"/>
      <c r="K65" s="990"/>
      <c r="L65" s="990"/>
      <c r="M65" s="988" t="e">
        <f t="shared" si="15"/>
        <v>#DIV/0!</v>
      </c>
      <c r="N65" s="989"/>
      <c r="O65" s="989"/>
      <c r="P65" s="989"/>
      <c r="Q65" s="988" t="e">
        <f t="shared" si="16"/>
        <v>#DIV/0!</v>
      </c>
      <c r="R65" s="983">
        <f t="shared" si="7"/>
        <v>0</v>
      </c>
      <c r="S65" s="983">
        <f t="shared" si="8"/>
        <v>0</v>
      </c>
      <c r="T65" s="983">
        <f t="shared" si="9"/>
        <v>0</v>
      </c>
      <c r="U65" s="988" t="e">
        <f t="shared" si="17"/>
        <v>#DIV/0!</v>
      </c>
    </row>
    <row r="66" spans="1:25" s="977" customFormat="1" ht="15" x14ac:dyDescent="0.25">
      <c r="A66" s="1001" t="s">
        <v>419</v>
      </c>
      <c r="B66" s="996" t="s">
        <v>32</v>
      </c>
      <c r="C66" s="1009">
        <f>SUM(C67:C69)</f>
        <v>0</v>
      </c>
      <c r="D66" s="1009">
        <f>SUM(D67:D69)</f>
        <v>0</v>
      </c>
      <c r="E66" s="1008"/>
      <c r="F66" s="1009">
        <f>SUM(F67:F69)</f>
        <v>4064</v>
      </c>
      <c r="G66" s="1009">
        <f>SUM(G67:G69)+798</f>
        <v>5089</v>
      </c>
      <c r="H66" s="1009">
        <f>SUM(H67:H69)+798</f>
        <v>5089</v>
      </c>
      <c r="I66" s="1008">
        <f t="shared" si="14"/>
        <v>1</v>
      </c>
      <c r="J66" s="1009">
        <f>SUM(J67:J69)</f>
        <v>42643</v>
      </c>
      <c r="K66" s="1009">
        <f>SUM(K67:K69)+1411</f>
        <v>33644</v>
      </c>
      <c r="L66" s="1009">
        <f>SUM(L67:L69)+1411</f>
        <v>33644</v>
      </c>
      <c r="M66" s="1008">
        <f t="shared" si="15"/>
        <v>1</v>
      </c>
      <c r="N66" s="1004">
        <f>SUM(N67:N69)</f>
        <v>164465</v>
      </c>
      <c r="O66" s="1004">
        <f>SUM(O67:O69)+22988+1039</f>
        <v>80967</v>
      </c>
      <c r="P66" s="1004">
        <f>SUM(P67:P69)+22988+1039</f>
        <v>80967</v>
      </c>
      <c r="Q66" s="1008">
        <f t="shared" si="16"/>
        <v>1</v>
      </c>
      <c r="R66" s="983">
        <f t="shared" si="7"/>
        <v>211172</v>
      </c>
      <c r="S66" s="983">
        <f t="shared" si="8"/>
        <v>119700</v>
      </c>
      <c r="T66" s="983">
        <f t="shared" si="9"/>
        <v>119700</v>
      </c>
      <c r="U66" s="1008">
        <f t="shared" si="17"/>
        <v>1</v>
      </c>
    </row>
    <row r="67" spans="1:25" s="153" customFormat="1" ht="12.75" hidden="1" customHeight="1" x14ac:dyDescent="0.2">
      <c r="A67" s="992"/>
      <c r="B67" s="991" t="s">
        <v>839</v>
      </c>
      <c r="C67" s="990"/>
      <c r="D67" s="990"/>
      <c r="E67" s="988"/>
      <c r="F67" s="990"/>
      <c r="G67" s="990"/>
      <c r="H67" s="990"/>
      <c r="I67" s="988" t="e">
        <f t="shared" si="14"/>
        <v>#DIV/0!</v>
      </c>
      <c r="J67" s="990"/>
      <c r="K67" s="990"/>
      <c r="L67" s="990"/>
      <c r="M67" s="988" t="e">
        <f t="shared" si="15"/>
        <v>#DIV/0!</v>
      </c>
      <c r="N67" s="989"/>
      <c r="O67" s="989"/>
      <c r="P67" s="989"/>
      <c r="Q67" s="988" t="e">
        <f t="shared" si="16"/>
        <v>#DIV/0!</v>
      </c>
      <c r="R67" s="983">
        <f t="shared" si="7"/>
        <v>0</v>
      </c>
      <c r="S67" s="983">
        <f t="shared" si="8"/>
        <v>0</v>
      </c>
      <c r="T67" s="983">
        <f t="shared" si="9"/>
        <v>0</v>
      </c>
      <c r="U67" s="988" t="e">
        <f t="shared" si="17"/>
        <v>#DIV/0!</v>
      </c>
    </row>
    <row r="68" spans="1:25" s="153" customFormat="1" ht="12.75" hidden="1" customHeight="1" x14ac:dyDescent="0.2">
      <c r="A68" s="992"/>
      <c r="B68" s="991" t="s">
        <v>838</v>
      </c>
      <c r="C68" s="990"/>
      <c r="D68" s="990"/>
      <c r="E68" s="1007"/>
      <c r="F68" s="990">
        <v>4064</v>
      </c>
      <c r="G68" s="990">
        <v>4291</v>
      </c>
      <c r="H68" s="990">
        <v>4291</v>
      </c>
      <c r="I68" s="1007">
        <f t="shared" si="14"/>
        <v>1</v>
      </c>
      <c r="J68" s="990">
        <v>42643</v>
      </c>
      <c r="K68" s="990">
        <v>32233</v>
      </c>
      <c r="L68" s="990">
        <v>32233</v>
      </c>
      <c r="M68" s="1007">
        <f t="shared" si="15"/>
        <v>1</v>
      </c>
      <c r="N68" s="989">
        <v>164465</v>
      </c>
      <c r="O68" s="989">
        <f>56940</f>
        <v>56940</v>
      </c>
      <c r="P68" s="989">
        <f>56940</f>
        <v>56940</v>
      </c>
      <c r="Q68" s="1007">
        <f t="shared" si="16"/>
        <v>1</v>
      </c>
      <c r="R68" s="1002">
        <f t="shared" si="7"/>
        <v>211172</v>
      </c>
      <c r="S68" s="1002">
        <f t="shared" si="8"/>
        <v>93464</v>
      </c>
      <c r="T68" s="1002">
        <f t="shared" si="9"/>
        <v>93464</v>
      </c>
      <c r="U68" s="1007">
        <f t="shared" si="17"/>
        <v>1</v>
      </c>
    </row>
    <row r="69" spans="1:25" s="153" customFormat="1" ht="12.75" hidden="1" customHeight="1" x14ac:dyDescent="0.2">
      <c r="A69" s="992"/>
      <c r="B69" s="991" t="s">
        <v>837</v>
      </c>
      <c r="C69" s="990"/>
      <c r="D69" s="990"/>
      <c r="E69" s="988"/>
      <c r="F69" s="990"/>
      <c r="G69" s="990"/>
      <c r="H69" s="990"/>
      <c r="I69" s="988" t="e">
        <f t="shared" si="14"/>
        <v>#DIV/0!</v>
      </c>
      <c r="J69" s="990"/>
      <c r="K69" s="990"/>
      <c r="L69" s="990"/>
      <c r="M69" s="988" t="e">
        <f t="shared" si="15"/>
        <v>#DIV/0!</v>
      </c>
      <c r="N69" s="989"/>
      <c r="O69" s="989"/>
      <c r="P69" s="989"/>
      <c r="Q69" s="988" t="e">
        <f t="shared" si="16"/>
        <v>#DIV/0!</v>
      </c>
      <c r="R69" s="983">
        <f t="shared" si="7"/>
        <v>0</v>
      </c>
      <c r="S69" s="983">
        <f t="shared" si="8"/>
        <v>0</v>
      </c>
      <c r="T69" s="983">
        <f t="shared" si="9"/>
        <v>0</v>
      </c>
      <c r="U69" s="988" t="e">
        <f t="shared" si="17"/>
        <v>#DIV/0!</v>
      </c>
    </row>
    <row r="70" spans="1:25" s="977" customFormat="1" ht="15" x14ac:dyDescent="0.25">
      <c r="A70" s="1006" t="s">
        <v>418</v>
      </c>
      <c r="B70" s="1005" t="s">
        <v>29</v>
      </c>
      <c r="C70" s="995"/>
      <c r="D70" s="995"/>
      <c r="E70" s="994"/>
      <c r="F70" s="995"/>
      <c r="G70" s="995"/>
      <c r="H70" s="995"/>
      <c r="I70" s="994"/>
      <c r="J70" s="995"/>
      <c r="K70" s="995"/>
      <c r="L70" s="995"/>
      <c r="M70" s="994"/>
      <c r="N70" s="1004">
        <f>N72+N71+N73</f>
        <v>34859</v>
      </c>
      <c r="O70" s="1004">
        <f>O72+O71+O73+45306</f>
        <v>88415</v>
      </c>
      <c r="P70" s="1004">
        <f>P72+P71+P73+45306</f>
        <v>88415</v>
      </c>
      <c r="Q70" s="994">
        <f t="shared" si="16"/>
        <v>1</v>
      </c>
      <c r="R70" s="983">
        <f t="shared" si="7"/>
        <v>34859</v>
      </c>
      <c r="S70" s="983">
        <f t="shared" si="8"/>
        <v>88415</v>
      </c>
      <c r="T70" s="983">
        <f t="shared" si="9"/>
        <v>88415</v>
      </c>
      <c r="U70" s="994">
        <f t="shared" si="17"/>
        <v>1</v>
      </c>
      <c r="W70" s="1003"/>
    </row>
    <row r="71" spans="1:25" s="153" customFormat="1" ht="12.75" hidden="1" customHeight="1" x14ac:dyDescent="0.2">
      <c r="A71" s="992"/>
      <c r="B71" s="991" t="s">
        <v>839</v>
      </c>
      <c r="C71" s="990"/>
      <c r="D71" s="990"/>
      <c r="E71" s="988"/>
      <c r="F71" s="990"/>
      <c r="G71" s="990"/>
      <c r="H71" s="990"/>
      <c r="I71" s="988"/>
      <c r="J71" s="990"/>
      <c r="K71" s="990"/>
      <c r="L71" s="990"/>
      <c r="M71" s="988"/>
      <c r="N71" s="989"/>
      <c r="O71" s="989"/>
      <c r="P71" s="989"/>
      <c r="Q71" s="988" t="e">
        <f t="shared" si="16"/>
        <v>#DIV/0!</v>
      </c>
      <c r="R71" s="983">
        <f t="shared" si="7"/>
        <v>0</v>
      </c>
      <c r="S71" s="983">
        <f t="shared" si="8"/>
        <v>0</v>
      </c>
      <c r="T71" s="983">
        <f t="shared" si="9"/>
        <v>0</v>
      </c>
      <c r="U71" s="988" t="e">
        <f t="shared" si="17"/>
        <v>#DIV/0!</v>
      </c>
    </row>
    <row r="72" spans="1:25" s="153" customFormat="1" ht="12.75" hidden="1" customHeight="1" x14ac:dyDescent="0.2">
      <c r="A72" s="992"/>
      <c r="B72" s="991" t="s">
        <v>838</v>
      </c>
      <c r="C72" s="990"/>
      <c r="D72" s="990"/>
      <c r="E72" s="988"/>
      <c r="F72" s="990"/>
      <c r="G72" s="990"/>
      <c r="H72" s="990"/>
      <c r="I72" s="988"/>
      <c r="J72" s="990"/>
      <c r="K72" s="990"/>
      <c r="L72" s="990"/>
      <c r="M72" s="988"/>
      <c r="N72" s="989">
        <v>34859</v>
      </c>
      <c r="O72" s="989">
        <v>43109</v>
      </c>
      <c r="P72" s="989">
        <v>43109</v>
      </c>
      <c r="Q72" s="988">
        <f t="shared" si="16"/>
        <v>1</v>
      </c>
      <c r="R72" s="1002">
        <f t="shared" ref="R72:R82" si="18">C72+F72+J72+N72</f>
        <v>34859</v>
      </c>
      <c r="S72" s="1002">
        <f t="shared" ref="S72:S82" si="19">C72+G72+K72+O72</f>
        <v>43109</v>
      </c>
      <c r="T72" s="1002">
        <f t="shared" ref="T72:T82" si="20">D72+H72+L72+P72</f>
        <v>43109</v>
      </c>
      <c r="U72" s="988">
        <f t="shared" si="17"/>
        <v>1</v>
      </c>
    </row>
    <row r="73" spans="1:25" s="153" customFormat="1" ht="12.75" hidden="1" customHeight="1" x14ac:dyDescent="0.2">
      <c r="A73" s="992"/>
      <c r="B73" s="991" t="s">
        <v>837</v>
      </c>
      <c r="C73" s="990"/>
      <c r="D73" s="990"/>
      <c r="E73" s="988"/>
      <c r="F73" s="990"/>
      <c r="G73" s="990"/>
      <c r="H73" s="990"/>
      <c r="I73" s="988"/>
      <c r="J73" s="990"/>
      <c r="K73" s="990"/>
      <c r="L73" s="990"/>
      <c r="M73" s="988"/>
      <c r="N73" s="989"/>
      <c r="O73" s="989"/>
      <c r="P73" s="989"/>
      <c r="Q73" s="988" t="e">
        <f t="shared" si="16"/>
        <v>#DIV/0!</v>
      </c>
      <c r="R73" s="983">
        <f t="shared" si="18"/>
        <v>0</v>
      </c>
      <c r="S73" s="983">
        <f t="shared" si="19"/>
        <v>0</v>
      </c>
      <c r="T73" s="983">
        <f t="shared" si="20"/>
        <v>0</v>
      </c>
      <c r="U73" s="988" t="e">
        <f t="shared" si="17"/>
        <v>#DIV/0!</v>
      </c>
    </row>
    <row r="74" spans="1:25" s="998" customFormat="1" ht="15" x14ac:dyDescent="0.25">
      <c r="A74" s="1001" t="s">
        <v>417</v>
      </c>
      <c r="B74" s="1000" t="s">
        <v>26</v>
      </c>
      <c r="C74" s="995"/>
      <c r="D74" s="995"/>
      <c r="E74" s="999"/>
      <c r="F74" s="995"/>
      <c r="G74" s="995"/>
      <c r="H74" s="995"/>
      <c r="I74" s="999"/>
      <c r="J74" s="995"/>
      <c r="K74" s="995"/>
      <c r="L74" s="995"/>
      <c r="M74" s="999"/>
      <c r="N74" s="983"/>
      <c r="O74" s="983"/>
      <c r="P74" s="983"/>
      <c r="Q74" s="999"/>
      <c r="R74" s="983">
        <f t="shared" si="18"/>
        <v>0</v>
      </c>
      <c r="S74" s="983">
        <f t="shared" si="19"/>
        <v>0</v>
      </c>
      <c r="T74" s="983">
        <f t="shared" si="20"/>
        <v>0</v>
      </c>
      <c r="U74" s="999"/>
      <c r="V74" s="993"/>
      <c r="W74" s="993"/>
      <c r="X74" s="993"/>
      <c r="Y74" s="993"/>
    </row>
    <row r="75" spans="1:25" s="153" customFormat="1" ht="12.75" hidden="1" customHeight="1" x14ac:dyDescent="0.2">
      <c r="A75" s="992"/>
      <c r="B75" s="991" t="s">
        <v>839</v>
      </c>
      <c r="C75" s="990"/>
      <c r="D75" s="990"/>
      <c r="E75" s="988"/>
      <c r="F75" s="990"/>
      <c r="G75" s="990"/>
      <c r="H75" s="990"/>
      <c r="I75" s="988"/>
      <c r="J75" s="990"/>
      <c r="K75" s="990"/>
      <c r="L75" s="990"/>
      <c r="M75" s="988"/>
      <c r="N75" s="989"/>
      <c r="O75" s="989"/>
      <c r="P75" s="989"/>
      <c r="Q75" s="988"/>
      <c r="R75" s="983">
        <f t="shared" si="18"/>
        <v>0</v>
      </c>
      <c r="S75" s="983">
        <f t="shared" si="19"/>
        <v>0</v>
      </c>
      <c r="T75" s="983">
        <f t="shared" si="20"/>
        <v>0</v>
      </c>
      <c r="U75" s="988"/>
    </row>
    <row r="76" spans="1:25" s="153" customFormat="1" ht="12.75" hidden="1" customHeight="1" x14ac:dyDescent="0.2">
      <c r="A76" s="992"/>
      <c r="B76" s="991" t="s">
        <v>838</v>
      </c>
      <c r="C76" s="990"/>
      <c r="D76" s="990"/>
      <c r="E76" s="988"/>
      <c r="F76" s="990"/>
      <c r="G76" s="990"/>
      <c r="H76" s="990"/>
      <c r="I76" s="988"/>
      <c r="J76" s="990"/>
      <c r="K76" s="990"/>
      <c r="L76" s="990"/>
      <c r="M76" s="988"/>
      <c r="N76" s="989"/>
      <c r="O76" s="989"/>
      <c r="P76" s="989"/>
      <c r="Q76" s="988"/>
      <c r="R76" s="983">
        <f t="shared" si="18"/>
        <v>0</v>
      </c>
      <c r="S76" s="983">
        <f t="shared" si="19"/>
        <v>0</v>
      </c>
      <c r="T76" s="983">
        <f t="shared" si="20"/>
        <v>0</v>
      </c>
      <c r="U76" s="988"/>
    </row>
    <row r="77" spans="1:25" s="153" customFormat="1" ht="12.75" hidden="1" customHeight="1" x14ac:dyDescent="0.2">
      <c r="A77" s="992"/>
      <c r="B77" s="991" t="s">
        <v>837</v>
      </c>
      <c r="C77" s="990"/>
      <c r="D77" s="990"/>
      <c r="E77" s="988"/>
      <c r="F77" s="990"/>
      <c r="G77" s="990"/>
      <c r="H77" s="990"/>
      <c r="I77" s="988"/>
      <c r="J77" s="990"/>
      <c r="K77" s="990"/>
      <c r="L77" s="990"/>
      <c r="M77" s="988"/>
      <c r="N77" s="989"/>
      <c r="O77" s="989"/>
      <c r="P77" s="989"/>
      <c r="Q77" s="988"/>
      <c r="R77" s="983">
        <f t="shared" si="18"/>
        <v>0</v>
      </c>
      <c r="S77" s="983">
        <f t="shared" si="19"/>
        <v>0</v>
      </c>
      <c r="T77" s="983">
        <f t="shared" si="20"/>
        <v>0</v>
      </c>
      <c r="U77" s="988"/>
    </row>
    <row r="78" spans="1:25" s="977" customFormat="1" ht="15.75" thickBot="1" x14ac:dyDescent="0.3">
      <c r="A78" s="997" t="s">
        <v>416</v>
      </c>
      <c r="B78" s="996" t="s">
        <v>415</v>
      </c>
      <c r="C78" s="995"/>
      <c r="D78" s="995"/>
      <c r="E78" s="994"/>
      <c r="F78" s="995"/>
      <c r="G78" s="995"/>
      <c r="H78" s="995"/>
      <c r="I78" s="994"/>
      <c r="J78" s="995"/>
      <c r="K78" s="995"/>
      <c r="L78" s="995"/>
      <c r="M78" s="994"/>
      <c r="N78" s="983"/>
      <c r="O78" s="983"/>
      <c r="P78" s="983"/>
      <c r="Q78" s="994"/>
      <c r="R78" s="983">
        <f t="shared" si="18"/>
        <v>0</v>
      </c>
      <c r="S78" s="983">
        <f t="shared" si="19"/>
        <v>0</v>
      </c>
      <c r="T78" s="983">
        <f t="shared" si="20"/>
        <v>0</v>
      </c>
      <c r="U78" s="994"/>
      <c r="V78" s="993"/>
      <c r="W78" s="993"/>
      <c r="X78" s="993"/>
      <c r="Y78" s="993"/>
    </row>
    <row r="79" spans="1:25" s="153" customFormat="1" ht="12.75" hidden="1" customHeight="1" x14ac:dyDescent="0.2">
      <c r="A79" s="992"/>
      <c r="B79" s="991" t="s">
        <v>839</v>
      </c>
      <c r="C79" s="990"/>
      <c r="D79" s="990"/>
      <c r="E79" s="988"/>
      <c r="F79" s="990"/>
      <c r="G79" s="990"/>
      <c r="H79" s="990"/>
      <c r="I79" s="988" t="e">
        <f>H79/G79</f>
        <v>#DIV/0!</v>
      </c>
      <c r="J79" s="990"/>
      <c r="K79" s="990"/>
      <c r="L79" s="990"/>
      <c r="M79" s="988" t="e">
        <f>L79/K79</f>
        <v>#DIV/0!</v>
      </c>
      <c r="N79" s="989"/>
      <c r="O79" s="989"/>
      <c r="P79" s="989"/>
      <c r="Q79" s="988" t="e">
        <f>P79/O79</f>
        <v>#DIV/0!</v>
      </c>
      <c r="R79" s="983">
        <f t="shared" si="18"/>
        <v>0</v>
      </c>
      <c r="S79" s="983">
        <f t="shared" si="19"/>
        <v>0</v>
      </c>
      <c r="T79" s="983">
        <f t="shared" si="20"/>
        <v>0</v>
      </c>
      <c r="U79" s="988" t="e">
        <f>T79/S79</f>
        <v>#DIV/0!</v>
      </c>
    </row>
    <row r="80" spans="1:25" s="153" customFormat="1" ht="12.75" hidden="1" customHeight="1" x14ac:dyDescent="0.2">
      <c r="A80" s="992"/>
      <c r="B80" s="991" t="s">
        <v>838</v>
      </c>
      <c r="C80" s="990"/>
      <c r="D80" s="990"/>
      <c r="E80" s="988"/>
      <c r="F80" s="990"/>
      <c r="G80" s="990"/>
      <c r="H80" s="990"/>
      <c r="I80" s="988" t="e">
        <f>H80/G80</f>
        <v>#DIV/0!</v>
      </c>
      <c r="J80" s="990"/>
      <c r="K80" s="990"/>
      <c r="L80" s="990"/>
      <c r="M80" s="988" t="e">
        <f>L80/K80</f>
        <v>#DIV/0!</v>
      </c>
      <c r="N80" s="989"/>
      <c r="O80" s="989"/>
      <c r="P80" s="989"/>
      <c r="Q80" s="988" t="e">
        <f>P80/O80</f>
        <v>#DIV/0!</v>
      </c>
      <c r="R80" s="983">
        <f t="shared" si="18"/>
        <v>0</v>
      </c>
      <c r="S80" s="983">
        <f t="shared" si="19"/>
        <v>0</v>
      </c>
      <c r="T80" s="983">
        <f t="shared" si="20"/>
        <v>0</v>
      </c>
      <c r="U80" s="988" t="e">
        <f>T80/S80</f>
        <v>#DIV/0!</v>
      </c>
    </row>
    <row r="81" spans="1:21" s="153" customFormat="1" ht="13.5" hidden="1" customHeight="1" thickBot="1" x14ac:dyDescent="0.25">
      <c r="A81" s="987"/>
      <c r="B81" s="986" t="s">
        <v>837</v>
      </c>
      <c r="C81" s="985"/>
      <c r="D81" s="985"/>
      <c r="E81" s="982"/>
      <c r="F81" s="985"/>
      <c r="G81" s="985"/>
      <c r="H81" s="985"/>
      <c r="I81" s="982" t="e">
        <f>H81/G81</f>
        <v>#DIV/0!</v>
      </c>
      <c r="J81" s="985"/>
      <c r="K81" s="985"/>
      <c r="L81" s="985"/>
      <c r="M81" s="982" t="e">
        <f>L81/K81</f>
        <v>#DIV/0!</v>
      </c>
      <c r="N81" s="984"/>
      <c r="O81" s="984"/>
      <c r="P81" s="984"/>
      <c r="Q81" s="982" t="e">
        <f>P81/O81</f>
        <v>#DIV/0!</v>
      </c>
      <c r="R81" s="983">
        <f t="shared" si="18"/>
        <v>0</v>
      </c>
      <c r="S81" s="983">
        <f t="shared" si="19"/>
        <v>0</v>
      </c>
      <c r="T81" s="983">
        <f t="shared" si="20"/>
        <v>0</v>
      </c>
      <c r="U81" s="982" t="e">
        <f>T81/S81</f>
        <v>#DIV/0!</v>
      </c>
    </row>
    <row r="82" spans="1:21" s="977" customFormat="1" ht="17.25" customHeight="1" thickTop="1" thickBot="1" x14ac:dyDescent="0.3">
      <c r="A82" s="981"/>
      <c r="B82" s="980" t="s">
        <v>414</v>
      </c>
      <c r="C82" s="979">
        <f>C78+C74+C70+C66+C62+C58+C54+C50+C46+C42</f>
        <v>0</v>
      </c>
      <c r="D82" s="979">
        <f>D78+D74+D70+D66+D62+D58+D54+D50+D46+D42</f>
        <v>0</v>
      </c>
      <c r="E82" s="978"/>
      <c r="F82" s="979">
        <f>F78+F74+F70+F66+F62+F58+F54+F50+F46+F42</f>
        <v>219118</v>
      </c>
      <c r="G82" s="979">
        <f>G78+G74+G70+G66+G62+G58+G54+G50+G46+G42</f>
        <v>276628</v>
      </c>
      <c r="H82" s="979">
        <f>H78+H74+H70+H66+H62+H58+H54+H50+H46+H42</f>
        <v>276628</v>
      </c>
      <c r="I82" s="978">
        <f>H82/G82</f>
        <v>1</v>
      </c>
      <c r="J82" s="979">
        <f>J78+J74+J70+J66+J62+J58+J54+J50+J46+J42</f>
        <v>120418</v>
      </c>
      <c r="K82" s="979">
        <f>K78+K74+K70+K66+K62+K58+K54+K50+K46+K42</f>
        <v>116524</v>
      </c>
      <c r="L82" s="979">
        <f>L78+L74+L70+L66+L62+L58+L54+L50+L46+L42</f>
        <v>116524</v>
      </c>
      <c r="M82" s="978">
        <f>L82/K82</f>
        <v>1</v>
      </c>
      <c r="N82" s="979">
        <f>N78+N74+N70+N66+N62+N58+N54+N50+N46+N42</f>
        <v>3645351</v>
      </c>
      <c r="O82" s="979">
        <f>O78+O74+O70+O66+O62+O58+O54+O50+O46+O42</f>
        <v>4083817</v>
      </c>
      <c r="P82" s="979">
        <f>P78+P74+P70+P66+P62+P58+P54+P50+P46+P42</f>
        <v>4083817</v>
      </c>
      <c r="Q82" s="978">
        <f>P82/O82</f>
        <v>1</v>
      </c>
      <c r="R82" s="979">
        <f t="shared" si="18"/>
        <v>3984887</v>
      </c>
      <c r="S82" s="979">
        <f t="shared" si="19"/>
        <v>4476969</v>
      </c>
      <c r="T82" s="979">
        <f t="shared" si="20"/>
        <v>4476969</v>
      </c>
      <c r="U82" s="978">
        <f>T82/S82</f>
        <v>1</v>
      </c>
    </row>
    <row r="83" spans="1:21" s="408" customFormat="1" ht="13.5" thickTop="1" x14ac:dyDescent="0.2">
      <c r="E83" s="976"/>
    </row>
    <row r="84" spans="1:21" s="408" customFormat="1" x14ac:dyDescent="0.2">
      <c r="D84" s="766"/>
      <c r="E84" s="976"/>
      <c r="H84" s="766"/>
      <c r="L84" s="766"/>
      <c r="P84" s="766"/>
      <c r="T84" s="766"/>
    </row>
    <row r="85" spans="1:21" s="408" customFormat="1" x14ac:dyDescent="0.2">
      <c r="E85" s="976"/>
      <c r="P85" s="766"/>
    </row>
    <row r="86" spans="1:21" s="408" customFormat="1" x14ac:dyDescent="0.2">
      <c r="E86" s="976"/>
      <c r="L86" s="766"/>
    </row>
    <row r="87" spans="1:21" s="408" customFormat="1" x14ac:dyDescent="0.2">
      <c r="E87" s="976"/>
      <c r="T87" s="766"/>
    </row>
    <row r="88" spans="1:21" s="408" customFormat="1" x14ac:dyDescent="0.2">
      <c r="E88" s="976"/>
    </row>
    <row r="89" spans="1:21" s="408" customFormat="1" x14ac:dyDescent="0.2">
      <c r="E89" s="976"/>
    </row>
    <row r="90" spans="1:21" s="408" customFormat="1" x14ac:dyDescent="0.2">
      <c r="E90" s="976"/>
    </row>
    <row r="91" spans="1:21" s="408" customFormat="1" x14ac:dyDescent="0.2">
      <c r="E91" s="976"/>
    </row>
    <row r="92" spans="1:21" s="408" customFormat="1" x14ac:dyDescent="0.2">
      <c r="E92" s="976"/>
    </row>
    <row r="93" spans="1:21" s="408" customFormat="1" x14ac:dyDescent="0.2">
      <c r="E93" s="976"/>
    </row>
    <row r="94" spans="1:21" s="408" customFormat="1" x14ac:dyDescent="0.2">
      <c r="E94" s="976"/>
    </row>
    <row r="95" spans="1:21" s="408" customFormat="1" x14ac:dyDescent="0.2">
      <c r="E95" s="976"/>
    </row>
    <row r="96" spans="1:21" s="408" customFormat="1" x14ac:dyDescent="0.2">
      <c r="E96" s="976"/>
    </row>
    <row r="97" spans="5:5" s="408" customFormat="1" x14ac:dyDescent="0.2">
      <c r="E97" s="976"/>
    </row>
    <row r="98" spans="5:5" s="408" customFormat="1" x14ac:dyDescent="0.2">
      <c r="E98" s="976"/>
    </row>
    <row r="99" spans="5:5" s="408" customFormat="1" x14ac:dyDescent="0.2">
      <c r="E99" s="976"/>
    </row>
    <row r="100" spans="5:5" s="408" customFormat="1" x14ac:dyDescent="0.2">
      <c r="E100" s="976"/>
    </row>
    <row r="101" spans="5:5" s="408" customFormat="1" x14ac:dyDescent="0.2">
      <c r="E101" s="976"/>
    </row>
    <row r="102" spans="5:5" s="408" customFormat="1" x14ac:dyDescent="0.2">
      <c r="E102" s="976"/>
    </row>
    <row r="103" spans="5:5" s="408" customFormat="1" x14ac:dyDescent="0.2">
      <c r="E103" s="976"/>
    </row>
    <row r="104" spans="5:5" s="408" customFormat="1" x14ac:dyDescent="0.2">
      <c r="E104" s="976"/>
    </row>
    <row r="105" spans="5:5" s="408" customFormat="1" x14ac:dyDescent="0.2">
      <c r="E105" s="976"/>
    </row>
    <row r="106" spans="5:5" s="408" customFormat="1" x14ac:dyDescent="0.2">
      <c r="E106" s="976"/>
    </row>
    <row r="107" spans="5:5" s="408" customFormat="1" x14ac:dyDescent="0.2">
      <c r="E107" s="976"/>
    </row>
    <row r="108" spans="5:5" s="408" customFormat="1" x14ac:dyDescent="0.2">
      <c r="E108" s="976"/>
    </row>
    <row r="109" spans="5:5" s="408" customFormat="1" x14ac:dyDescent="0.2">
      <c r="E109" s="976"/>
    </row>
    <row r="110" spans="5:5" s="408" customFormat="1" x14ac:dyDescent="0.2">
      <c r="E110" s="976"/>
    </row>
    <row r="111" spans="5:5" s="408" customFormat="1" x14ac:dyDescent="0.2">
      <c r="E111" s="976"/>
    </row>
    <row r="112" spans="5:5" s="408" customFormat="1" x14ac:dyDescent="0.2">
      <c r="E112" s="976"/>
    </row>
    <row r="113" spans="5:5" s="408" customFormat="1" x14ac:dyDescent="0.2">
      <c r="E113" s="976"/>
    </row>
    <row r="114" spans="5:5" s="408" customFormat="1" x14ac:dyDescent="0.2">
      <c r="E114" s="976"/>
    </row>
    <row r="115" spans="5:5" s="408" customFormat="1" x14ac:dyDescent="0.2">
      <c r="E115" s="976"/>
    </row>
    <row r="116" spans="5:5" s="408" customFormat="1" x14ac:dyDescent="0.2">
      <c r="E116" s="976"/>
    </row>
    <row r="117" spans="5:5" s="408" customFormat="1" x14ac:dyDescent="0.2">
      <c r="E117" s="976"/>
    </row>
    <row r="118" spans="5:5" s="408" customFormat="1" x14ac:dyDescent="0.2">
      <c r="E118" s="976"/>
    </row>
    <row r="119" spans="5:5" s="408" customFormat="1" x14ac:dyDescent="0.2">
      <c r="E119" s="976"/>
    </row>
    <row r="120" spans="5:5" s="408" customFormat="1" x14ac:dyDescent="0.2">
      <c r="E120" s="976"/>
    </row>
    <row r="121" spans="5:5" s="408" customFormat="1" x14ac:dyDescent="0.2">
      <c r="E121" s="976"/>
    </row>
    <row r="122" spans="5:5" s="408" customFormat="1" x14ac:dyDescent="0.2">
      <c r="E122" s="976"/>
    </row>
    <row r="123" spans="5:5" s="408" customFormat="1" x14ac:dyDescent="0.2">
      <c r="E123" s="976"/>
    </row>
    <row r="124" spans="5:5" s="408" customFormat="1" x14ac:dyDescent="0.2">
      <c r="E124" s="976"/>
    </row>
    <row r="125" spans="5:5" s="408" customFormat="1" x14ac:dyDescent="0.2">
      <c r="E125" s="976"/>
    </row>
    <row r="126" spans="5:5" s="408" customFormat="1" x14ac:dyDescent="0.2">
      <c r="E126" s="976"/>
    </row>
    <row r="127" spans="5:5" s="408" customFormat="1" x14ac:dyDescent="0.2">
      <c r="E127" s="976"/>
    </row>
    <row r="128" spans="5:5" s="408" customFormat="1" x14ac:dyDescent="0.2">
      <c r="E128" s="976"/>
    </row>
    <row r="129" spans="5:5" s="408" customFormat="1" x14ac:dyDescent="0.2">
      <c r="E129" s="976"/>
    </row>
    <row r="130" spans="5:5" s="408" customFormat="1" x14ac:dyDescent="0.2">
      <c r="E130" s="976"/>
    </row>
    <row r="131" spans="5:5" s="408" customFormat="1" x14ac:dyDescent="0.2">
      <c r="E131" s="976"/>
    </row>
    <row r="132" spans="5:5" s="408" customFormat="1" x14ac:dyDescent="0.2">
      <c r="E132" s="976"/>
    </row>
    <row r="133" spans="5:5" s="408" customFormat="1" x14ac:dyDescent="0.2">
      <c r="E133" s="976"/>
    </row>
    <row r="134" spans="5:5" s="408" customFormat="1" x14ac:dyDescent="0.2">
      <c r="E134" s="976"/>
    </row>
    <row r="135" spans="5:5" s="408" customFormat="1" x14ac:dyDescent="0.2">
      <c r="E135" s="976"/>
    </row>
    <row r="136" spans="5:5" s="408" customFormat="1" x14ac:dyDescent="0.2">
      <c r="E136" s="976"/>
    </row>
    <row r="137" spans="5:5" s="408" customFormat="1" x14ac:dyDescent="0.2">
      <c r="E137" s="976"/>
    </row>
    <row r="138" spans="5:5" s="408" customFormat="1" x14ac:dyDescent="0.2">
      <c r="E138" s="976"/>
    </row>
    <row r="139" spans="5:5" s="408" customFormat="1" x14ac:dyDescent="0.2">
      <c r="E139" s="976"/>
    </row>
    <row r="140" spans="5:5" s="408" customFormat="1" x14ac:dyDescent="0.2">
      <c r="E140" s="976"/>
    </row>
    <row r="141" spans="5:5" s="408" customFormat="1" x14ac:dyDescent="0.2">
      <c r="E141" s="976"/>
    </row>
    <row r="142" spans="5:5" s="408" customFormat="1" x14ac:dyDescent="0.2">
      <c r="E142" s="976"/>
    </row>
    <row r="143" spans="5:5" s="408" customFormat="1" x14ac:dyDescent="0.2">
      <c r="E143" s="976"/>
    </row>
    <row r="144" spans="5:5" s="408" customFormat="1" x14ac:dyDescent="0.2">
      <c r="E144" s="976"/>
    </row>
    <row r="145" spans="5:5" s="408" customFormat="1" x14ac:dyDescent="0.2">
      <c r="E145" s="976"/>
    </row>
    <row r="146" spans="5:5" s="408" customFormat="1" x14ac:dyDescent="0.2">
      <c r="E146" s="976"/>
    </row>
    <row r="147" spans="5:5" s="408" customFormat="1" x14ac:dyDescent="0.2">
      <c r="E147" s="976"/>
    </row>
    <row r="148" spans="5:5" s="408" customFormat="1" x14ac:dyDescent="0.2">
      <c r="E148" s="976"/>
    </row>
    <row r="149" spans="5:5" s="408" customFormat="1" x14ac:dyDescent="0.2">
      <c r="E149" s="976"/>
    </row>
    <row r="150" spans="5:5" s="408" customFormat="1" x14ac:dyDescent="0.2">
      <c r="E150" s="976"/>
    </row>
    <row r="151" spans="5:5" s="408" customFormat="1" x14ac:dyDescent="0.2">
      <c r="E151" s="976"/>
    </row>
    <row r="152" spans="5:5" s="408" customFormat="1" x14ac:dyDescent="0.2">
      <c r="E152" s="976"/>
    </row>
    <row r="153" spans="5:5" s="408" customFormat="1" x14ac:dyDescent="0.2">
      <c r="E153" s="976"/>
    </row>
    <row r="154" spans="5:5" s="408" customFormat="1" x14ac:dyDescent="0.2">
      <c r="E154" s="976"/>
    </row>
  </sheetData>
  <mergeCells count="29">
    <mergeCell ref="T3:U3"/>
    <mergeCell ref="T1:U1"/>
    <mergeCell ref="K5:K6"/>
    <mergeCell ref="R4:U4"/>
    <mergeCell ref="N4:Q4"/>
    <mergeCell ref="U5:U6"/>
    <mergeCell ref="N5:N6"/>
    <mergeCell ref="P5:P6"/>
    <mergeCell ref="T5:T6"/>
    <mergeCell ref="R5:R6"/>
    <mergeCell ref="O5:O6"/>
    <mergeCell ref="S5:S6"/>
    <mergeCell ref="Q5:Q6"/>
    <mergeCell ref="A3:E3"/>
    <mergeCell ref="C4:E4"/>
    <mergeCell ref="F4:I4"/>
    <mergeCell ref="J4:M4"/>
    <mergeCell ref="M5:M6"/>
    <mergeCell ref="E5:E6"/>
    <mergeCell ref="A5:A6"/>
    <mergeCell ref="B5:B6"/>
    <mergeCell ref="C5:C6"/>
    <mergeCell ref="D5:D6"/>
    <mergeCell ref="I5:I6"/>
    <mergeCell ref="L5:L6"/>
    <mergeCell ref="J5:J6"/>
    <mergeCell ref="H5:H6"/>
    <mergeCell ref="F5:F6"/>
    <mergeCell ref="G5:G6"/>
  </mergeCells>
  <printOptions horizontalCentered="1" verticalCentered="1"/>
  <pageMargins left="0" right="0" top="0.74803149606299213" bottom="0.74803149606299213" header="0.31496062992125984" footer="0.31496062992125984"/>
  <pageSetup paperSize="9" scale="86" fitToWidth="0" orientation="landscape" r:id="rId1"/>
  <headerFooter alignWithMargins="0">
    <oddHeader xml:space="preserve">&amp;C&amp;"Times New Roman,Félkövér"&amp;10A  9/2021. ( II.16.) önkormányzati rendelethez Budapest Főváros IV. kerület Újpest Önkormányzat GI központhoz tartozó  egyéb intézmények beépülő bevételei és kiadásai&amp;R&amp;"Times New Roman,Félkövér"&amp;10
</oddHeader>
    <oddFooter>&amp;C&amp;P oldal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view="pageBreakPreview" zoomScale="60" zoomScaleNormal="100" workbookViewId="0">
      <selection activeCell="J15" sqref="J15"/>
    </sheetView>
  </sheetViews>
  <sheetFormatPr defaultColWidth="9.140625" defaultRowHeight="12.75" x14ac:dyDescent="0.2"/>
  <cols>
    <col min="1" max="1" width="34.42578125" style="953" customWidth="1"/>
    <col min="2" max="3" width="11.28515625" style="953" hidden="1" customWidth="1"/>
    <col min="4" max="5" width="11.28515625" style="953" customWidth="1"/>
    <col min="6" max="16384" width="9.140625" style="953"/>
  </cols>
  <sheetData>
    <row r="1" spans="1:7" ht="3" customHeight="1" x14ac:dyDescent="0.2"/>
    <row r="2" spans="1:7" ht="44.25" customHeight="1" x14ac:dyDescent="0.2">
      <c r="A2" s="1367" t="s">
        <v>865</v>
      </c>
      <c r="B2" s="1367"/>
      <c r="C2" s="1367"/>
      <c r="D2" s="1367"/>
      <c r="E2" s="1367"/>
      <c r="F2" s="1367"/>
      <c r="G2" s="1367"/>
    </row>
    <row r="3" spans="1:7" ht="21.75" customHeight="1" x14ac:dyDescent="0.25">
      <c r="A3" s="975"/>
      <c r="B3" s="974"/>
      <c r="C3" s="974"/>
      <c r="D3" s="974"/>
      <c r="E3" s="973"/>
      <c r="F3" s="1373" t="s">
        <v>858</v>
      </c>
      <c r="G3" s="1374"/>
    </row>
    <row r="4" spans="1:7" ht="21.75" customHeight="1" x14ac:dyDescent="0.25">
      <c r="A4" s="1261"/>
      <c r="B4" s="1262"/>
      <c r="C4" s="1262"/>
      <c r="D4" s="1262"/>
      <c r="E4" s="973"/>
      <c r="F4" s="720"/>
      <c r="G4" s="527"/>
    </row>
    <row r="5" spans="1:7" ht="25.5" customHeight="1" thickBot="1" x14ac:dyDescent="0.3">
      <c r="F5" s="753"/>
      <c r="G5" s="202" t="s">
        <v>277</v>
      </c>
    </row>
    <row r="6" spans="1:7" x14ac:dyDescent="0.2">
      <c r="A6" s="1368" t="s">
        <v>836</v>
      </c>
      <c r="B6" s="1370" t="s">
        <v>777</v>
      </c>
      <c r="C6" s="1370"/>
      <c r="D6" s="1371" t="s">
        <v>835</v>
      </c>
      <c r="E6" s="1370"/>
      <c r="F6" s="1368" t="s">
        <v>834</v>
      </c>
      <c r="G6" s="1372"/>
    </row>
    <row r="7" spans="1:7" ht="26.25" thickBot="1" x14ac:dyDescent="0.25">
      <c r="A7" s="1369"/>
      <c r="B7" s="972" t="s">
        <v>833</v>
      </c>
      <c r="C7" s="970" t="s">
        <v>832</v>
      </c>
      <c r="D7" s="971" t="s">
        <v>833</v>
      </c>
      <c r="E7" s="970" t="s">
        <v>832</v>
      </c>
      <c r="F7" s="971" t="s">
        <v>833</v>
      </c>
      <c r="G7" s="970" t="s">
        <v>832</v>
      </c>
    </row>
    <row r="8" spans="1:7" ht="18.75" customHeight="1" x14ac:dyDescent="0.2">
      <c r="A8" s="965" t="s">
        <v>831</v>
      </c>
      <c r="B8" s="964">
        <v>5200</v>
      </c>
      <c r="C8" s="960">
        <v>680</v>
      </c>
      <c r="D8" s="964">
        <v>3718</v>
      </c>
      <c r="E8" s="960">
        <v>361</v>
      </c>
      <c r="F8" s="964">
        <v>3718</v>
      </c>
      <c r="G8" s="960">
        <v>361</v>
      </c>
    </row>
    <row r="9" spans="1:7" ht="18.75" customHeight="1" x14ac:dyDescent="0.2">
      <c r="A9" s="965" t="s">
        <v>830</v>
      </c>
      <c r="B9" s="964">
        <v>12016</v>
      </c>
      <c r="C9" s="960">
        <v>1403</v>
      </c>
      <c r="D9" s="964">
        <v>7924</v>
      </c>
      <c r="E9" s="960">
        <v>885</v>
      </c>
      <c r="F9" s="964">
        <v>7924</v>
      </c>
      <c r="G9" s="960">
        <v>885</v>
      </c>
    </row>
    <row r="10" spans="1:7" ht="18.75" customHeight="1" x14ac:dyDescent="0.2">
      <c r="A10" s="965" t="s">
        <v>829</v>
      </c>
      <c r="B10" s="964">
        <v>2240</v>
      </c>
      <c r="C10" s="960">
        <v>138</v>
      </c>
      <c r="D10" s="964">
        <v>4759</v>
      </c>
      <c r="E10" s="960">
        <v>504</v>
      </c>
      <c r="F10" s="964">
        <v>4759</v>
      </c>
      <c r="G10" s="960">
        <v>504</v>
      </c>
    </row>
    <row r="11" spans="1:7" ht="18.75" customHeight="1" x14ac:dyDescent="0.2">
      <c r="A11" s="965" t="s">
        <v>828</v>
      </c>
      <c r="B11" s="964">
        <v>14130</v>
      </c>
      <c r="C11" s="960">
        <v>2084</v>
      </c>
      <c r="D11" s="964">
        <v>7009</v>
      </c>
      <c r="E11" s="960">
        <v>727</v>
      </c>
      <c r="F11" s="964">
        <v>7009</v>
      </c>
      <c r="G11" s="960">
        <v>727</v>
      </c>
    </row>
    <row r="12" spans="1:7" ht="18.75" customHeight="1" x14ac:dyDescent="0.2">
      <c r="A12" s="965" t="s">
        <v>827</v>
      </c>
      <c r="B12" s="964">
        <v>3050</v>
      </c>
      <c r="C12" s="960">
        <v>258</v>
      </c>
      <c r="D12" s="964">
        <v>2388</v>
      </c>
      <c r="E12" s="960">
        <v>174</v>
      </c>
      <c r="F12" s="964">
        <v>2388</v>
      </c>
      <c r="G12" s="960">
        <v>174</v>
      </c>
    </row>
    <row r="13" spans="1:7" ht="18.75" customHeight="1" x14ac:dyDescent="0.2">
      <c r="A13" s="965" t="s">
        <v>826</v>
      </c>
      <c r="B13" s="964">
        <v>4895</v>
      </c>
      <c r="C13" s="960">
        <v>657</v>
      </c>
      <c r="D13" s="964">
        <v>4269</v>
      </c>
      <c r="E13" s="960">
        <v>478</v>
      </c>
      <c r="F13" s="964">
        <v>4269</v>
      </c>
      <c r="G13" s="960">
        <v>478</v>
      </c>
    </row>
    <row r="14" spans="1:7" ht="18.75" customHeight="1" x14ac:dyDescent="0.2">
      <c r="A14" s="965" t="s">
        <v>825</v>
      </c>
      <c r="B14" s="964">
        <v>6101</v>
      </c>
      <c r="C14" s="960">
        <v>883</v>
      </c>
      <c r="D14" s="964">
        <v>4022</v>
      </c>
      <c r="E14" s="960">
        <v>453</v>
      </c>
      <c r="F14" s="964">
        <v>4022</v>
      </c>
      <c r="G14" s="960">
        <v>453</v>
      </c>
    </row>
    <row r="15" spans="1:7" ht="18.75" customHeight="1" x14ac:dyDescent="0.2">
      <c r="A15" s="965" t="s">
        <v>824</v>
      </c>
      <c r="B15" s="964">
        <v>2784</v>
      </c>
      <c r="C15" s="960">
        <v>274</v>
      </c>
      <c r="D15" s="964">
        <v>3753</v>
      </c>
      <c r="E15" s="960">
        <v>392</v>
      </c>
      <c r="F15" s="964">
        <v>3753</v>
      </c>
      <c r="G15" s="960">
        <v>392</v>
      </c>
    </row>
    <row r="16" spans="1:7" ht="18.75" customHeight="1" x14ac:dyDescent="0.2">
      <c r="A16" s="965" t="s">
        <v>823</v>
      </c>
      <c r="B16" s="964">
        <v>5235</v>
      </c>
      <c r="C16" s="960">
        <v>717</v>
      </c>
      <c r="D16" s="964">
        <v>1677</v>
      </c>
      <c r="E16" s="960">
        <v>78</v>
      </c>
      <c r="F16" s="964">
        <v>1677</v>
      </c>
      <c r="G16" s="960">
        <v>78</v>
      </c>
    </row>
    <row r="17" spans="1:7" ht="18.75" customHeight="1" thickBot="1" x14ac:dyDescent="0.25">
      <c r="A17" s="965" t="s">
        <v>822</v>
      </c>
      <c r="B17" s="964">
        <v>8841</v>
      </c>
      <c r="C17" s="960">
        <v>1243</v>
      </c>
      <c r="D17" s="964">
        <v>2464</v>
      </c>
      <c r="E17" s="960">
        <v>115</v>
      </c>
      <c r="F17" s="964">
        <v>2464</v>
      </c>
      <c r="G17" s="960">
        <v>115</v>
      </c>
    </row>
    <row r="18" spans="1:7" ht="18.75" customHeight="1" x14ac:dyDescent="0.2">
      <c r="A18" s="969" t="s">
        <v>821</v>
      </c>
      <c r="B18" s="964">
        <v>2003</v>
      </c>
      <c r="C18" s="960">
        <v>190</v>
      </c>
      <c r="D18" s="964">
        <v>1373</v>
      </c>
      <c r="E18" s="960">
        <v>29</v>
      </c>
      <c r="F18" s="964">
        <v>1373</v>
      </c>
      <c r="G18" s="960">
        <v>29</v>
      </c>
    </row>
    <row r="19" spans="1:7" ht="18.75" customHeight="1" x14ac:dyDescent="0.2">
      <c r="A19" s="963" t="s">
        <v>820</v>
      </c>
      <c r="B19" s="964">
        <v>9701</v>
      </c>
      <c r="C19" s="960">
        <v>1361</v>
      </c>
      <c r="D19" s="964">
        <v>4533</v>
      </c>
      <c r="E19" s="960">
        <v>402</v>
      </c>
      <c r="F19" s="964">
        <v>4533</v>
      </c>
      <c r="G19" s="960">
        <v>402</v>
      </c>
    </row>
    <row r="20" spans="1:7" ht="18.75" customHeight="1" x14ac:dyDescent="0.2">
      <c r="A20" s="965" t="s">
        <v>819</v>
      </c>
      <c r="B20" s="964">
        <v>4053</v>
      </c>
      <c r="C20" s="960">
        <v>521</v>
      </c>
      <c r="D20" s="964">
        <v>1269</v>
      </c>
      <c r="E20" s="960">
        <v>63</v>
      </c>
      <c r="F20" s="964">
        <v>1269</v>
      </c>
      <c r="G20" s="960">
        <v>63</v>
      </c>
    </row>
    <row r="21" spans="1:7" ht="18.75" customHeight="1" thickBot="1" x14ac:dyDescent="0.25">
      <c r="A21" s="965" t="s">
        <v>818</v>
      </c>
      <c r="B21" s="961">
        <v>4172</v>
      </c>
      <c r="C21" s="960">
        <v>524</v>
      </c>
      <c r="D21" s="961">
        <v>3217</v>
      </c>
      <c r="E21" s="960">
        <v>315</v>
      </c>
      <c r="F21" s="961">
        <v>3217</v>
      </c>
      <c r="G21" s="960">
        <v>315</v>
      </c>
    </row>
    <row r="22" spans="1:7" ht="18.75" customHeight="1" thickBot="1" x14ac:dyDescent="0.25">
      <c r="A22" s="968" t="s">
        <v>817</v>
      </c>
      <c r="B22" s="967">
        <f t="shared" ref="B22:G22" si="0">SUM(B8:B21)</f>
        <v>84421</v>
      </c>
      <c r="C22" s="966">
        <f t="shared" si="0"/>
        <v>10933</v>
      </c>
      <c r="D22" s="967">
        <f t="shared" si="0"/>
        <v>52375</v>
      </c>
      <c r="E22" s="966">
        <f t="shared" si="0"/>
        <v>4976</v>
      </c>
      <c r="F22" s="967">
        <f t="shared" si="0"/>
        <v>52375</v>
      </c>
      <c r="G22" s="966">
        <f t="shared" si="0"/>
        <v>4976</v>
      </c>
    </row>
    <row r="23" spans="1:7" ht="18.75" hidden="1" customHeight="1" x14ac:dyDescent="0.2">
      <c r="A23" s="965" t="s">
        <v>816</v>
      </c>
      <c r="B23" s="964"/>
      <c r="C23" s="960"/>
      <c r="D23" s="964"/>
      <c r="E23" s="960"/>
      <c r="F23" s="964"/>
      <c r="G23" s="960"/>
    </row>
    <row r="24" spans="1:7" ht="18.75" customHeight="1" x14ac:dyDescent="0.2">
      <c r="A24" s="963" t="s">
        <v>815</v>
      </c>
      <c r="B24" s="961">
        <v>3550</v>
      </c>
      <c r="C24" s="960">
        <v>621</v>
      </c>
      <c r="D24" s="961">
        <v>2647</v>
      </c>
      <c r="E24" s="960">
        <v>410</v>
      </c>
      <c r="F24" s="961">
        <v>2647</v>
      </c>
      <c r="G24" s="960">
        <v>410</v>
      </c>
    </row>
    <row r="25" spans="1:7" ht="18.75" customHeight="1" thickBot="1" x14ac:dyDescent="0.25">
      <c r="A25" s="962" t="s">
        <v>814</v>
      </c>
      <c r="B25" s="961">
        <v>11338</v>
      </c>
      <c r="C25" s="960">
        <v>1984</v>
      </c>
      <c r="D25" s="961">
        <v>19407</v>
      </c>
      <c r="E25" s="960">
        <v>3008</v>
      </c>
      <c r="F25" s="961">
        <v>19407</v>
      </c>
      <c r="G25" s="960">
        <v>3008</v>
      </c>
    </row>
    <row r="26" spans="1:7" ht="18.75" customHeight="1" thickBot="1" x14ac:dyDescent="0.25">
      <c r="A26" s="959" t="s">
        <v>813</v>
      </c>
      <c r="B26" s="958">
        <f t="shared" ref="B26:G26" si="1">SUM(B23:B25)</f>
        <v>14888</v>
      </c>
      <c r="C26" s="957">
        <f t="shared" si="1"/>
        <v>2605</v>
      </c>
      <c r="D26" s="958">
        <f t="shared" si="1"/>
        <v>22054</v>
      </c>
      <c r="E26" s="957">
        <f t="shared" si="1"/>
        <v>3418</v>
      </c>
      <c r="F26" s="958">
        <f t="shared" si="1"/>
        <v>22054</v>
      </c>
      <c r="G26" s="957">
        <f t="shared" si="1"/>
        <v>3418</v>
      </c>
    </row>
    <row r="27" spans="1:7" ht="18.75" customHeight="1" thickBot="1" x14ac:dyDescent="0.25">
      <c r="A27" s="956" t="s">
        <v>425</v>
      </c>
      <c r="B27" s="955">
        <f t="shared" ref="B27:G27" si="2">B22+B26</f>
        <v>99309</v>
      </c>
      <c r="C27" s="954">
        <f t="shared" si="2"/>
        <v>13538</v>
      </c>
      <c r="D27" s="955">
        <f t="shared" si="2"/>
        <v>74429</v>
      </c>
      <c r="E27" s="954">
        <f t="shared" si="2"/>
        <v>8394</v>
      </c>
      <c r="F27" s="955">
        <f t="shared" si="2"/>
        <v>74429</v>
      </c>
      <c r="G27" s="954">
        <f t="shared" si="2"/>
        <v>8394</v>
      </c>
    </row>
  </sheetData>
  <mergeCells count="6">
    <mergeCell ref="A2:G2"/>
    <mergeCell ref="A6:A7"/>
    <mergeCell ref="B6:C6"/>
    <mergeCell ref="D6:E6"/>
    <mergeCell ref="F6:G6"/>
    <mergeCell ref="F3:G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headerFooter alignWithMargins="0">
    <oddHeader>&amp;R&amp;"Times New Roman,Félkövér"2. b. melléklet
e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G42"/>
  <sheetViews>
    <sheetView zoomScaleNormal="100" workbookViewId="0">
      <selection activeCell="H14" sqref="H14"/>
    </sheetView>
  </sheetViews>
  <sheetFormatPr defaultColWidth="9.140625" defaultRowHeight="15" x14ac:dyDescent="0.25"/>
  <cols>
    <col min="1" max="1" width="9.5703125" style="568" customWidth="1"/>
    <col min="2" max="2" width="55.42578125" style="527" customWidth="1"/>
    <col min="3" max="3" width="17.85546875" style="527" hidden="1" customWidth="1"/>
    <col min="4" max="4" width="17.85546875" style="527" customWidth="1"/>
    <col min="5" max="5" width="17.5703125" style="720" customWidth="1"/>
    <col min="6" max="6" width="13.140625" style="527" customWidth="1"/>
    <col min="7" max="16384" width="9.140625" style="527"/>
  </cols>
  <sheetData>
    <row r="2" spans="1:7" ht="42.75" customHeight="1" x14ac:dyDescent="0.25">
      <c r="A2" s="1375" t="s">
        <v>866</v>
      </c>
      <c r="B2" s="1376"/>
      <c r="C2" s="1376"/>
      <c r="D2" s="1376"/>
      <c r="E2" s="1376"/>
      <c r="F2" s="1376"/>
    </row>
    <row r="3" spans="1:7" ht="17.25" customHeight="1" x14ac:dyDescent="0.25">
      <c r="A3" s="651"/>
      <c r="B3" s="754"/>
      <c r="C3" s="754"/>
      <c r="D3" s="754"/>
      <c r="E3" s="754"/>
      <c r="F3" s="754"/>
    </row>
    <row r="4" spans="1:7" ht="17.25" customHeight="1" x14ac:dyDescent="0.25">
      <c r="A4" s="651"/>
      <c r="B4" s="754"/>
      <c r="C4" s="754"/>
      <c r="D4" s="754"/>
      <c r="E4" s="1373" t="s">
        <v>763</v>
      </c>
      <c r="F4" s="1374"/>
      <c r="G4" s="533"/>
    </row>
    <row r="5" spans="1:7" x14ac:dyDescent="0.25">
      <c r="G5" s="533"/>
    </row>
    <row r="6" spans="1:7" ht="15.75" thickBot="1" x14ac:dyDescent="0.3">
      <c r="E6" s="753"/>
      <c r="F6" s="202" t="s">
        <v>277</v>
      </c>
      <c r="G6" s="533"/>
    </row>
    <row r="7" spans="1:7" s="750" customFormat="1" ht="27.75" customHeight="1" thickBot="1" x14ac:dyDescent="0.3">
      <c r="A7" s="648" t="s">
        <v>276</v>
      </c>
      <c r="B7" s="647" t="s">
        <v>275</v>
      </c>
      <c r="C7" s="752" t="s">
        <v>752</v>
      </c>
      <c r="D7" s="718" t="s">
        <v>273</v>
      </c>
      <c r="E7" s="718" t="s">
        <v>272</v>
      </c>
      <c r="F7" s="645" t="s">
        <v>598</v>
      </c>
      <c r="G7" s="751"/>
    </row>
    <row r="8" spans="1:7" ht="15" customHeight="1" thickBot="1" x14ac:dyDescent="0.3">
      <c r="A8" s="749" t="s">
        <v>72</v>
      </c>
      <c r="B8" s="748" t="s">
        <v>70</v>
      </c>
      <c r="C8" s="747" t="s">
        <v>91</v>
      </c>
      <c r="D8" s="746" t="s">
        <v>91</v>
      </c>
      <c r="E8" s="746" t="s">
        <v>66</v>
      </c>
      <c r="F8" s="745" t="s">
        <v>200</v>
      </c>
      <c r="G8" s="630"/>
    </row>
    <row r="9" spans="1:7" s="21" customFormat="1" ht="43.15" customHeight="1" x14ac:dyDescent="0.25">
      <c r="A9" s="693">
        <v>1</v>
      </c>
      <c r="B9" s="743" t="s">
        <v>762</v>
      </c>
      <c r="C9" s="742">
        <v>0</v>
      </c>
      <c r="D9" s="742">
        <v>1500</v>
      </c>
      <c r="E9" s="741">
        <f>SUM('[2]1018.Főépítész'!S39)</f>
        <v>1500</v>
      </c>
      <c r="F9" s="740">
        <f t="shared" ref="F9:F19" si="0">E9/D9</f>
        <v>1</v>
      </c>
      <c r="G9" s="735"/>
    </row>
    <row r="10" spans="1:7" s="21" customFormat="1" ht="43.15" customHeight="1" thickBot="1" x14ac:dyDescent="0.3">
      <c r="A10" s="744">
        <v>2</v>
      </c>
      <c r="B10" s="743" t="s">
        <v>741</v>
      </c>
      <c r="C10" s="742">
        <v>34859</v>
      </c>
      <c r="D10" s="742">
        <v>88415</v>
      </c>
      <c r="E10" s="741">
        <f>SUM([2]ÖK.ÖSSZESÍTŐ!K65)</f>
        <v>88415</v>
      </c>
      <c r="F10" s="740">
        <f t="shared" si="0"/>
        <v>1</v>
      </c>
      <c r="G10" s="735"/>
    </row>
    <row r="11" spans="1:7" s="21" customFormat="1" ht="43.15" customHeight="1" thickBot="1" x14ac:dyDescent="0.3">
      <c r="A11" s="739" t="s">
        <v>64</v>
      </c>
      <c r="B11" s="738" t="s">
        <v>761</v>
      </c>
      <c r="C11" s="737">
        <v>34859</v>
      </c>
      <c r="D11" s="737">
        <v>89915</v>
      </c>
      <c r="E11" s="737">
        <f>SUM(E9:E10)</f>
        <v>89915</v>
      </c>
      <c r="F11" s="736">
        <f t="shared" si="0"/>
        <v>1</v>
      </c>
      <c r="G11" s="735"/>
    </row>
    <row r="12" spans="1:7" ht="43.15" customHeight="1" x14ac:dyDescent="0.25">
      <c r="A12" s="693" t="s">
        <v>72</v>
      </c>
      <c r="B12" s="692" t="s">
        <v>760</v>
      </c>
      <c r="C12" s="734">
        <v>380000</v>
      </c>
      <c r="D12" s="734">
        <v>40000</v>
      </c>
      <c r="E12" s="734">
        <f>SUM('[2]1011.Városüzemelt.O'!O133)</f>
        <v>40000</v>
      </c>
      <c r="F12" s="733">
        <f t="shared" si="0"/>
        <v>1</v>
      </c>
      <c r="G12" s="533"/>
    </row>
    <row r="13" spans="1:7" ht="43.15" customHeight="1" x14ac:dyDescent="0.25">
      <c r="A13" s="611" t="s">
        <v>70</v>
      </c>
      <c r="B13" s="616" t="s">
        <v>759</v>
      </c>
      <c r="C13" s="730">
        <v>211482</v>
      </c>
      <c r="D13" s="730">
        <v>374000</v>
      </c>
      <c r="E13" s="730">
        <f>SUM('[2]1029 Pályázatok'!O31+'[2]1029 Pályázatok'!O34)</f>
        <v>374000</v>
      </c>
      <c r="F13" s="624">
        <f t="shared" si="0"/>
        <v>1</v>
      </c>
      <c r="G13" s="533"/>
    </row>
    <row r="14" spans="1:7" ht="43.15" customHeight="1" thickBot="1" x14ac:dyDescent="0.3">
      <c r="A14" s="611" t="s">
        <v>91</v>
      </c>
      <c r="B14" s="616" t="s">
        <v>758</v>
      </c>
      <c r="C14" s="730">
        <v>0</v>
      </c>
      <c r="D14" s="730">
        <v>81500</v>
      </c>
      <c r="E14" s="730">
        <f>SUM('[2]1029 Pályázatok'!O35+'[2]1029 Pályázatok'!O36)</f>
        <v>81500</v>
      </c>
      <c r="F14" s="624">
        <f t="shared" si="0"/>
        <v>1</v>
      </c>
      <c r="G14" s="533"/>
    </row>
    <row r="15" spans="1:7" ht="43.15" customHeight="1" x14ac:dyDescent="0.25">
      <c r="A15" s="693" t="s">
        <v>66</v>
      </c>
      <c r="B15" s="616" t="s">
        <v>757</v>
      </c>
      <c r="C15" s="730">
        <v>38100</v>
      </c>
      <c r="D15" s="730">
        <v>25000</v>
      </c>
      <c r="E15" s="730">
        <f>+'[2]1011.Városüzemelt.O'!O132</f>
        <v>25000</v>
      </c>
      <c r="F15" s="624">
        <f t="shared" si="0"/>
        <v>1</v>
      </c>
      <c r="G15" s="533"/>
    </row>
    <row r="16" spans="1:7" ht="43.15" customHeight="1" x14ac:dyDescent="0.25">
      <c r="A16" s="611" t="s">
        <v>200</v>
      </c>
      <c r="B16" s="676" t="s">
        <v>713</v>
      </c>
      <c r="C16" s="732">
        <v>63930</v>
      </c>
      <c r="D16" s="732">
        <v>33930</v>
      </c>
      <c r="E16" s="732">
        <f>SUM('[2]1011.Városüzemelt.O'!O140)</f>
        <v>33930</v>
      </c>
      <c r="F16" s="731">
        <f t="shared" si="0"/>
        <v>1</v>
      </c>
      <c r="G16" s="533"/>
    </row>
    <row r="17" spans="1:7" ht="43.15" customHeight="1" x14ac:dyDescent="0.25">
      <c r="A17" s="611" t="s">
        <v>420</v>
      </c>
      <c r="B17" s="616" t="s">
        <v>756</v>
      </c>
      <c r="C17" s="730">
        <v>298922</v>
      </c>
      <c r="D17" s="730">
        <v>12345</v>
      </c>
      <c r="E17" s="730">
        <f>SUM('[2]Segédtábla -áthúzodó'!O26)</f>
        <v>12345</v>
      </c>
      <c r="F17" s="624">
        <f t="shared" si="0"/>
        <v>1</v>
      </c>
      <c r="G17" s="533"/>
    </row>
    <row r="18" spans="1:7" s="529" customFormat="1" ht="43.15" customHeight="1" thickBot="1" x14ac:dyDescent="0.3">
      <c r="A18" s="729" t="s">
        <v>119</v>
      </c>
      <c r="B18" s="728" t="s">
        <v>755</v>
      </c>
      <c r="C18" s="727">
        <v>1052124</v>
      </c>
      <c r="D18" s="727">
        <v>566775</v>
      </c>
      <c r="E18" s="727">
        <f>SUM(E12:E17)</f>
        <v>566775</v>
      </c>
      <c r="F18" s="726">
        <f t="shared" si="0"/>
        <v>1</v>
      </c>
      <c r="G18" s="621"/>
    </row>
    <row r="19" spans="1:7" s="584" customFormat="1" ht="43.15" customHeight="1" thickBot="1" x14ac:dyDescent="0.3">
      <c r="A19" s="725"/>
      <c r="B19" s="724" t="s">
        <v>754</v>
      </c>
      <c r="C19" s="723">
        <v>1086983</v>
      </c>
      <c r="D19" s="723">
        <v>656690</v>
      </c>
      <c r="E19" s="723">
        <f>+E11+E18</f>
        <v>656690</v>
      </c>
      <c r="F19" s="722">
        <f t="shared" si="0"/>
        <v>1</v>
      </c>
      <c r="G19" s="721"/>
    </row>
    <row r="20" spans="1:7" x14ac:dyDescent="0.25">
      <c r="F20" s="533"/>
      <c r="G20" s="533"/>
    </row>
    <row r="21" spans="1:7" x14ac:dyDescent="0.25">
      <c r="C21" s="528"/>
      <c r="D21" s="528"/>
      <c r="F21" s="533"/>
      <c r="G21" s="533"/>
    </row>
    <row r="22" spans="1:7" x14ac:dyDescent="0.25">
      <c r="F22" s="533"/>
      <c r="G22" s="533"/>
    </row>
    <row r="23" spans="1:7" x14ac:dyDescent="0.25">
      <c r="F23" s="533"/>
      <c r="G23" s="533"/>
    </row>
    <row r="24" spans="1:7" x14ac:dyDescent="0.25">
      <c r="C24" s="720"/>
      <c r="D24" s="720"/>
    </row>
    <row r="42" hidden="1" x14ac:dyDescent="0.25"/>
  </sheetData>
  <mergeCells count="2">
    <mergeCell ref="A2:F2"/>
    <mergeCell ref="E4:F4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26</vt:i4>
      </vt:variant>
    </vt:vector>
  </HeadingPairs>
  <TitlesOfParts>
    <vt:vector size="45" baseType="lpstr">
      <vt:lpstr>1.a sz.melléklet</vt:lpstr>
      <vt:lpstr>1. b. Mérlegtábla</vt:lpstr>
      <vt:lpstr>2.sz.melléklet Önálló int.össz.</vt:lpstr>
      <vt:lpstr>2.a.1.óvodák</vt:lpstr>
      <vt:lpstr>2.a.2.egyéb</vt:lpstr>
      <vt:lpstr>2.a.2.1.ovik beépülő</vt:lpstr>
      <vt:lpstr>2.a.2.2.egyéb beépülő</vt:lpstr>
      <vt:lpstr>2.b.felhaszn.eng.kötött</vt:lpstr>
      <vt:lpstr>3.sz.mell.Felújítás</vt:lpstr>
      <vt:lpstr>4.mell Beruházás</vt:lpstr>
      <vt:lpstr>5.a mell. Átadott peszk.</vt:lpstr>
      <vt:lpstr>5.b mell. Átvett peszk.</vt:lpstr>
      <vt:lpstr>6.sz.mell.Tartalék</vt:lpstr>
      <vt:lpstr>7. sz. mell. ei felhasz. terv</vt:lpstr>
      <vt:lpstr>8.sz.mell.Többéves</vt:lpstr>
      <vt:lpstr>9. sz. mell. Adósságk.</vt:lpstr>
      <vt:lpstr>10 sz. mell EU-s </vt:lpstr>
      <vt:lpstr>11. sz. Kötelező-önként-áll.ig.</vt:lpstr>
      <vt:lpstr>12 sz. melll</vt:lpstr>
      <vt:lpstr>'1.a sz.melléklet'!Nyomtatási_cím</vt:lpstr>
      <vt:lpstr>'2.a.1.óvodák'!Nyomtatási_cím</vt:lpstr>
      <vt:lpstr>'2.a.2.1.ovik beépülő'!Nyomtatási_cím</vt:lpstr>
      <vt:lpstr>'2.a.2.2.egyéb beépülő'!Nyomtatási_cím</vt:lpstr>
      <vt:lpstr>'2.a.2.egyéb'!Nyomtatási_cím</vt:lpstr>
      <vt:lpstr>'2.sz.melléklet Önálló int.össz.'!Nyomtatási_cím</vt:lpstr>
      <vt:lpstr>'4.mell Beruházás'!Nyomtatási_cím</vt:lpstr>
      <vt:lpstr>'6.sz.mell.Tartalék'!Nyomtatási_cím</vt:lpstr>
      <vt:lpstr>'1. b. Mérlegtábla'!Nyomtatási_terület</vt:lpstr>
      <vt:lpstr>'1.a sz.melléklet'!Nyomtatási_terület</vt:lpstr>
      <vt:lpstr>'10 sz. mell EU-s '!Nyomtatási_terület</vt:lpstr>
      <vt:lpstr>'11. sz. Kötelező-önként-áll.ig.'!Nyomtatási_terület</vt:lpstr>
      <vt:lpstr>'2.a.1.óvodák'!Nyomtatási_terület</vt:lpstr>
      <vt:lpstr>'2.a.2.1.ovik beépülő'!Nyomtatási_terület</vt:lpstr>
      <vt:lpstr>'2.a.2.2.egyéb beépülő'!Nyomtatási_terület</vt:lpstr>
      <vt:lpstr>'2.a.2.egyéb'!Nyomtatási_terület</vt:lpstr>
      <vt:lpstr>'2.b.felhaszn.eng.kötött'!Nyomtatási_terület</vt:lpstr>
      <vt:lpstr>'2.sz.melléklet Önálló int.össz.'!Nyomtatási_terület</vt:lpstr>
      <vt:lpstr>'3.sz.mell.Felújítás'!Nyomtatási_terület</vt:lpstr>
      <vt:lpstr>'4.mell Beruházás'!Nyomtatási_terület</vt:lpstr>
      <vt:lpstr>'5.a mell. Átadott peszk.'!Nyomtatási_terület</vt:lpstr>
      <vt:lpstr>'5.b mell. Átvett peszk.'!Nyomtatási_terület</vt:lpstr>
      <vt:lpstr>'6.sz.mell.Tartalék'!Nyomtatási_terület</vt:lpstr>
      <vt:lpstr>'7. sz. mell. ei felhasz. terv'!Nyomtatási_terület</vt:lpstr>
      <vt:lpstr>'8.sz.mell.Többéves'!Nyomtatási_terület</vt:lpstr>
      <vt:lpstr>'9. sz. mell. Adósságk.'!Nyomtatási_terület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Miklós Andrea</dc:creator>
  <cp:lastModifiedBy>Szalontai Tünde</cp:lastModifiedBy>
  <cp:lastPrinted>2021-02-16T14:40:44Z</cp:lastPrinted>
  <dcterms:created xsi:type="dcterms:W3CDTF">2021-02-16T09:43:54Z</dcterms:created>
  <dcterms:modified xsi:type="dcterms:W3CDTF">2021-02-16T15:38:02Z</dcterms:modified>
</cp:coreProperties>
</file>