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68" firstSheet="11" activeTab="1"/>
  </bookViews>
  <sheets>
    <sheet name="Z_TARTALOMJEGYZÉK" sheetId="1" r:id="rId1"/>
    <sheet name="Z_ALAPADATOK" sheetId="2" r:id="rId2"/>
    <sheet name="Z_ÖSSZEFÜGGÉSEK" sheetId="3" r:id="rId3"/>
    <sheet name="ÖSSZ.ÖNK" sheetId="4" r:id="rId4"/>
    <sheet name="ÖSSZ.ÖNK KÖT." sheetId="5" r:id="rId5"/>
    <sheet name="ÖSSZ.ÖNK ÖNKÉNT V." sheetId="6" r:id="rId6"/>
    <sheet name="ÖSSZ.ÖNK ÁLLAMIG." sheetId="7" r:id="rId7"/>
    <sheet name="Beruházás" sheetId="8" r:id="rId8"/>
    <sheet name="Felújítás" sheetId="9" r:id="rId9"/>
    <sheet name="EU-S projektek" sheetId="10" r:id="rId10"/>
    <sheet name="ÖNK össz." sheetId="11" r:id="rId11"/>
    <sheet name="ÖNK Kötelező" sheetId="12" r:id="rId12"/>
    <sheet name="ÖNK Önként váll." sheetId="13" r:id="rId13"/>
    <sheet name="ÖNK Államig." sheetId="14" r:id="rId14"/>
    <sheet name="PH össz." sheetId="15" r:id="rId15"/>
    <sheet name="PH Kötelező" sheetId="16" r:id="rId16"/>
    <sheet name="PH Államig." sheetId="17" r:id="rId17"/>
    <sheet name="ÁMK össz." sheetId="18" r:id="rId18"/>
    <sheet name="ÁMK Kötelező" sheetId="19" r:id="rId19"/>
    <sheet name="Maradvány" sheetId="20" r:id="rId20"/>
    <sheet name="Állami támogatás" sheetId="21" r:id="rId21"/>
    <sheet name="Pénzügyi mérleg" sheetId="22" r:id="rId22"/>
    <sheet name="Vagyonkimutatás E." sheetId="23" r:id="rId23"/>
    <sheet name="Vagyonkimutatás F." sheetId="24" r:id="rId24"/>
    <sheet name="Vagyonkimutatás 0" sheetId="25" r:id="rId25"/>
    <sheet name="Részesedések" sheetId="26" r:id="rId26"/>
    <sheet name="Pénzeszközök" sheetId="27" r:id="rId27"/>
  </sheets>
  <definedNames>
    <definedName name="_ftn1" localSheetId="24">'Vagyonkimutatás 0'!$A$31</definedName>
    <definedName name="_ftnref1" localSheetId="24">'Vagyonkimutatás 0'!$A$22</definedName>
    <definedName name="_xlfn.IFERROR" hidden="1">#NAME?</definedName>
    <definedName name="_xlnm.Print_Titles" localSheetId="18">'ÁMK Kötelező'!$1:$6</definedName>
    <definedName name="_xlnm.Print_Titles" localSheetId="17">'ÁMK össz.'!$1:$6</definedName>
    <definedName name="_xlnm.Print_Titles" localSheetId="13">'ÖNK Államig.'!$1:$6</definedName>
    <definedName name="_xlnm.Print_Titles" localSheetId="11">'ÖNK Kötelező'!$1:$6</definedName>
    <definedName name="_xlnm.Print_Titles" localSheetId="12">'ÖNK Önként váll.'!$1:$6</definedName>
    <definedName name="_xlnm.Print_Titles" localSheetId="10">'ÖNK össz.'!$1:$6</definedName>
    <definedName name="_xlnm.Print_Titles" localSheetId="16">'PH Államig.'!$1:$6</definedName>
    <definedName name="_xlnm.Print_Titles" localSheetId="15">'PH Kötelező'!$1:$6</definedName>
    <definedName name="_xlnm.Print_Titles" localSheetId="14">'PH össz.'!$1:$6</definedName>
    <definedName name="_xlnm.Print_Titles" localSheetId="22">'Vagyonkimutatás E.'!$5:$9</definedName>
    <definedName name="_xlnm.Print_Area" localSheetId="3">'ÖSSZ.ÖNK'!$A$1:$E$167</definedName>
    <definedName name="_xlnm.Print_Area" localSheetId="6">'ÖSSZ.ÖNK ÁLLAMIG.'!$A$1:$E$166</definedName>
    <definedName name="_xlnm.Print_Area" localSheetId="4">'ÖSSZ.ÖNK KÖT.'!$A$1:$E$167</definedName>
    <definedName name="_xlnm.Print_Area" localSheetId="5">'ÖSSZ.ÖNK ÖNKÉNT V.'!$A$1:$E$166</definedName>
    <definedName name="_xlnm.Print_Area" localSheetId="21">'Pénzügyi mérleg'!$A$1:$E$156</definedName>
  </definedNames>
  <calcPr fullCalcOnLoad="1"/>
</workbook>
</file>

<file path=xl/sharedStrings.xml><?xml version="1.0" encoding="utf-8"?>
<sst xmlns="http://schemas.openxmlformats.org/spreadsheetml/2006/main" count="3992" uniqueCount="779">
  <si>
    <t>Vállalkozási maradvány igénybevétele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</si>
  <si>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</si>
  <si>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</si>
  <si>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</si>
  <si>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</si>
  <si>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</si>
  <si>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</si>
  <si>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</si>
  <si>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</si>
  <si>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</si>
  <si>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</si>
  <si>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</si>
  <si>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</si>
  <si>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</si>
  <si>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</si>
  <si>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</si>
  <si>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</si>
  <si>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</si>
  <si>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</si>
  <si>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</si>
  <si>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</si>
  <si>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</si>
  <si>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</si>
  <si>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</si>
  <si>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</si>
  <si>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</si>
  <si>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</si>
  <si>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</si>
  <si>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</si>
  <si>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</si>
  <si>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</si>
  <si>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</si>
  <si>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</si>
  <si>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</si>
  <si>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</si>
  <si>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</si>
  <si>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</si>
  <si>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</si>
  <si>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</si>
  <si>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</si>
  <si>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</si>
  <si>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</si>
  <si>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</si>
  <si>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</si>
  <si>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</si>
  <si>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</si>
  <si>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</si>
  <si>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</si>
  <si>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</si>
  <si>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</si>
  <si>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</si>
  <si>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</si>
  <si>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</si>
  <si>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</si>
  <si>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</si>
  <si>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</si>
  <si>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</si>
  <si>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</si>
  <si>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</si>
  <si>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</si>
  <si>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</si>
  <si>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</si>
  <si>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</si>
  <si>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</si>
  <si>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</si>
  <si>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</si>
  <si>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</si>
  <si>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</si>
  <si>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</si>
  <si>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</si>
  <si>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</si>
  <si>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</si>
  <si>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</si>
  <si>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</si>
  <si>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</si>
  <si>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</si>
  <si>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</si>
  <si>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</si>
  <si>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</si>
  <si>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</si>
  <si>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</si>
  <si>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</si>
  <si>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</si>
  <si>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</si>
  <si>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</si>
  <si>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</si>
  <si>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</si>
  <si>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</si>
  <si>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</si>
  <si>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</si>
  <si>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</si>
  <si>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</si>
  <si>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</si>
  <si>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</si>
  <si>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</si>
  <si>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</si>
  <si>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</si>
  <si>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</si>
  <si>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</si>
  <si>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</si>
  <si>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</si>
  <si>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</si>
  <si>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</si>
  <si>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</si>
  <si>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</si>
  <si>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</si>
  <si>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</si>
  <si>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</si>
  <si>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</si>
  <si>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</si>
  <si>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</si>
  <si>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</si>
  <si>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</si>
  <si>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</si>
  <si>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</si>
  <si>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</si>
  <si>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</si>
  <si>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</si>
  <si>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</si>
  <si>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</si>
  <si>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</si>
  <si>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</si>
  <si>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Beruházások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</si>
  <si>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</si>
  <si>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</si>
  <si>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</si>
  <si>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</si>
  <si>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</si>
  <si>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</si>
  <si>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</si>
  <si>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</si>
  <si>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</si>
  <si>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</si>
  <si>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</si>
  <si>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</si>
  <si>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</si>
  <si>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</si>
  <si>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</si>
  <si>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</si>
  <si>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</si>
  <si>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</si>
  <si>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</si>
  <si>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</si>
  <si>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</si>
  <si>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</si>
  <si>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</si>
  <si>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</si>
  <si>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</si>
  <si>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</si>
  <si>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</si>
  <si>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</si>
  <si>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</si>
  <si>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</si>
  <si>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</si>
  <si>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</si>
  <si>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</si>
  <si>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</si>
  <si>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</si>
  <si>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</si>
  <si>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</si>
  <si>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</si>
  <si>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</si>
  <si>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</si>
  <si>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</si>
  <si>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</si>
  <si>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</si>
  <si>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</si>
  <si>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</si>
  <si>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</si>
  <si>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</si>
  <si>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</si>
  <si>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</si>
  <si>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</si>
  <si>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</si>
  <si>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</si>
  <si>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</si>
  <si>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</si>
  <si>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</si>
  <si>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</si>
  <si>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</si>
  <si>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</si>
  <si>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</si>
  <si>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</si>
  <si>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</si>
  <si>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</si>
  <si>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</si>
  <si>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</si>
  <si>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</si>
  <si>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</si>
  <si>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</si>
  <si>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</si>
  <si>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</si>
  <si>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</si>
  <si>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</si>
  <si>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</si>
  <si>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</si>
  <si>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</si>
  <si>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</si>
  <si>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</si>
  <si>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</si>
  <si>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</si>
  <si>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</si>
  <si>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</si>
  <si>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</si>
  <si>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</si>
  <si>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</si>
  <si>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</si>
  <si>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</si>
  <si>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</si>
  <si>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</si>
  <si>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</si>
  <si>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</si>
  <si>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</si>
  <si>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</si>
  <si>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</si>
  <si>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</si>
  <si>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</si>
  <si>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</si>
  <si>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</si>
  <si>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</si>
  <si>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</si>
  <si>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</si>
  <si>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</si>
  <si>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</si>
  <si>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</si>
  <si>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</si>
  <si>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</si>
  <si>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</si>
  <si>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</si>
  <si>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</si>
  <si>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</si>
  <si>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</si>
  <si>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</si>
  <si>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</si>
  <si>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</si>
  <si>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</si>
  <si>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</si>
  <si>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</si>
  <si>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</si>
  <si>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</si>
  <si>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</si>
  <si>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</si>
  <si>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</si>
  <si>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</si>
  <si>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</si>
  <si>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Működési célú átvett pénzeszközök</t>
  </si>
  <si>
    <t>Pénzügyi lízing kiadásai</t>
  </si>
  <si>
    <t xml:space="preserve"> 10.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</si>
  <si>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</si>
  <si>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</si>
  <si>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</si>
  <si>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</si>
  <si>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</si>
  <si>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</si>
  <si>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</si>
  <si>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</si>
  <si>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</si>
  <si>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</si>
  <si>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</si>
  <si>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</si>
  <si>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</si>
  <si>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</si>
  <si>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</si>
  <si>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</si>
  <si>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</si>
  <si>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</si>
  <si>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</si>
  <si>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</si>
  <si>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</si>
  <si>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</si>
  <si>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</si>
  <si>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</si>
  <si>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</si>
  <si>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</si>
  <si>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</si>
  <si>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</si>
  <si>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</si>
  <si>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</si>
  <si>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</si>
  <si>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</si>
  <si>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</si>
  <si>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</si>
  <si>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</si>
  <si>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</si>
  <si>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</si>
  <si>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</si>
  <si>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</si>
  <si>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</si>
  <si>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</si>
  <si>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</si>
  <si>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</si>
  <si>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</si>
  <si>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</si>
  <si>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</si>
  <si>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</si>
  <si>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</si>
  <si>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</si>
  <si>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</si>
  <si>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</si>
  <si>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</si>
  <si>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</si>
  <si>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</si>
  <si>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</si>
  <si>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</si>
  <si>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</si>
  <si>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</si>
  <si>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</si>
  <si>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</si>
  <si>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</si>
  <si>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</si>
  <si>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</si>
  <si>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</si>
  <si>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</si>
  <si>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</si>
  <si>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</si>
  <si>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</si>
  <si>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</si>
  <si>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</si>
  <si>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</si>
  <si>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</si>
  <si>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</si>
  <si>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</si>
  <si>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</si>
  <si>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</si>
  <si>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</si>
  <si>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</si>
  <si>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</si>
  <si>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</si>
  <si>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</si>
  <si>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</si>
  <si>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</si>
  <si>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</si>
  <si>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</si>
  <si>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</si>
  <si>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</si>
  <si>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</si>
  <si>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</si>
  <si>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</si>
  <si>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</si>
  <si>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</si>
  <si>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</si>
  <si>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</si>
  <si>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</si>
  <si>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</si>
  <si>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</si>
  <si>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</si>
  <si>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</si>
  <si>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</si>
  <si>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</si>
  <si>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</si>
  <si>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</si>
  <si>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</si>
  <si>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</si>
  <si>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</si>
  <si>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</si>
  <si>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</si>
  <si>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</si>
  <si>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</si>
  <si>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</si>
  <si>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</si>
  <si>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</si>
  <si>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</si>
  <si>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</si>
  <si>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</si>
  <si>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</si>
  <si>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</si>
  <si>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</si>
  <si>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</si>
  <si>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</si>
  <si>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</si>
  <si>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</si>
  <si>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</si>
  <si>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</si>
  <si>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</si>
  <si>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</si>
  <si>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</si>
  <si>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</si>
  <si>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</si>
  <si>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</si>
  <si>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</si>
  <si>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</si>
  <si>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</si>
  <si>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</si>
  <si>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</si>
  <si>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</si>
  <si>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</si>
  <si>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</si>
  <si>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</si>
  <si>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</si>
  <si>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</si>
  <si>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</si>
  <si>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</si>
  <si>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</si>
  <si>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</si>
  <si>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</si>
  <si>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</si>
  <si>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</si>
  <si>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</si>
  <si>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</si>
  <si>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</si>
  <si>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</si>
  <si>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</si>
  <si>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</si>
  <si>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</si>
  <si>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</si>
  <si>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</si>
  <si>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</si>
  <si>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</si>
  <si>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</si>
  <si>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Közhatalmi bevételek (4.1.+…+4.7.)</t>
  </si>
  <si>
    <t>Iparűzési adó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</si>
  <si>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</si>
  <si>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</si>
  <si>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</si>
  <si>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</si>
  <si>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</si>
  <si>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</si>
  <si>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</si>
  <si>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</si>
  <si>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</si>
  <si>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</si>
  <si>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</si>
  <si>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</si>
  <si>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</si>
  <si>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</si>
  <si>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</si>
  <si>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</si>
  <si>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</si>
  <si>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2.1. melléklet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</si>
  <si>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</si>
  <si>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</si>
  <si>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</si>
  <si>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</si>
  <si>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</si>
  <si>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</si>
  <si>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</si>
  <si>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</si>
  <si>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</si>
  <si>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</si>
  <si>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</si>
  <si>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</si>
  <si>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</si>
  <si>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</si>
  <si>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</si>
  <si>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</si>
  <si>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</si>
  <si>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</si>
  <si>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</si>
  <si>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</si>
  <si>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</si>
  <si>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</si>
  <si>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</si>
  <si>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</si>
  <si>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</si>
  <si>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</si>
  <si>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</si>
  <si>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</si>
  <si>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</si>
  <si>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</si>
  <si>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</si>
  <si>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</si>
  <si>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</si>
  <si>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</si>
  <si>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</si>
  <si>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</si>
  <si>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</si>
  <si>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</si>
  <si>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</si>
  <si>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</si>
  <si>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</si>
  <si>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</si>
  <si>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</si>
  <si>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</si>
  <si>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</si>
  <si>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</si>
  <si>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</si>
  <si>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</si>
  <si>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</si>
  <si>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</si>
  <si>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</si>
  <si>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</si>
  <si>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</si>
  <si>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</si>
  <si>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</si>
  <si>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</si>
  <si>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</si>
  <si>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</si>
  <si>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</si>
  <si>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</si>
  <si>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</si>
  <si>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</si>
  <si>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</si>
  <si>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</si>
  <si>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</si>
  <si>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</si>
  <si>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</si>
  <si>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</si>
  <si>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</si>
  <si>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</si>
  <si>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</si>
  <si>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</si>
  <si>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</si>
  <si>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</si>
  <si>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</si>
  <si>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</si>
  <si>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</si>
  <si>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</si>
  <si>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</si>
  <si>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</si>
  <si>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</si>
  <si>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</si>
  <si>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</si>
  <si>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</si>
  <si>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</si>
  <si>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</si>
  <si>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</si>
  <si>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</si>
  <si>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</si>
  <si>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</si>
  <si>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</si>
  <si>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</si>
  <si>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</si>
  <si>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</si>
  <si>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</si>
  <si>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</si>
  <si>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</si>
  <si>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</si>
  <si>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</si>
  <si>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</si>
  <si>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</si>
  <si>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</si>
  <si>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</si>
  <si>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</si>
  <si>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</si>
  <si>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</si>
  <si>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</si>
  <si>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</si>
  <si>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</si>
  <si>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</si>
  <si>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</si>
  <si>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</si>
  <si>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</si>
  <si>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</si>
  <si>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</si>
  <si>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</si>
  <si>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</si>
  <si>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</si>
  <si>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</si>
  <si>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</si>
  <si>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</si>
  <si>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</si>
  <si>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</si>
  <si>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</si>
  <si>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</si>
  <si>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</si>
  <si>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</si>
  <si>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</si>
  <si>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</si>
  <si>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</si>
  <si>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</si>
  <si>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</si>
  <si>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</si>
  <si>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</si>
  <si>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</si>
  <si>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</si>
  <si>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</si>
  <si>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</si>
  <si>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</si>
  <si>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</si>
  <si>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</si>
  <si>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</si>
  <si>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</si>
  <si>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</si>
  <si>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</si>
  <si>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</si>
  <si>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</si>
  <si>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</si>
  <si>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</si>
  <si>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</si>
  <si>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</si>
  <si>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</si>
  <si>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</si>
  <si>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</si>
  <si>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</si>
  <si>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</si>
  <si>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</si>
  <si>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</si>
  <si>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</si>
  <si>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</si>
  <si>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</si>
  <si>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</si>
  <si>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</si>
  <si>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</si>
  <si>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</si>
  <si>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</si>
  <si>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</si>
  <si>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</si>
  <si>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</si>
  <si>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</si>
  <si>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</si>
  <si>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</si>
  <si>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</si>
  <si>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</si>
  <si>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</si>
  <si>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</si>
  <si>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</si>
  <si>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</si>
  <si>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</si>
  <si>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</si>
  <si>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</si>
  <si>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</si>
  <si>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</si>
  <si>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</si>
  <si>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</si>
  <si>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</si>
  <si>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</si>
  <si>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</si>
  <si>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</si>
  <si>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</si>
  <si>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</si>
  <si>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</si>
  <si>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</si>
  <si>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</si>
  <si>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</si>
  <si>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</si>
  <si>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</si>
  <si>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</si>
  <si>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</si>
  <si>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</si>
  <si>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</si>
  <si>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</si>
  <si>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</si>
  <si>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</si>
  <si>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</si>
  <si>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</si>
  <si>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</si>
  <si>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</si>
  <si>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</si>
  <si>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</si>
  <si>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</si>
  <si>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</si>
  <si>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</si>
  <si>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</si>
  <si>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</si>
  <si>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</si>
  <si>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</si>
  <si>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</si>
  <si>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</si>
  <si>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</si>
  <si>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</si>
  <si>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</si>
  <si>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</si>
  <si>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</si>
  <si>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</si>
  <si>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</si>
  <si>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</si>
  <si>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</si>
  <si>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</si>
  <si>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</si>
  <si>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</si>
  <si>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</si>
  <si>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</si>
  <si>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</si>
  <si>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</si>
  <si>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</si>
  <si>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</si>
  <si>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</si>
  <si>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</si>
  <si>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</si>
  <si>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</si>
  <si>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</si>
  <si>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</si>
  <si>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</si>
  <si>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</si>
  <si>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</si>
  <si>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</si>
  <si>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</si>
  <si>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</si>
  <si>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</si>
  <si>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</si>
  <si>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</si>
  <si>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</si>
  <si>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</si>
  <si>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</si>
  <si>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</si>
  <si>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</si>
  <si>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</si>
  <si>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</si>
  <si>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</si>
  <si>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>Kommunális adó</t>
  </si>
  <si>
    <t>Mellékletben külön?</t>
  </si>
  <si>
    <t>.</t>
  </si>
  <si>
    <r>
      <t>2018. évi L.
törvény 2.  melléklete száma</t>
    </r>
    <r>
      <rPr>
        <b/>
        <sz val="10"/>
        <rFont val="Symbol"/>
        <family val="1"/>
      </rPr>
      <t>*</t>
    </r>
  </si>
  <si>
    <t>* Magyarország 2019. évi központi költségvetéséról szóló törvény</t>
  </si>
  <si>
    <t xml:space="preserve">bevételei, kiadásai, hozzájárulások  </t>
  </si>
  <si>
    <t>Évenkénti ütemezés</t>
  </si>
  <si>
    <t>Igen</t>
  </si>
  <si>
    <t>I=C+F</t>
  </si>
  <si>
    <t>B=C+E+H</t>
  </si>
  <si>
    <t>Módosítás utáni összes forrás, kiadás</t>
  </si>
  <si>
    <t>Idegenforgalmi adó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</si>
  <si>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</si>
  <si>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</si>
  <si>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</si>
  <si>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</si>
  <si>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</si>
  <si>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Karácsond Községi Önkormányzat</t>
  </si>
  <si>
    <t>Karácsondi Közös Önkormányzati Hivatal</t>
  </si>
  <si>
    <t>Karácsond Általános Művelődési Központ</t>
  </si>
  <si>
    <t>Karácsondi Polgármesteri hivatal</t>
  </si>
  <si>
    <t xml:space="preserve">                      -Tartalékok</t>
  </si>
  <si>
    <t>4.5</t>
  </si>
  <si>
    <t>4.6</t>
  </si>
  <si>
    <t>4.7</t>
  </si>
  <si>
    <t>4.8</t>
  </si>
  <si>
    <t>Egyéb közhatalmi bevételek</t>
  </si>
  <si>
    <t xml:space="preserve"> </t>
  </si>
  <si>
    <t xml:space="preserve">  - ebből: igazgatási szolgáltatási díjak</t>
  </si>
  <si>
    <t xml:space="preserve">  - ebből: egyéb bírság</t>
  </si>
  <si>
    <t xml:space="preserve">   -ebből: önkormányzat által beszedett talajterhelési díj</t>
  </si>
  <si>
    <t>4.8.</t>
  </si>
  <si>
    <t xml:space="preserve">     -ebből: egyéb bírság</t>
  </si>
  <si>
    <t xml:space="preserve">     -ebből: önkormányzat által beszedett talajterhelési díj</t>
  </si>
  <si>
    <t xml:space="preserve">     -ebből: igazgatási szolgáltatási díjak</t>
  </si>
  <si>
    <t xml:space="preserve">                    Tartalékok</t>
  </si>
  <si>
    <t>Karácsondi Polgármesteri Hivatal</t>
  </si>
  <si>
    <t>Települési önkormányzatok egyes köznevelési feladatainak támogatása</t>
  </si>
  <si>
    <t>I.</t>
  </si>
  <si>
    <t>II.</t>
  </si>
  <si>
    <t>Települési önkormányzatok szociális gyermekjóléti és gyermekétkeztetési feladatainak támogatása</t>
  </si>
  <si>
    <t>III.</t>
  </si>
  <si>
    <t>Települési önkormányzatok kzlturális feladatainak támogatása</t>
  </si>
  <si>
    <t>IV.</t>
  </si>
  <si>
    <t xml:space="preserve">   -ebből: igazgatási szolgáltatási díjak</t>
  </si>
  <si>
    <t xml:space="preserve">   -ebből: egyéb bírság</t>
  </si>
  <si>
    <t xml:space="preserve">   -ebből: önkormányzat által beszedett taljterhelési díj</t>
  </si>
  <si>
    <t xml:space="preserve">    -Tartalékok</t>
  </si>
  <si>
    <t xml:space="preserve">         - az 1.18-ból: - Általános tartalék</t>
  </si>
  <si>
    <t xml:space="preserve">         - Céltartalék</t>
  </si>
  <si>
    <t>Fejlesztési és Koordinációs Központ Nonprofit Kft</t>
  </si>
  <si>
    <t>Karácsondi Szociális Szövetkezet</t>
  </si>
  <si>
    <t>Gépek beszerzése VP6-7.2.1-7.4.1.2-16 kódszámú pályázat támogatási előleg + önerő</t>
  </si>
  <si>
    <t>Önkormányzati közintézmények, középületek, közterületek beruházásai</t>
  </si>
  <si>
    <t>204105/3276 Könyvtári Információs és Közösség hely könyvtári bútorainak kiegészítő berendezési tárgyainak, infokummunikációa eszközeinek fejlesztésére beszerzésére célú pályázat támogatás + önerő</t>
  </si>
  <si>
    <t>Karácsond község közintézményeinek energetikai korszerűsítése</t>
  </si>
  <si>
    <t>Szociális alapszolgáltatások fejlesztése Karácsondon</t>
  </si>
  <si>
    <t>Vis maior támogatás felhasználása</t>
  </si>
  <si>
    <t>Vis maior támogatás önerő</t>
  </si>
  <si>
    <t>Karácsondi Gesztenyéskerti Napköziotthonos Óvoda fejlesztése és mini bölcsőde kialakítása</t>
  </si>
  <si>
    <t>Önkormányzati fejlesztések 2018 pályázat támogatás + önerő</t>
  </si>
  <si>
    <t>I. Világháborús emlékmű felújítása pályázat</t>
  </si>
  <si>
    <t>2017-2020</t>
  </si>
  <si>
    <t>2018-2020</t>
  </si>
  <si>
    <t>2017-2019</t>
  </si>
  <si>
    <t>Vis maior 2018. támogatás</t>
  </si>
  <si>
    <t>2019</t>
  </si>
  <si>
    <t>Belterületi utak járdák felújítása</t>
  </si>
  <si>
    <t>2018-2019</t>
  </si>
  <si>
    <t>"Többfunkciós Szolgáltató Központnak kialakítandó épület külső rekonstukciója Karácsond Községben"</t>
  </si>
  <si>
    <t>jó</t>
  </si>
  <si>
    <t>Magyar Falu program - óvoda udvar fejlesztése</t>
  </si>
  <si>
    <t>2019-2020</t>
  </si>
  <si>
    <t>Önkormányzati  közitézmények, középületek, közterületek felújítása</t>
  </si>
  <si>
    <t>2020</t>
  </si>
  <si>
    <t>Ingatlan vásárlás</t>
  </si>
  <si>
    <t>Iparúzési adó</t>
  </si>
  <si>
    <t xml:space="preserve">     - önkormányzat által beszedett talajtehelési díj</t>
  </si>
  <si>
    <t xml:space="preserve">                             az 1.18-ból: - Általános tartalék</t>
  </si>
  <si>
    <t xml:space="preserve">                                 - Céltartalék</t>
  </si>
  <si>
    <t xml:space="preserve">                          - az 1.18-ból: - Általános tartalék</t>
  </si>
  <si>
    <t xml:space="preserve">                           - Céltartalék</t>
  </si>
  <si>
    <t xml:space="preserve">     - ebből: önkormányzat által beszedett talajterhelési díj</t>
  </si>
  <si>
    <t>TOP-3.2.1-15-HE1-2016-00013</t>
  </si>
  <si>
    <t>Karácsond Község Közintézményeinek energetikai korszerűsítése megújuló energiaforrás bevonásával</t>
  </si>
  <si>
    <t>TOP-4.2.1-15HE1-2016-00007</t>
  </si>
  <si>
    <t>TOP-1.4.1-16-HEI1-2017-40019</t>
  </si>
  <si>
    <t>Karácsondi Gesztenyéskerti Npköziotthonos Óvoda fejlesztése</t>
  </si>
  <si>
    <t>9. melléklet a …/2020. (…) önkormányzati rendelethez</t>
  </si>
  <si>
    <t>VI.11.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</si>
</sst>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#,##0\ _F_t"/>
  </numFmts>
  <fonts count="10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i/>
      <sz val="12"/>
      <name val="Times New Roman CE"/>
      <family val="0"/>
    </font>
    <font>
      <b/>
      <sz val="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2" borderId="7" applyNumberFormat="0" applyFont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0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8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39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43" xfId="61" applyFont="1" applyFill="1" applyBorder="1" applyAlignment="1" applyProtection="1">
      <alignment horizontal="center" vertical="center" wrapText="1"/>
      <protection/>
    </xf>
    <xf numFmtId="0" fontId="12" fillId="0" borderId="44" xfId="61" applyFont="1" applyFill="1" applyBorder="1" applyAlignment="1" applyProtection="1">
      <alignment horizontal="center" vertical="center" wrapText="1"/>
      <protection/>
    </xf>
    <xf numFmtId="166" fontId="12" fillId="0" borderId="4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50" xfId="6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 quotePrefix="1">
      <alignment horizontal="right" vertical="center" indent="1"/>
      <protection locked="0"/>
    </xf>
    <xf numFmtId="49" fontId="6" fillId="0" borderId="52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0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 locked="0"/>
    </xf>
    <xf numFmtId="0" fontId="25" fillId="0" borderId="0" xfId="63" applyFill="1" applyProtection="1">
      <alignment/>
      <protection/>
    </xf>
    <xf numFmtId="0" fontId="30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3" fillId="0" borderId="13" xfId="63" applyNumberFormat="1" applyFont="1" applyFill="1" applyBorder="1" applyAlignment="1" applyProtection="1">
      <alignment horizontal="right" vertical="center" wrapText="1"/>
      <protection locked="0"/>
    </xf>
    <xf numFmtId="177" fontId="33" fillId="0" borderId="54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3" fillId="0" borderId="11" xfId="63" applyNumberFormat="1" applyFont="1" applyFill="1" applyBorder="1" applyAlignment="1" applyProtection="1">
      <alignment horizontal="right" vertical="center" wrapText="1"/>
      <protection/>
    </xf>
    <xf numFmtId="177" fontId="33" fillId="0" borderId="26" xfId="63" applyNumberFormat="1" applyFont="1" applyFill="1" applyBorder="1" applyAlignment="1" applyProtection="1">
      <alignment horizontal="right" vertical="center" wrapText="1"/>
      <protection/>
    </xf>
    <xf numFmtId="0" fontId="34" fillId="0" borderId="17" xfId="63" applyFont="1" applyFill="1" applyBorder="1" applyAlignment="1" applyProtection="1">
      <alignment horizontal="left" vertical="center" wrapText="1" indent="1"/>
      <protection/>
    </xf>
    <xf numFmtId="177" fontId="35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5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26" xfId="63" applyNumberFormat="1" applyFont="1" applyFill="1" applyBorder="1" applyAlignment="1" applyProtection="1">
      <alignment horizontal="right" vertical="center" wrapText="1"/>
      <protection locked="0"/>
    </xf>
    <xf numFmtId="177" fontId="36" fillId="0" borderId="11" xfId="63" applyNumberFormat="1" applyFont="1" applyFill="1" applyBorder="1" applyAlignment="1" applyProtection="1">
      <alignment horizontal="right" vertical="center" wrapText="1"/>
      <protection/>
    </xf>
    <xf numFmtId="177" fontId="36" fillId="0" borderId="26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9" xfId="62" applyNumberFormat="1" applyFont="1" applyFill="1" applyBorder="1" applyAlignment="1" applyProtection="1">
      <alignment horizontal="center" vertical="center"/>
      <protection/>
    </xf>
    <xf numFmtId="177" fontId="33" fillId="0" borderId="29" xfId="63" applyNumberFormat="1" applyFont="1" applyFill="1" applyBorder="1" applyAlignment="1" applyProtection="1">
      <alignment horizontal="right" vertical="center" wrapText="1"/>
      <protection/>
    </xf>
    <xf numFmtId="177" fontId="33" fillId="0" borderId="50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55" xfId="62" applyNumberFormat="1" applyFont="1" applyFill="1" applyBorder="1" applyAlignment="1" applyProtection="1">
      <alignment vertical="center"/>
      <protection locked="0"/>
    </xf>
    <xf numFmtId="178" fontId="13" fillId="0" borderId="26" xfId="62" applyNumberFormat="1" applyFont="1" applyFill="1" applyBorder="1" applyAlignment="1" applyProtection="1">
      <alignment vertical="center"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178" fontId="12" fillId="0" borderId="26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50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56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8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55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27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178" fontId="12" fillId="0" borderId="28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29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left" vertical="top" wrapText="1"/>
      <protection locked="0"/>
    </xf>
    <xf numFmtId="9" fontId="40" fillId="0" borderId="12" xfId="71" applyFont="1" applyBorder="1" applyAlignment="1" applyProtection="1">
      <alignment horizontal="center" vertical="center" wrapText="1"/>
      <protection locked="0"/>
    </xf>
    <xf numFmtId="168" fontId="40" fillId="0" borderId="12" xfId="42" applyNumberFormat="1" applyFont="1" applyBorder="1" applyAlignment="1" applyProtection="1">
      <alignment horizontal="center" vertical="center" wrapText="1"/>
      <protection locked="0"/>
    </xf>
    <xf numFmtId="168" fontId="40" fillId="0" borderId="55" xfId="42" applyNumberFormat="1" applyFont="1" applyBorder="1" applyAlignment="1" applyProtection="1">
      <alignment horizontal="center" vertical="top" wrapText="1"/>
      <protection locked="0"/>
    </xf>
    <xf numFmtId="0" fontId="40" fillId="0" borderId="11" xfId="0" applyFont="1" applyBorder="1" applyAlignment="1" applyProtection="1">
      <alignment horizontal="left" vertical="top" wrapText="1"/>
      <protection locked="0"/>
    </xf>
    <xf numFmtId="9" fontId="40" fillId="0" borderId="11" xfId="71" applyFont="1" applyBorder="1" applyAlignment="1" applyProtection="1">
      <alignment horizontal="center" vertical="center" wrapText="1"/>
      <protection locked="0"/>
    </xf>
    <xf numFmtId="168" fontId="40" fillId="0" borderId="11" xfId="42" applyNumberFormat="1" applyFont="1" applyBorder="1" applyAlignment="1" applyProtection="1">
      <alignment horizontal="center" vertical="center" wrapText="1"/>
      <protection locked="0"/>
    </xf>
    <xf numFmtId="168" fontId="40" fillId="0" borderId="26" xfId="42" applyNumberFormat="1" applyFont="1" applyBorder="1" applyAlignment="1" applyProtection="1">
      <alignment horizontal="center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9" fontId="40" fillId="0" borderId="15" xfId="71" applyFont="1" applyBorder="1" applyAlignment="1" applyProtection="1">
      <alignment horizontal="center" vertical="center" wrapText="1"/>
      <protection locked="0"/>
    </xf>
    <xf numFmtId="168" fontId="40" fillId="0" borderId="15" xfId="42" applyNumberFormat="1" applyFont="1" applyBorder="1" applyAlignment="1" applyProtection="1">
      <alignment horizontal="center" vertical="center" wrapText="1"/>
      <protection locked="0"/>
    </xf>
    <xf numFmtId="168" fontId="40" fillId="0" borderId="27" xfId="42" applyNumberFormat="1" applyFont="1" applyBorder="1" applyAlignment="1" applyProtection="1">
      <alignment horizontal="center" vertical="top" wrapText="1"/>
      <protection locked="0"/>
    </xf>
    <xf numFmtId="0" fontId="38" fillId="35" borderId="23" xfId="0" applyFont="1" applyFill="1" applyBorder="1" applyAlignment="1" applyProtection="1">
      <alignment horizontal="center" vertical="top" wrapText="1"/>
      <protection/>
    </xf>
    <xf numFmtId="168" fontId="40" fillId="0" borderId="23" xfId="42" applyNumberFormat="1" applyFont="1" applyBorder="1" applyAlignment="1" applyProtection="1">
      <alignment horizontal="center" vertical="center" wrapText="1"/>
      <protection/>
    </xf>
    <xf numFmtId="168" fontId="40" fillId="0" borderId="28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8" xfId="61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0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50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50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43" fillId="0" borderId="17" xfId="0" applyFont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50" xfId="0" applyNumberFormat="1" applyFont="1" applyFill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horizontal="right" vertical="center"/>
      <protection/>
    </xf>
    <xf numFmtId="0" fontId="98" fillId="0" borderId="0" xfId="0" applyFont="1" applyAlignment="1">
      <alignment/>
    </xf>
    <xf numFmtId="0" fontId="98" fillId="0" borderId="0" xfId="0" applyFont="1" applyAlignment="1">
      <alignment horizontal="justify" vertical="top" wrapText="1"/>
    </xf>
    <xf numFmtId="0" fontId="99" fillId="36" borderId="0" xfId="0" applyFont="1" applyFill="1" applyAlignment="1">
      <alignment horizontal="center" vertical="center"/>
    </xf>
    <xf numFmtId="0" fontId="99" fillId="36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88" fillId="0" borderId="0" xfId="46" applyAlignment="1" applyProtection="1">
      <alignment/>
      <protection/>
    </xf>
    <xf numFmtId="166" fontId="100" fillId="0" borderId="0" xfId="0" applyNumberFormat="1" applyFont="1" applyFill="1" applyAlignment="1" applyProtection="1">
      <alignment horizontal="right" vertical="center" wrapText="1" indent="1"/>
      <protection/>
    </xf>
    <xf numFmtId="166" fontId="101" fillId="0" borderId="0" xfId="61" applyNumberFormat="1" applyFont="1" applyFill="1" applyProtection="1">
      <alignment/>
      <protection/>
    </xf>
    <xf numFmtId="166" fontId="101" fillId="0" borderId="0" xfId="61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3" fillId="0" borderId="52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>
      <alignment horizontal="center" vertical="center"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59" xfId="0" applyFont="1" applyFill="1" applyBorder="1" applyAlignment="1" applyProtection="1">
      <alignment horizontal="left" vertical="center" wrapText="1"/>
      <protection locked="0"/>
    </xf>
    <xf numFmtId="166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61" xfId="0" applyFont="1" applyFill="1" applyBorder="1" applyAlignment="1" applyProtection="1">
      <alignment horizontal="left" vertical="center" wrapText="1"/>
      <protection locked="0"/>
    </xf>
    <xf numFmtId="0" fontId="16" fillId="0" borderId="62" xfId="0" applyFont="1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vertical="center"/>
      <protection/>
    </xf>
    <xf numFmtId="0" fontId="15" fillId="0" borderId="51" xfId="0" applyFont="1" applyFill="1" applyBorder="1" applyAlignment="1" applyProtection="1">
      <alignment vertical="center" wrapText="1"/>
      <protection/>
    </xf>
    <xf numFmtId="166" fontId="15" fillId="0" borderId="52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5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166" fontId="8" fillId="0" borderId="0" xfId="60" applyNumberFormat="1" applyFont="1" applyAlignment="1" applyProtection="1">
      <alignment vertical="center" wrapText="1"/>
      <protection locked="0"/>
    </xf>
    <xf numFmtId="166" fontId="12" fillId="0" borderId="52" xfId="60" applyNumberFormat="1" applyFont="1" applyBorder="1" applyAlignment="1">
      <alignment horizontal="center" vertical="center" wrapText="1"/>
      <protection/>
    </xf>
    <xf numFmtId="166" fontId="6" fillId="0" borderId="52" xfId="60" applyNumberFormat="1" applyFont="1" applyBorder="1" applyAlignment="1">
      <alignment horizontal="center" vertical="center" wrapText="1"/>
      <protection/>
    </xf>
    <xf numFmtId="166" fontId="50" fillId="0" borderId="63" xfId="60" applyNumberFormat="1" applyFont="1" applyBorder="1" applyAlignment="1">
      <alignment horizontal="center" vertical="center"/>
      <protection/>
    </xf>
    <xf numFmtId="166" fontId="50" fillId="0" borderId="52" xfId="60" applyNumberFormat="1" applyFont="1" applyBorder="1" applyAlignment="1">
      <alignment horizontal="center" vertical="center"/>
      <protection/>
    </xf>
    <xf numFmtId="166" fontId="50" fillId="0" borderId="64" xfId="60" applyNumberFormat="1" applyFont="1" applyBorder="1" applyAlignment="1">
      <alignment horizontal="center" vertical="center"/>
      <protection/>
    </xf>
    <xf numFmtId="166" fontId="50" fillId="0" borderId="52" xfId="60" applyNumberFormat="1" applyFont="1" applyBorder="1" applyAlignment="1">
      <alignment horizontal="center" vertical="center" wrapText="1"/>
      <protection/>
    </xf>
    <xf numFmtId="166" fontId="50" fillId="0" borderId="64" xfId="60" applyNumberFormat="1" applyFont="1" applyBorder="1" applyAlignment="1">
      <alignment horizontal="center" vertical="center" wrapText="1"/>
      <protection/>
    </xf>
    <xf numFmtId="49" fontId="13" fillId="0" borderId="65" xfId="60" applyNumberFormat="1" applyFont="1" applyBorder="1" applyAlignment="1">
      <alignment horizontal="left" vertical="center"/>
      <protection/>
    </xf>
    <xf numFmtId="49" fontId="18" fillId="0" borderId="66" xfId="60" applyNumberFormat="1" applyFont="1" applyBorder="1" applyAlignment="1" quotePrefix="1">
      <alignment horizontal="left" vertical="center"/>
      <protection/>
    </xf>
    <xf numFmtId="49" fontId="13" fillId="0" borderId="66" xfId="60" applyNumberFormat="1" applyFont="1" applyBorder="1" applyAlignment="1">
      <alignment horizontal="left" vertical="center"/>
      <protection/>
    </xf>
    <xf numFmtId="49" fontId="12" fillId="0" borderId="51" xfId="60" applyNumberFormat="1" applyFont="1" applyBorder="1" applyAlignment="1" applyProtection="1">
      <alignment horizontal="left" vertical="center"/>
      <protection locked="0"/>
    </xf>
    <xf numFmtId="49" fontId="13" fillId="0" borderId="18" xfId="60" applyNumberFormat="1" applyFont="1" applyBorder="1" applyAlignment="1">
      <alignment horizontal="left" vertical="center"/>
      <protection/>
    </xf>
    <xf numFmtId="49" fontId="13" fillId="0" borderId="17" xfId="60" applyNumberFormat="1" applyFont="1" applyBorder="1" applyAlignment="1">
      <alignment horizontal="left" vertical="center"/>
      <protection/>
    </xf>
    <xf numFmtId="49" fontId="13" fillId="0" borderId="19" xfId="60" applyNumberFormat="1" applyFont="1" applyBorder="1" applyAlignment="1" applyProtection="1">
      <alignment horizontal="left" vertical="center"/>
      <protection locked="0"/>
    </xf>
    <xf numFmtId="175" fontId="12" fillId="0" borderId="52" xfId="60" applyNumberFormat="1" applyFont="1" applyBorder="1" applyAlignment="1">
      <alignment horizontal="left" vertical="center" wrapText="1"/>
      <protection/>
    </xf>
    <xf numFmtId="175" fontId="26" fillId="0" borderId="0" xfId="60" applyNumberFormat="1" applyFont="1" applyAlignment="1" applyProtection="1">
      <alignment horizontal="left" vertical="center" wrapText="1"/>
      <protection locked="0"/>
    </xf>
    <xf numFmtId="0" fontId="102" fillId="0" borderId="0" xfId="0" applyFont="1" applyAlignment="1">
      <alignment/>
    </xf>
    <xf numFmtId="166" fontId="3" fillId="0" borderId="0" xfId="60" applyNumberFormat="1" applyFont="1" applyBorder="1" applyAlignment="1">
      <alignment horizontal="left" vertical="center" wrapText="1"/>
      <protection/>
    </xf>
    <xf numFmtId="166" fontId="12" fillId="0" borderId="0" xfId="60" applyNumberFormat="1" applyFont="1" applyBorder="1" applyAlignment="1">
      <alignment horizontal="right" vertical="center" wrapText="1"/>
      <protection/>
    </xf>
    <xf numFmtId="166" fontId="13" fillId="0" borderId="58" xfId="60" applyNumberFormat="1" applyFont="1" applyBorder="1" applyAlignment="1" applyProtection="1">
      <alignment horizontal="right" vertical="center" indent="1"/>
      <protection locked="0"/>
    </xf>
    <xf numFmtId="166" fontId="13" fillId="0" borderId="58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7" xfId="60" applyNumberFormat="1" applyFont="1" applyBorder="1" applyAlignment="1">
      <alignment horizontal="right" vertical="center" wrapText="1" indent="1"/>
      <protection/>
    </xf>
    <xf numFmtId="166" fontId="18" fillId="0" borderId="68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8" xfId="60" applyNumberFormat="1" applyFont="1" applyBorder="1" applyAlignment="1">
      <alignment horizontal="right" vertical="center" wrapText="1" indent="1"/>
      <protection/>
    </xf>
    <xf numFmtId="166" fontId="12" fillId="0" borderId="52" xfId="60" applyNumberFormat="1" applyFont="1" applyBorder="1" applyAlignment="1">
      <alignment horizontal="right" vertical="center" indent="1"/>
      <protection/>
    </xf>
    <xf numFmtId="166" fontId="12" fillId="0" borderId="52" xfId="60" applyNumberFormat="1" applyFont="1" applyBorder="1" applyAlignment="1">
      <alignment horizontal="right" vertical="center" wrapText="1" indent="1"/>
      <protection/>
    </xf>
    <xf numFmtId="166" fontId="13" fillId="0" borderId="69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70" xfId="60" applyNumberFormat="1" applyFont="1" applyBorder="1" applyAlignment="1">
      <alignment horizontal="right" vertical="center" wrapText="1" indent="1"/>
      <protection/>
    </xf>
    <xf numFmtId="166" fontId="12" fillId="0" borderId="58" xfId="60" applyNumberFormat="1" applyFont="1" applyBorder="1" applyAlignment="1" applyProtection="1">
      <alignment horizontal="right" vertical="center" wrapText="1" indent="1"/>
      <protection locked="0"/>
    </xf>
    <xf numFmtId="166" fontId="41" fillId="0" borderId="68" xfId="60" applyNumberFormat="1" applyFont="1" applyBorder="1" applyAlignment="1" applyProtection="1">
      <alignment horizontal="right" vertical="center" wrapText="1" indent="1"/>
      <protection locked="0"/>
    </xf>
    <xf numFmtId="166" fontId="12" fillId="0" borderId="68" xfId="60" applyNumberFormat="1" applyFont="1" applyBorder="1" applyAlignment="1" applyProtection="1">
      <alignment horizontal="right" vertical="center" wrapText="1" indent="1"/>
      <protection locked="0"/>
    </xf>
    <xf numFmtId="166" fontId="13" fillId="0" borderId="58" xfId="60" applyNumberFormat="1" applyFont="1" applyBorder="1" applyAlignment="1" applyProtection="1">
      <alignment horizontal="right" vertical="center" indent="1"/>
      <protection/>
    </xf>
    <xf numFmtId="166" fontId="18" fillId="0" borderId="68" xfId="60" applyNumberFormat="1" applyFont="1" applyBorder="1" applyAlignment="1" applyProtection="1">
      <alignment horizontal="right" vertical="center" indent="1"/>
      <protection/>
    </xf>
    <xf numFmtId="166" fontId="13" fillId="0" borderId="68" xfId="60" applyNumberFormat="1" applyFont="1" applyBorder="1" applyAlignment="1" applyProtection="1">
      <alignment horizontal="right" vertical="center" indent="1"/>
      <protection/>
    </xf>
    <xf numFmtId="166" fontId="12" fillId="0" borderId="52" xfId="60" applyNumberFormat="1" applyFont="1" applyBorder="1" applyAlignment="1" applyProtection="1">
      <alignment horizontal="right" vertical="center" indent="1"/>
      <protection/>
    </xf>
    <xf numFmtId="166" fontId="13" fillId="0" borderId="69" xfId="60" applyNumberFormat="1" applyFont="1" applyBorder="1" applyAlignment="1" applyProtection="1">
      <alignment horizontal="right" vertical="center" indent="1"/>
      <protection/>
    </xf>
    <xf numFmtId="0" fontId="16" fillId="0" borderId="12" xfId="0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 horizontal="left" wrapText="1" indent="1"/>
      <protection locked="0"/>
    </xf>
    <xf numFmtId="0" fontId="16" fillId="0" borderId="15" xfId="0" applyFont="1" applyBorder="1" applyAlignment="1" applyProtection="1">
      <alignment horizontal="left" indent="1"/>
      <protection locked="0"/>
    </xf>
    <xf numFmtId="0" fontId="10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71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61" applyFont="1" applyFill="1" applyBorder="1" applyAlignment="1" applyProtection="1">
      <alignment horizontal="left" vertical="center" wrapText="1" indent="1"/>
      <protection/>
    </xf>
    <xf numFmtId="0" fontId="13" fillId="0" borderId="23" xfId="61" applyFont="1" applyFill="1" applyBorder="1" applyAlignment="1" applyProtection="1">
      <alignment horizontal="left" vertical="center" wrapText="1"/>
      <protection/>
    </xf>
    <xf numFmtId="166" fontId="1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left" indent="1"/>
      <protection locked="0"/>
    </xf>
    <xf numFmtId="180" fontId="16" fillId="0" borderId="72" xfId="0" applyNumberFormat="1" applyFont="1" applyFill="1" applyBorder="1" applyAlignment="1" applyProtection="1">
      <alignment horizontal="center" vertical="center" wrapText="1"/>
      <protection locked="0"/>
    </xf>
    <xf numFmtId="180" fontId="16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wrapText="1" indent="1"/>
      <protection/>
    </xf>
    <xf numFmtId="166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0" xfId="60" applyFont="1" applyAlignment="1">
      <alignment horizontal="center" textRotation="180"/>
      <protection/>
    </xf>
    <xf numFmtId="3" fontId="25" fillId="0" borderId="0" xfId="63" applyNumberFormat="1" applyFont="1" applyFill="1" applyAlignment="1">
      <alignment horizontal="center"/>
      <protection/>
    </xf>
    <xf numFmtId="0" fontId="103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76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54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6" fontId="12" fillId="0" borderId="51" xfId="60" applyNumberFormat="1" applyFont="1" applyBorder="1" applyAlignment="1" applyProtection="1">
      <alignment horizontal="center" vertical="center" wrapText="1"/>
      <protection/>
    </xf>
    <xf numFmtId="0" fontId="0" fillId="0" borderId="48" xfId="60" applyBorder="1" applyAlignment="1" applyProtection="1">
      <alignment horizontal="center" vertical="center"/>
      <protection/>
    </xf>
    <xf numFmtId="0" fontId="0" fillId="0" borderId="34" xfId="60" applyBorder="1" applyAlignment="1" applyProtection="1">
      <alignment horizontal="center" vertical="center"/>
      <protection/>
    </xf>
    <xf numFmtId="166" fontId="19" fillId="0" borderId="0" xfId="60" applyNumberFormat="1" applyFont="1" applyAlignment="1" applyProtection="1">
      <alignment horizontal="left" vertical="center" wrapText="1"/>
      <protection locked="0"/>
    </xf>
    <xf numFmtId="166" fontId="0" fillId="0" borderId="0" xfId="60" applyNumberFormat="1" applyAlignment="1" applyProtection="1">
      <alignment horizontal="left" vertical="center" wrapText="1"/>
      <protection locked="0"/>
    </xf>
    <xf numFmtId="166" fontId="0" fillId="0" borderId="0" xfId="60" applyNumberFormat="1" applyFont="1" applyAlignment="1" applyProtection="1">
      <alignment horizontal="left" vertical="center" wrapText="1"/>
      <protection locked="0"/>
    </xf>
    <xf numFmtId="0" fontId="49" fillId="0" borderId="0" xfId="60" applyFont="1" applyAlignment="1">
      <alignment horizontal="center" textRotation="180"/>
      <protection/>
    </xf>
    <xf numFmtId="166" fontId="4" fillId="0" borderId="31" xfId="60" applyNumberFormat="1" applyFont="1" applyBorder="1" applyAlignment="1" applyProtection="1">
      <alignment horizontal="right" vertical="center"/>
      <protection locked="0"/>
    </xf>
    <xf numFmtId="166" fontId="6" fillId="0" borderId="57" xfId="60" applyNumberFormat="1" applyFont="1" applyBorder="1" applyAlignment="1">
      <alignment horizontal="center" vertical="center"/>
      <protection/>
    </xf>
    <xf numFmtId="166" fontId="6" fillId="0" borderId="77" xfId="60" applyNumberFormat="1" applyFont="1" applyBorder="1" applyAlignment="1">
      <alignment horizontal="center" vertical="center"/>
      <protection/>
    </xf>
    <xf numFmtId="166" fontId="6" fillId="0" borderId="63" xfId="60" applyNumberFormat="1" applyFont="1" applyBorder="1" applyAlignment="1">
      <alignment horizontal="center" vertical="center"/>
      <protection/>
    </xf>
    <xf numFmtId="166" fontId="6" fillId="0" borderId="57" xfId="60" applyNumberFormat="1" applyFont="1" applyBorder="1" applyAlignment="1">
      <alignment horizontal="center" vertical="center" wrapText="1"/>
      <protection/>
    </xf>
    <xf numFmtId="166" fontId="6" fillId="0" borderId="78" xfId="60" applyNumberFormat="1" applyFont="1" applyBorder="1" applyAlignment="1">
      <alignment horizontal="center" vertical="center" wrapText="1"/>
      <protection/>
    </xf>
    <xf numFmtId="0" fontId="0" fillId="0" borderId="78" xfId="60" applyBorder="1" applyAlignment="1">
      <alignment horizontal="center" vertical="center" wrapText="1"/>
      <protection/>
    </xf>
    <xf numFmtId="0" fontId="0" fillId="0" borderId="39" xfId="60" applyBorder="1" applyAlignment="1">
      <alignment horizontal="center" vertical="center" wrapText="1"/>
      <protection/>
    </xf>
    <xf numFmtId="166" fontId="3" fillId="0" borderId="58" xfId="60" applyNumberFormat="1" applyFont="1" applyBorder="1" applyAlignment="1">
      <alignment horizontal="center" vertical="center" wrapText="1"/>
      <protection/>
    </xf>
    <xf numFmtId="166" fontId="3" fillId="0" borderId="73" xfId="60" applyNumberFormat="1" applyFont="1" applyBorder="1" applyAlignment="1">
      <alignment horizontal="center" vertical="center"/>
      <protection/>
    </xf>
    <xf numFmtId="0" fontId="104" fillId="0" borderId="64" xfId="0" applyFont="1" applyBorder="1" applyAlignment="1">
      <alignment horizontal="center" vertical="center"/>
    </xf>
    <xf numFmtId="166" fontId="6" fillId="0" borderId="51" xfId="60" applyNumberFormat="1" applyFont="1" applyBorder="1" applyAlignment="1">
      <alignment horizontal="center" vertical="center" wrapText="1"/>
      <protection/>
    </xf>
    <xf numFmtId="0" fontId="0" fillId="0" borderId="48" xfId="60" applyBorder="1" applyAlignment="1">
      <alignment horizontal="center" vertical="center" wrapText="1"/>
      <protection/>
    </xf>
    <xf numFmtId="0" fontId="0" fillId="0" borderId="34" xfId="60" applyBorder="1" applyAlignment="1">
      <alignment horizontal="center" vertical="center" wrapText="1"/>
      <protection/>
    </xf>
    <xf numFmtId="166" fontId="6" fillId="0" borderId="58" xfId="60" applyNumberFormat="1" applyFont="1" applyBorder="1" applyAlignment="1">
      <alignment horizontal="center" vertical="center" wrapText="1"/>
      <protection/>
    </xf>
    <xf numFmtId="0" fontId="105" fillId="0" borderId="64" xfId="0" applyFont="1" applyBorder="1" applyAlignment="1">
      <alignment horizontal="center" vertical="center" wrapText="1"/>
    </xf>
    <xf numFmtId="166" fontId="12" fillId="0" borderId="48" xfId="60" applyNumberFormat="1" applyFont="1" applyBorder="1" applyAlignment="1" applyProtection="1">
      <alignment horizontal="center" vertical="center" wrapText="1"/>
      <protection/>
    </xf>
    <xf numFmtId="175" fontId="26" fillId="0" borderId="78" xfId="60" applyNumberFormat="1" applyFont="1" applyBorder="1" applyAlignment="1" applyProtection="1">
      <alignment horizontal="left" vertical="center" wrapText="1"/>
      <protection locked="0"/>
    </xf>
    <xf numFmtId="0" fontId="8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51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29" fillId="0" borderId="31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>
      <alignment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54" xfId="61" applyNumberFormat="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54" xfId="61" applyNumberFormat="1" applyFont="1" applyFill="1" applyBorder="1" applyAlignment="1" applyProtection="1">
      <alignment horizontal="center" vertical="center"/>
      <protection/>
    </xf>
    <xf numFmtId="0" fontId="32" fillId="0" borderId="24" xfId="63" applyFont="1" applyFill="1" applyBorder="1" applyAlignment="1" applyProtection="1">
      <alignment horizontal="center" vertical="center" wrapText="1"/>
      <protection locked="0"/>
    </xf>
    <xf numFmtId="0" fontId="32" fillId="0" borderId="16" xfId="63" applyFont="1" applyFill="1" applyBorder="1" applyAlignment="1" applyProtection="1">
      <alignment horizontal="center" vertical="center" wrapText="1"/>
      <protection locked="0"/>
    </xf>
    <xf numFmtId="0" fontId="32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1" fillId="0" borderId="13" xfId="63" applyFont="1" applyFill="1" applyBorder="1" applyAlignment="1" applyProtection="1">
      <alignment horizontal="center" vertical="center" wrapText="1"/>
      <protection locked="0"/>
    </xf>
    <xf numFmtId="0" fontId="31" fillId="0" borderId="11" xfId="63" applyFont="1" applyFill="1" applyBorder="1" applyAlignment="1" applyProtection="1">
      <alignment horizontal="center" vertical="center" wrapText="1"/>
      <protection locked="0"/>
    </xf>
    <xf numFmtId="0" fontId="31" fillId="0" borderId="56" xfId="63" applyFont="1" applyFill="1" applyBorder="1" applyAlignment="1" applyProtection="1">
      <alignment horizontal="center" vertical="center" wrapText="1"/>
      <protection locked="0"/>
    </xf>
    <xf numFmtId="0" fontId="31" fillId="0" borderId="55" xfId="63" applyFont="1" applyFill="1" applyBorder="1" applyAlignment="1" applyProtection="1">
      <alignment horizontal="center" vertical="center" wrapText="1"/>
      <protection locked="0"/>
    </xf>
    <xf numFmtId="0" fontId="31" fillId="0" borderId="11" xfId="63" applyFont="1" applyFill="1" applyBorder="1" applyAlignment="1" applyProtection="1">
      <alignment horizontal="center" wrapText="1"/>
      <protection locked="0"/>
    </xf>
    <xf numFmtId="0" fontId="31" fillId="0" borderId="26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28" fillId="0" borderId="0" xfId="63" applyFont="1" applyFill="1" applyAlignment="1" applyProtection="1">
      <alignment horizontal="right"/>
      <protection locked="0"/>
    </xf>
    <xf numFmtId="0" fontId="29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9" fillId="0" borderId="0" xfId="63" applyFont="1" applyFill="1" applyAlignment="1" applyProtection="1">
      <alignment horizontal="center" vertical="center" wrapText="1"/>
      <protection locked="0"/>
    </xf>
    <xf numFmtId="0" fontId="29" fillId="0" borderId="0" xfId="63" applyFont="1" applyFill="1" applyAlignment="1" applyProtection="1">
      <alignment horizontal="center" vertical="center"/>
      <protection locked="0"/>
    </xf>
    <xf numFmtId="0" fontId="31" fillId="0" borderId="0" xfId="63" applyFont="1" applyFill="1" applyBorder="1" applyAlignment="1" applyProtection="1">
      <alignment horizontal="right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54" xfId="62" applyFont="1" applyFill="1" applyBorder="1" applyAlignment="1" applyProtection="1">
      <alignment horizontal="center" vertical="center" wrapText="1"/>
      <protection locked="0"/>
    </xf>
    <xf numFmtId="0" fontId="4" fillId="0" borderId="26" xfId="62" applyFont="1" applyFill="1" applyBorder="1" applyAlignment="1" applyProtection="1">
      <alignment horizontal="center" vertical="center"/>
      <protection locked="0"/>
    </xf>
    <xf numFmtId="0" fontId="29" fillId="0" borderId="0" xfId="63" applyFont="1" applyFill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/>
      <protection/>
    </xf>
    <xf numFmtId="0" fontId="15" fillId="0" borderId="51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28" fillId="0" borderId="0" xfId="63" applyFont="1" applyFill="1" applyAlignment="1">
      <alignment horizontal="right"/>
      <protection/>
    </xf>
    <xf numFmtId="0" fontId="29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2">
    <dxf>
      <font>
        <color rgb="FFFFC000"/>
      </font>
    </dxf>
    <dxf>
      <font>
        <color rgb="FFFFC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1</xdr:row>
      <xdr:rowOff>104775</xdr:rowOff>
    </xdr:from>
    <xdr:to>
      <xdr:col>22</xdr:col>
      <xdr:colOff>342900</xdr:colOff>
      <xdr:row>16</xdr:row>
      <xdr:rowOff>133350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277475" y="266700"/>
          <a:ext cx="6315075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1513"/>
              <a:gd name="adj2" fmla="val 9032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17</xdr:row>
      <xdr:rowOff>28575</xdr:rowOff>
    </xdr:from>
    <xdr:to>
      <xdr:col>22</xdr:col>
      <xdr:colOff>342900</xdr:colOff>
      <xdr:row>20</xdr:row>
      <xdr:rowOff>161925</xdr:rowOff>
    </xdr:to>
    <xdr:sp>
      <xdr:nvSpPr>
        <xdr:cNvPr id="5" name="Téglalap 5"/>
        <xdr:cNvSpPr>
          <a:spLocks/>
        </xdr:cNvSpPr>
      </xdr:nvSpPr>
      <xdr:spPr>
        <a:xfrm>
          <a:off x="10277475" y="3048000"/>
          <a:ext cx="6315075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Z_1.1.sz.mell.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Z_1.1.sz.mell.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120" zoomScaleNormal="120" zoomScalePageLayoutView="0" workbookViewId="0" topLeftCell="A16">
      <selection activeCell="C36" sqref="C36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1" ht="12.75">
      <c r="A1" s="520">
        <v>2019</v>
      </c>
    </row>
    <row r="2" spans="1:3" ht="18.75">
      <c r="A2" s="568" t="s">
        <v>624</v>
      </c>
      <c r="B2" s="568"/>
      <c r="C2" s="568"/>
    </row>
    <row r="3" spans="1:3" ht="15">
      <c r="A3" s="452"/>
      <c r="B3" s="453"/>
      <c r="C3" s="452"/>
    </row>
    <row r="4" spans="1:3" ht="14.25">
      <c r="A4" s="454" t="s">
        <v>625</v>
      </c>
      <c r="B4" s="455" t="s">
        <v>626</v>
      </c>
      <c r="C4" s="454" t="s">
        <v>627</v>
      </c>
    </row>
    <row r="5" spans="1:3" ht="12.75">
      <c r="A5" s="456"/>
      <c r="B5" s="456"/>
      <c r="C5" s="456"/>
    </row>
    <row r="6" spans="1:3" ht="18.75">
      <c r="A6" s="569" t="s">
        <v>659</v>
      </c>
      <c r="B6" s="569"/>
      <c r="C6" s="569"/>
    </row>
    <row r="7" spans="1:3" ht="12.75">
      <c r="A7" s="456" t="s">
        <v>628</v>
      </c>
      <c r="B7" s="456" t="s">
        <v>629</v>
      </c>
      <c r="C7" s="457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456" t="s">
        <v>630</v>
      </c>
      <c r="B8" s="456" t="s">
        <v>667</v>
      </c>
      <c r="C8" s="457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456" t="s">
        <v>631</v>
      </c>
      <c r="B9" s="456" t="str">
        <f>CONCATENATE(LOWER('ÖSSZ.ÖNK'!A3))</f>
        <v>2019. évi zárszámadásának pénzügyi mérlege</v>
      </c>
      <c r="C9" s="457" t="str">
        <f ca="1">HYPERLINK(SUBSTITUTE(CELL("address",'ÖSSZ.ÖNK'!A1),"'",""),SUBSTITUTE(MID(CELL("address",'ÖSSZ.ÖNK'!A1),SEARCH("]",CELL("address",'ÖSSZ.ÖNK'!A1),1)+1,LEN(CELL("address",'ÖSSZ.ÖNK'!A1))-SEARCH("]",CELL("address",'ÖSSZ.ÖNK'!A1),1)),"'",""))</f>
        <v>ÖSSZ.ÖNK!$A$1</v>
      </c>
    </row>
    <row r="10" spans="1:3" ht="12.75">
      <c r="A10" s="456" t="s">
        <v>632</v>
      </c>
      <c r="B10" s="456" t="str">
        <f>'ÖSSZ.ÖNK KÖT.'!A3</f>
        <v>2019. ÉVI ZÁRSZÁMADÁS</v>
      </c>
      <c r="C10" s="457" t="str">
        <f ca="1">HYPERLINK(SUBSTITUTE(CELL("address",'ÖSSZ.ÖNK KÖT.'!A1),"'",""),SUBSTITUTE(MID(CELL("address",'ÖSSZ.ÖNK KÖT.'!A1),SEARCH("]",CELL("address",'ÖSSZ.ÖNK KÖT.'!A1),1)+1,LEN(CELL("address",'ÖSSZ.ÖNK KÖT.'!A1))-SEARCH("]",CELL("address",'ÖSSZ.ÖNK KÖT.'!A1),1)),"'",""))</f>
        <v>ÖSSZ.ÖNK KÖT.!$A$1</v>
      </c>
    </row>
    <row r="11" spans="1:3" ht="12.75">
      <c r="A11" s="456" t="s">
        <v>633</v>
      </c>
      <c r="B11" s="456" t="str">
        <f>'ÖSSZ.ÖNK ÖNKÉNT V.'!A3</f>
        <v>2019. ÉVI ZÁRSZÁMADÁS</v>
      </c>
      <c r="C11" s="457" t="str">
        <f ca="1">HYPERLINK(SUBSTITUTE(CELL("address",'ÖSSZ.ÖNK ÖNKÉNT V.'!A1),"'",""),SUBSTITUTE(MID(CELL("address",'ÖSSZ.ÖNK ÖNKÉNT V.'!A1),SEARCH("]",CELL("address",'ÖSSZ.ÖNK ÖNKÉNT V.'!A1),1)+1,LEN(CELL("address",'ÖSSZ.ÖNK ÖNKÉNT V.'!A1))-SEARCH("]",CELL("address",'ÖSSZ.ÖNK ÖNKÉNT V.'!A1),1)),"'",""))</f>
        <v>ÖSSZ.ÖNK ÖNKÉNT V.!$A$1</v>
      </c>
    </row>
    <row r="12" spans="1:3" ht="12.75">
      <c r="A12" s="456" t="s">
        <v>634</v>
      </c>
      <c r="B12" s="456" t="str">
        <f>'ÖSSZ.ÖNK ÁLLAMIG.'!A3</f>
        <v>2019. ÉVI ZÁRSZÁMADÁS</v>
      </c>
      <c r="C12" s="457" t="str">
        <f ca="1">HYPERLINK(SUBSTITUTE(CELL("address",'ÖSSZ.ÖNK ÁLLAMIG.'!A1),"'",""),SUBSTITUTE(MID(CELL("address",'ÖSSZ.ÖNK ÁLLAMIG.'!A1),SEARCH("]",CELL("address",'ÖSSZ.ÖNK ÁLLAMIG.'!A1),1)+1,LEN(CELL("address",'ÖSSZ.ÖNK ÁLLAMIG.'!A1))-SEARCH("]",CELL("address",'ÖSSZ.ÖNK ÁLLAMIG.'!A1),1)),"'",""))</f>
        <v>ÖSSZ.ÖNK ÁLLAMIG.!$A$1</v>
      </c>
    </row>
    <row r="13" spans="1:3" ht="12.75">
      <c r="A13" s="456" t="s">
        <v>428</v>
      </c>
      <c r="B13" s="456" t="s">
        <v>635</v>
      </c>
      <c r="C13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4" spans="1:3" ht="12.75">
      <c r="A14" s="456" t="s">
        <v>362</v>
      </c>
      <c r="B14" s="456" t="s">
        <v>636</v>
      </c>
      <c r="C14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5" spans="1:3" ht="12.75">
      <c r="A15" s="456" t="s">
        <v>637</v>
      </c>
      <c r="B15" s="456" t="s">
        <v>638</v>
      </c>
      <c r="C15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ht="12.75">
      <c r="A16" s="456" t="s">
        <v>639</v>
      </c>
      <c r="B16" s="456" t="s">
        <v>640</v>
      </c>
      <c r="C16" s="457" t="str">
        <f ca="1">HYPERLINK(SUBSTITUTE(CELL("address",Beruházás!A1),"'",""),SUBSTITUTE(MID(CELL("address",Beruházás!A1),SEARCH("]",CELL("address",Beruházás!A1),1)+1,LEN(CELL("address",Beruházás!A1))-SEARCH("]",CELL("address",Beruházás!A1),1)),"'",""))</f>
        <v>Beruházás!$A$1</v>
      </c>
    </row>
    <row r="17" spans="1:3" ht="12.75">
      <c r="A17" s="456" t="s">
        <v>641</v>
      </c>
      <c r="B17" s="456" t="s">
        <v>642</v>
      </c>
      <c r="C17" s="457" t="str">
        <f ca="1">HYPERLINK(SUBSTITUTE(CELL("address",Felújítás!A1),"'",""),SUBSTITUTE(MID(CELL("address",Felújítás!A1),SEARCH("]",CELL("address",Felújítás!A1),1)+1,LEN(CELL("address",Felújítás!A1))-SEARCH("]",CELL("address",Felújítás!A1),1)),"'",""))</f>
        <v>Felújítás!$A$1</v>
      </c>
    </row>
    <row r="18" spans="1:3" ht="12.75">
      <c r="A18" s="456" t="s">
        <v>643</v>
      </c>
      <c r="B18" s="456" t="str">
        <f>'EU-S projektek'!A3</f>
        <v>Európai uniós támogatással megvalósuló projektek</v>
      </c>
      <c r="C18" s="457" t="str">
        <f ca="1">HYPERLINK(SUBSTITUTE(CELL("address",'EU-S projektek'!A1),"'",""),SUBSTITUTE(MID(CELL("address",'EU-S projektek'!A1),SEARCH("]",CELL("address",'EU-S projektek'!A1),1)+1,LEN(CELL("address",'EU-S projektek'!A1))-SEARCH("]",CELL("address",'EU-S projektek'!A1),1)),"'",""))</f>
        <v>EU-S projektek!$A$1</v>
      </c>
    </row>
    <row r="19" spans="1:3" ht="12.75">
      <c r="A19" s="456" t="s">
        <v>434</v>
      </c>
      <c r="B19" s="456" t="s">
        <v>644</v>
      </c>
      <c r="C19" s="457" t="str">
        <f ca="1">HYPERLINK(SUBSTITUTE(CELL("address",'ÖNK össz.'!A1),"'",""),SUBSTITUTE(MID(CELL("address",'ÖNK össz.'!A1),SEARCH("]",CELL("address",'ÖNK össz.'!A1),1)+1,LEN(CELL("address",'ÖNK össz.'!A1))-SEARCH("]",CELL("address",'ÖNK össz.'!A1),1)),"'",""))</f>
        <v>ÖNK össz.!$A$1</v>
      </c>
    </row>
    <row r="20" spans="1:3" ht="12.75">
      <c r="A20" s="456" t="s">
        <v>388</v>
      </c>
      <c r="B20" s="456" t="s">
        <v>645</v>
      </c>
      <c r="C20" s="457" t="str">
        <f ca="1">HYPERLINK(SUBSTITUTE(CELL("address",'ÖNK Kötelező'!A1),"'",""),SUBSTITUTE(MID(CELL("address",'ÖNK Kötelező'!A1),SEARCH("]",CELL("address",'ÖNK Kötelező'!A1),1)+1,LEN(CELL("address",'ÖNK Kötelező'!A1))-SEARCH("]",CELL("address",'ÖNK Kötelező'!A1),1)),"'",""))</f>
        <v>ÖNK Kötelező!$A$1</v>
      </c>
    </row>
    <row r="21" spans="1:3" ht="12.75">
      <c r="A21" s="456" t="s">
        <v>389</v>
      </c>
      <c r="B21" s="456" t="s">
        <v>268</v>
      </c>
      <c r="C21" s="457" t="str">
        <f ca="1">HYPERLINK(SUBSTITUTE(CELL("address",'ÖNK Önként váll.'!A1),"'",""),SUBSTITUTE(MID(CELL("address",'ÖNK Önként váll.'!A1),SEARCH("]",CELL("address",'ÖNK Önként váll.'!A1),1)+1,LEN(CELL("address",'ÖNK Önként váll.'!A1))-SEARCH("]",CELL("address",'ÖNK Önként váll.'!A1),1)),"'",""))</f>
        <v>ÖNK Önként váll.!$A$1</v>
      </c>
    </row>
    <row r="22" spans="1:3" ht="12.75">
      <c r="A22" s="456" t="s">
        <v>646</v>
      </c>
      <c r="B22" s="456" t="s">
        <v>647</v>
      </c>
      <c r="C22" s="457" t="str">
        <f ca="1">HYPERLINK(SUBSTITUTE(CELL("address",'ÖNK Államig.'!A1),"'",""),SUBSTITUTE(MID(CELL("address",'ÖNK Államig.'!A1),SEARCH("]",CELL("address",'ÖNK Államig.'!A1),1)+1,LEN(CELL("address",'ÖNK Államig.'!A1))-SEARCH("]",CELL("address",'ÖNK Államig.'!A1),1)),"'",""))</f>
        <v>ÖNK Államig.!$A$1</v>
      </c>
    </row>
    <row r="23" spans="1:3" ht="12.75">
      <c r="A23" s="456" t="s">
        <v>648</v>
      </c>
      <c r="B23" s="456" t="str">
        <f>Z_ALAPADATOK!A11</f>
        <v>Karácsondi Közös Önkormányzati Hivatal</v>
      </c>
      <c r="C23" s="457" t="str">
        <f ca="1">HYPERLINK(SUBSTITUTE(CELL("address",'PH össz.'!A1),"'",""),SUBSTITUTE(MID(CELL("address",'PH össz.'!A1),SEARCH("]",CELL("address",'PH össz.'!A1),1)+1,LEN(CELL("address",'PH össz.'!A1))-SEARCH("]",CELL("address",'PH össz.'!A1),1)),"'",""))</f>
        <v>PH össz.!$A$1</v>
      </c>
    </row>
    <row r="24" spans="1:3" ht="12.75">
      <c r="A24" s="456" t="s">
        <v>649</v>
      </c>
      <c r="B24" t="str">
        <f>Z_ALAPADATOK!B13</f>
        <v>Karácsond Általános Művelődési Központ</v>
      </c>
      <c r="C24" s="457" t="str">
        <f ca="1">HYPERLINK(SUBSTITUTE(CELL("address",'ÁMK össz.'!A1),"'",""),SUBSTITUTE(MID(CELL("address",'ÁMK össz.'!A1),SEARCH("]",CELL("address",'ÁMK össz.'!A1),1)+1,LEN(CELL("address",'ÁMK össz.'!A1))-SEARCH("]",CELL("address",'ÁMK össz.'!A1),1)),"'",""))</f>
        <v>ÁMK össz.!$A$1</v>
      </c>
    </row>
    <row r="25" spans="1:3" ht="12.75">
      <c r="A25" s="456" t="s">
        <v>650</v>
      </c>
      <c r="B25" t="str">
        <f>Z_ALAPADATOK!B15</f>
        <v>2 kvi név</v>
      </c>
      <c r="C25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56" t="s">
        <v>651</v>
      </c>
      <c r="B26" t="str">
        <f>Z_ALAPADATOK!B17</f>
        <v>3 kvi név</v>
      </c>
      <c r="C26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56" t="s">
        <v>652</v>
      </c>
      <c r="B27" t="e">
        <f>Z_ALAPADATOK!#REF!</f>
        <v>#REF!</v>
      </c>
      <c r="C27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56" t="s">
        <v>653</v>
      </c>
      <c r="B28" t="e">
        <f>Z_ALAPADATOK!#REF!</f>
        <v>#REF!</v>
      </c>
      <c r="C28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56" t="s">
        <v>654</v>
      </c>
      <c r="B29" t="e">
        <f>Z_ALAPADATOK!#REF!</f>
        <v>#REF!</v>
      </c>
      <c r="C29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56" t="s">
        <v>655</v>
      </c>
      <c r="B30" t="e">
        <f>Z_ALAPADATOK!#REF!</f>
        <v>#REF!</v>
      </c>
      <c r="C30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56" t="s">
        <v>656</v>
      </c>
      <c r="B31">
        <f>Z_ALAPADATOK!B23</f>
        <v>0</v>
      </c>
      <c r="C31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56" t="s">
        <v>657</v>
      </c>
      <c r="B32">
        <f>Z_ALAPADATOK!B25</f>
        <v>0</v>
      </c>
      <c r="C32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56" t="s">
        <v>658</v>
      </c>
      <c r="B33">
        <f>Z_ALAPADATOK!B27</f>
        <v>0</v>
      </c>
      <c r="C33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56" t="s">
        <v>682</v>
      </c>
      <c r="B34" t="str">
        <f>PROPER(Maradvány!A3)</f>
        <v>Költségvetési Szervek Maradványának Alakulása</v>
      </c>
      <c r="C34" s="457" t="str">
        <f ca="1">HYPERLINK(SUBSTITUTE(CELL("address",Maradvány!A1),"'",""),SUBSTITUTE(MID(CELL("address",Maradvány!A1),SEARCH("]",CELL("address",Maradvány!A1),1)+1,LEN(CELL("address",Maradvány!A1))-SEARCH("]",CELL("address",Maradvány!A1),1)),"'",""))</f>
        <v>Maradvány!$A$1</v>
      </c>
    </row>
    <row r="35" spans="1:3" ht="12.75">
      <c r="A35" s="456" t="s">
        <v>683</v>
      </c>
      <c r="B35" t="str">
        <f>'Állami támogatás'!B1</f>
        <v>2019. évi általános működés és ágazati feladatok támogatásának alakulása jogcímenként</v>
      </c>
      <c r="C35" s="457" t="str">
        <f ca="1">HYPERLINK(SUBSTITUTE(CELL("address",'Állami támogatás'!A1),"'",""),SUBSTITUTE(MID(CELL("address",'Állami támogatás'!A1),SEARCH("]",CELL("address",'Állami támogatás'!A1),1)+1,LEN(CELL("address",'Állami támogatás'!A1))-SEARCH("]",CELL("address",'Állami támogatás'!A1),1)),"'",""))</f>
        <v>Állami támogatás!$A$1</v>
      </c>
    </row>
    <row r="36" spans="1:3" ht="12.75">
      <c r="A36" s="456" t="s">
        <v>609</v>
      </c>
      <c r="B36" t="str">
        <f>CONCATENATE(PROPER('Pénzügyi mérleg'!A2)," ",LOWER('Pénzügyi mérleg'!A3))</f>
        <v>Karácsond Községi Önkormányzat 2019. évi zárszámadásának pénzügyi mérlege</v>
      </c>
      <c r="C36" s="457" t="str">
        <f ca="1">HYPERLINK(SUBSTITUTE(CELL("address",'Pénzügyi mérleg'!A1),"'",""),SUBSTITUTE(MID(CELL("address",'Pénzügyi mérleg'!A1),SEARCH("]",CELL("address",'Pénzügyi mérleg'!A1),1)+1,LEN(CELL("address",'Pénzügyi mérleg'!A1))-SEARCH("]",CELL("address",'Pénzügyi mérleg'!A1),1)),"'",""))</f>
        <v>Pénzügyi mérleg!$A$1</v>
      </c>
    </row>
    <row r="37" spans="1:3" ht="12.75">
      <c r="A37" s="456" t="s">
        <v>610</v>
      </c>
      <c r="B37" t="e">
        <f>#REF!</f>
        <v>#REF!</v>
      </c>
      <c r="C37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456" t="s">
        <v>611</v>
      </c>
      <c r="B38" t="e">
        <f>#REF!</f>
        <v>#REF!</v>
      </c>
      <c r="C38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12.75">
      <c r="A39" s="456" t="s">
        <v>612</v>
      </c>
      <c r="B39" t="e">
        <f>#REF!</f>
        <v>#REF!</v>
      </c>
      <c r="C39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456" t="s">
        <v>613</v>
      </c>
      <c r="B40" t="e">
        <f>#REF!</f>
        <v>#REF!</v>
      </c>
      <c r="C40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456" t="s">
        <v>614</v>
      </c>
      <c r="B41" t="e">
        <f>CONCATENATE(PROPER(#REF!)," ",LOWER(#REF!))</f>
        <v>#REF!</v>
      </c>
      <c r="C41" s="45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ht="12.75">
      <c r="A42" s="456" t="s">
        <v>616</v>
      </c>
      <c r="B42" t="str">
        <f>CONCATENATE(PROPER('Vagyonkimutatás E.'!A2)," ",'Vagyonkimutatás E.'!A3)</f>
        <v>Vagyonkimutatás a könyvviteli mérlegben értékkel szerplő eszközökről</v>
      </c>
      <c r="C42" s="457" t="str">
        <f ca="1">HYPERLINK(SUBSTITUTE(CELL("address",'Vagyonkimutatás E.'!A1),"'",""),SUBSTITUTE(MID(CELL("address",'Vagyonkimutatás E.'!A1),SEARCH("]",CELL("address",'Vagyonkimutatás E.'!A1),1)+1,LEN(CELL("address",'Vagyonkimutatás E.'!A1))-SEARCH("]",CELL("address",'Vagyonkimutatás E.'!A1),1)),"'",""))</f>
        <v>Vagyonkimutatás E.!$A$1</v>
      </c>
    </row>
    <row r="43" spans="1:3" ht="12.75">
      <c r="A43" s="456" t="s">
        <v>619</v>
      </c>
      <c r="B43" t="str">
        <f>CONCATENATE(PROPER('Vagyonkimutatás F.'!A3)," ",'Vagyonkimutatás F.'!A4)</f>
        <v>Vagyonkimutatás a könyvviteli mérlegben értékkel szereplő forrásokról</v>
      </c>
      <c r="C43" s="457" t="str">
        <f ca="1">HYPERLINK(SUBSTITUTE(CELL("address",'Vagyonkimutatás F.'!A1),"'",""),SUBSTITUTE(MID(CELL("address",'Vagyonkimutatás F.'!A1),SEARCH("]",CELL("address",'Vagyonkimutatás F.'!A1),1)+1,LEN(CELL("address",'Vagyonkimutatás F.'!A1))-SEARCH("]",CELL("address",'Vagyonkimutatás F.'!A1),1)),"'",""))</f>
        <v>Vagyonkimutatás F.!$A$1</v>
      </c>
    </row>
    <row r="44" spans="1:3" ht="12.75">
      <c r="A44" s="456" t="s">
        <v>620</v>
      </c>
      <c r="B44" t="str">
        <f>CONCATENATE(PROPER('Vagyonkimutatás 0'!A3)," ",'Vagyonkimutatás 0'!A4)</f>
        <v>Vagyonkimutatás az érték nélkül nyilvántartott eszkzözkről</v>
      </c>
      <c r="C44" s="457" t="str">
        <f ca="1">HYPERLINK(SUBSTITUTE(CELL("address",'Vagyonkimutatás 0'!A1),"'",""),SUBSTITUTE(MID(CELL("address",'Vagyonkimutatás 0'!A1),SEARCH("]",CELL("address",'Vagyonkimutatás 0'!A1),1)+1,LEN(CELL("address",'Vagyonkimutatás 0'!A1))-SEARCH("]",CELL("address",'Vagyonkimutatás 0'!A1),1)),"'",""))</f>
        <v>Vagyonkimutatás 0!$A$1</v>
      </c>
    </row>
    <row r="45" spans="1:3" ht="12.75">
      <c r="A45" s="456" t="s">
        <v>622</v>
      </c>
      <c r="B45" t="str">
        <f>CONCATENATE(Részesedések!A2,Részesedések!A3)</f>
        <v>Karácsond Községi Önkormányzat tulajdonában álló gazdálkodó szervezetek működéséből származókötelezettségek és részesedések alakulása 2019. évben</v>
      </c>
      <c r="C45" s="457" t="str">
        <f ca="1">HYPERLINK(SUBSTITUTE(CELL("address",Részesedések!A1),"'",""),SUBSTITUTE(MID(CELL("address",Részesedések!A1),SEARCH("]",CELL("address",Részesedések!A1),1)+1,LEN(CELL("address",Részesedések!A1))-SEARCH("]",CELL("address",Részesedések!A1),1)),"'",""))</f>
        <v>Részesedések!$A$1</v>
      </c>
    </row>
    <row r="46" spans="1:3" ht="12.75">
      <c r="A46" s="456" t="s">
        <v>623</v>
      </c>
      <c r="B46" t="s">
        <v>660</v>
      </c>
      <c r="C46" s="457" t="str">
        <f ca="1">HYPERLINK(SUBSTITUTE(CELL("address",Pénzeszközök!A1),"'",""),SUBSTITUTE(MID(CELL("address",Pénzeszközök!A1),SEARCH("]",CELL("address",Pénzeszközök!A1),1)+1,LEN(CELL("address",Pénzeszközök!A1))-SEARCH("]",CELL("address",Pénzeszközök!A1),1)),"'",""))</f>
        <v>Pénzeszközök!$A$1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J72"/>
  <sheetViews>
    <sheetView zoomScale="120" zoomScaleNormal="120" zoomScaleSheetLayoutView="100" workbookViewId="0" topLeftCell="A52">
      <selection activeCell="K30" sqref="K30"/>
    </sheetView>
  </sheetViews>
  <sheetFormatPr defaultColWidth="9.00390625" defaultRowHeight="12.75"/>
  <cols>
    <col min="1" max="1" width="28.50390625" style="0" customWidth="1"/>
    <col min="2" max="4" width="13.875" style="0" customWidth="1"/>
    <col min="5" max="5" width="12.875" style="0" customWidth="1"/>
    <col min="6" max="7" width="13.875" style="0" customWidth="1"/>
    <col min="8" max="8" width="12.875" style="0" customWidth="1"/>
    <col min="9" max="9" width="13.875" style="0" customWidth="1"/>
    <col min="10" max="10" width="7.375" style="0" customWidth="1"/>
    <col min="11" max="11" width="11.375" style="0" customWidth="1"/>
    <col min="12" max="12" width="4.00390625" style="0" customWidth="1"/>
  </cols>
  <sheetData>
    <row r="1" spans="1:10" ht="15" customHeight="1">
      <c r="A1" s="622"/>
      <c r="B1" s="622"/>
      <c r="C1" s="622"/>
      <c r="D1" s="622"/>
      <c r="E1" s="622"/>
      <c r="F1" s="622"/>
      <c r="G1" s="622"/>
      <c r="H1" s="622"/>
      <c r="I1" s="622"/>
      <c r="J1" s="603" t="str">
        <f>CONCATENATE("5. melléklet ",Z_ALAPADATOK!A7," ",Z_ALAPADATOK!B7," ",Z_ALAPADATOK!C7," ",Z_ALAPADATOK!D7," ",Z_ALAPADATOK!E7," ",Z_ALAPADATOK!F7," ",Z_ALAPADATOK!G7," ",Z_ALAPADATOK!H7)</f>
        <v>5. melléklet a 12 / 2020. ( VI.11. ) önkormányzati rendelethez</v>
      </c>
    </row>
    <row r="2" spans="1:10" ht="12.75">
      <c r="A2" s="521"/>
      <c r="B2" s="521"/>
      <c r="C2" s="521"/>
      <c r="D2" s="521"/>
      <c r="E2" s="521"/>
      <c r="F2" s="521"/>
      <c r="G2" s="522"/>
      <c r="H2" s="522"/>
      <c r="I2" s="522"/>
      <c r="J2" s="603"/>
    </row>
    <row r="3" spans="1:10" ht="15.75">
      <c r="A3" s="623" t="s">
        <v>433</v>
      </c>
      <c r="B3" s="623"/>
      <c r="C3" s="623"/>
      <c r="D3" s="623"/>
      <c r="E3" s="623"/>
      <c r="F3" s="623"/>
      <c r="G3" s="623"/>
      <c r="H3" s="623"/>
      <c r="I3" s="623"/>
      <c r="J3" s="603"/>
    </row>
    <row r="4" spans="1:10" ht="15.75">
      <c r="A4" s="624" t="s">
        <v>694</v>
      </c>
      <c r="B4" s="623"/>
      <c r="C4" s="623"/>
      <c r="D4" s="623"/>
      <c r="E4" s="623"/>
      <c r="F4" s="623"/>
      <c r="G4" s="623"/>
      <c r="H4" s="623"/>
      <c r="I4" s="623"/>
      <c r="J4" s="603"/>
    </row>
    <row r="5" spans="1:10" ht="15.75">
      <c r="A5" s="502"/>
      <c r="B5" s="501"/>
      <c r="C5" s="501"/>
      <c r="D5" s="501"/>
      <c r="E5" s="501"/>
      <c r="F5" s="501"/>
      <c r="G5" s="501"/>
      <c r="H5" s="501"/>
      <c r="I5" s="501"/>
      <c r="J5" s="603"/>
    </row>
    <row r="6" spans="1:10" ht="14.25">
      <c r="A6" s="600" t="s">
        <v>772</v>
      </c>
      <c r="B6" s="600"/>
      <c r="C6" s="602" t="s">
        <v>773</v>
      </c>
      <c r="D6" s="601"/>
      <c r="E6" s="601"/>
      <c r="F6" s="601"/>
      <c r="G6" s="601"/>
      <c r="H6" s="601"/>
      <c r="I6" s="601"/>
      <c r="J6" s="603"/>
    </row>
    <row r="7" spans="1:10" ht="15.75" thickBot="1">
      <c r="A7" s="503"/>
      <c r="B7" s="503"/>
      <c r="C7" s="503"/>
      <c r="D7" s="503"/>
      <c r="E7" s="503"/>
      <c r="F7" s="503"/>
      <c r="G7" s="503"/>
      <c r="H7" s="604" t="s">
        <v>685</v>
      </c>
      <c r="I7" s="604"/>
      <c r="J7" s="603"/>
    </row>
    <row r="8" spans="1:10" ht="13.5" thickBot="1">
      <c r="A8" s="605" t="s">
        <v>81</v>
      </c>
      <c r="B8" s="608" t="s">
        <v>382</v>
      </c>
      <c r="C8" s="609"/>
      <c r="D8" s="609"/>
      <c r="E8" s="609"/>
      <c r="F8" s="610"/>
      <c r="G8" s="610"/>
      <c r="H8" s="610"/>
      <c r="I8" s="611"/>
      <c r="J8" s="603"/>
    </row>
    <row r="9" spans="1:10" ht="13.5" thickBot="1">
      <c r="A9" s="606"/>
      <c r="B9" s="612" t="s">
        <v>699</v>
      </c>
      <c r="C9" s="615" t="s">
        <v>695</v>
      </c>
      <c r="D9" s="616"/>
      <c r="E9" s="616"/>
      <c r="F9" s="616"/>
      <c r="G9" s="616"/>
      <c r="H9" s="616"/>
      <c r="I9" s="617"/>
      <c r="J9" s="603"/>
    </row>
    <row r="10" spans="1:10" ht="48.75" thickBot="1">
      <c r="A10" s="606"/>
      <c r="B10" s="613"/>
      <c r="C10" s="618" t="str">
        <f>CONCATENATE(Z_TARTALOMJEGYZÉK!$A$1,".  előtti forrás, kiadás")</f>
        <v>2019.  előtti forrás, kiadás</v>
      </c>
      <c r="D10" s="504" t="s">
        <v>384</v>
      </c>
      <c r="E10" s="504" t="s">
        <v>385</v>
      </c>
      <c r="F10" s="505" t="str">
        <f>CONCATENATE("Összes teljesítés ",Z_TARTALOMJEGYZÉK!$A$1,". XII.31 -ig")</f>
        <v>Összes teljesítés 2019. XII.31 -ig</v>
      </c>
      <c r="G10" s="505" t="s">
        <v>384</v>
      </c>
      <c r="H10" s="505" t="s">
        <v>385</v>
      </c>
      <c r="I10" s="505" t="str">
        <f>CONCATENATE("Összes teljesítés ",Z_TARTALOMJEGYZÉK!$A$1,". XII.31 -ig")</f>
        <v>Összes teljesítés 2019. XII.31 -ig</v>
      </c>
      <c r="J10" s="603"/>
    </row>
    <row r="11" spans="1:10" ht="11.25" customHeight="1" thickBot="1">
      <c r="A11" s="607"/>
      <c r="B11" s="614"/>
      <c r="C11" s="619"/>
      <c r="D11" s="597" t="str">
        <f>CONCATENATE(Z_TARTALOMJEGYZÉK!$A$1,". évi")</f>
        <v>2019. évi</v>
      </c>
      <c r="E11" s="620"/>
      <c r="F11" s="599"/>
      <c r="G11" s="597" t="str">
        <f>CONCATENATE(Z_TARTALOMJEGYZÉK!$A$1,". után")</f>
        <v>2019. után</v>
      </c>
      <c r="H11" s="598"/>
      <c r="I11" s="599"/>
      <c r="J11" s="603"/>
    </row>
    <row r="12" spans="1:10" ht="13.5" thickBot="1">
      <c r="A12" s="506" t="s">
        <v>325</v>
      </c>
      <c r="B12" s="507" t="s">
        <v>698</v>
      </c>
      <c r="C12" s="508" t="s">
        <v>327</v>
      </c>
      <c r="D12" s="509" t="s">
        <v>329</v>
      </c>
      <c r="E12" s="509" t="s">
        <v>328</v>
      </c>
      <c r="F12" s="508" t="s">
        <v>330</v>
      </c>
      <c r="G12" s="508" t="s">
        <v>331</v>
      </c>
      <c r="H12" s="508" t="s">
        <v>332</v>
      </c>
      <c r="I12" s="510" t="s">
        <v>697</v>
      </c>
      <c r="J12" s="603"/>
    </row>
    <row r="13" spans="1:10" ht="12.75">
      <c r="A13" s="511" t="s">
        <v>82</v>
      </c>
      <c r="B13" s="537">
        <f aca="true" t="shared" si="0" ref="B13:B18">C13+E13+H13</f>
        <v>0</v>
      </c>
      <c r="C13" s="523"/>
      <c r="D13" s="524"/>
      <c r="E13" s="524"/>
      <c r="F13" s="534"/>
      <c r="G13" s="524"/>
      <c r="H13" s="525"/>
      <c r="I13" s="526">
        <f aca="true" t="shared" si="1" ref="I13:I18">C13+F13</f>
        <v>0</v>
      </c>
      <c r="J13" s="603"/>
    </row>
    <row r="14" spans="1:10" ht="12.75">
      <c r="A14" s="512" t="s">
        <v>92</v>
      </c>
      <c r="B14" s="538">
        <f t="shared" si="0"/>
        <v>0</v>
      </c>
      <c r="C14" s="527"/>
      <c r="D14" s="527"/>
      <c r="E14" s="528"/>
      <c r="F14" s="535"/>
      <c r="G14" s="527"/>
      <c r="H14" s="528"/>
      <c r="I14" s="529">
        <f t="shared" si="1"/>
        <v>0</v>
      </c>
      <c r="J14" s="603"/>
    </row>
    <row r="15" spans="1:10" ht="12.75">
      <c r="A15" s="513" t="s">
        <v>83</v>
      </c>
      <c r="B15" s="539">
        <f t="shared" si="0"/>
        <v>85106551</v>
      </c>
      <c r="C15" s="528">
        <v>85106551</v>
      </c>
      <c r="D15" s="528"/>
      <c r="E15" s="528"/>
      <c r="F15" s="536"/>
      <c r="G15" s="528"/>
      <c r="H15" s="528"/>
      <c r="I15" s="529">
        <f t="shared" si="1"/>
        <v>85106551</v>
      </c>
      <c r="J15" s="603"/>
    </row>
    <row r="16" spans="1:10" ht="12.75">
      <c r="A16" s="513" t="s">
        <v>93</v>
      </c>
      <c r="B16" s="539">
        <f t="shared" si="0"/>
        <v>0</v>
      </c>
      <c r="C16" s="528"/>
      <c r="D16" s="528"/>
      <c r="E16" s="528"/>
      <c r="F16" s="536"/>
      <c r="G16" s="528"/>
      <c r="H16" s="528"/>
      <c r="I16" s="529">
        <f t="shared" si="1"/>
        <v>0</v>
      </c>
      <c r="J16" s="603"/>
    </row>
    <row r="17" spans="1:10" ht="12.75">
      <c r="A17" s="513" t="s">
        <v>84</v>
      </c>
      <c r="B17" s="539">
        <f t="shared" si="0"/>
        <v>0</v>
      </c>
      <c r="C17" s="528"/>
      <c r="D17" s="528"/>
      <c r="E17" s="528"/>
      <c r="F17" s="536"/>
      <c r="G17" s="528"/>
      <c r="H17" s="528"/>
      <c r="I17" s="529">
        <f t="shared" si="1"/>
        <v>0</v>
      </c>
      <c r="J17" s="603"/>
    </row>
    <row r="18" spans="1:10" ht="13.5" thickBot="1">
      <c r="A18" s="513" t="s">
        <v>85</v>
      </c>
      <c r="B18" s="539">
        <f t="shared" si="0"/>
        <v>0</v>
      </c>
      <c r="C18" s="528"/>
      <c r="D18" s="528"/>
      <c r="E18" s="528"/>
      <c r="F18" s="536"/>
      <c r="G18" s="528"/>
      <c r="H18" s="528"/>
      <c r="I18" s="529">
        <f t="shared" si="1"/>
        <v>0</v>
      </c>
      <c r="J18" s="603"/>
    </row>
    <row r="19" spans="1:10" ht="13.5" thickBot="1">
      <c r="A19" s="514" t="s">
        <v>86</v>
      </c>
      <c r="B19" s="540">
        <f aca="true" t="shared" si="2" ref="B19:I19">B13+SUM(B15:B18)</f>
        <v>85106551</v>
      </c>
      <c r="C19" s="530">
        <f t="shared" si="2"/>
        <v>85106551</v>
      </c>
      <c r="D19" s="530">
        <f t="shared" si="2"/>
        <v>0</v>
      </c>
      <c r="E19" s="530">
        <f t="shared" si="2"/>
        <v>0</v>
      </c>
      <c r="F19" s="530">
        <f t="shared" si="2"/>
        <v>0</v>
      </c>
      <c r="G19" s="530">
        <f t="shared" si="2"/>
        <v>0</v>
      </c>
      <c r="H19" s="530">
        <f t="shared" si="2"/>
        <v>0</v>
      </c>
      <c r="I19" s="531">
        <f t="shared" si="2"/>
        <v>85106551</v>
      </c>
      <c r="J19" s="603"/>
    </row>
    <row r="20" spans="1:10" ht="12.75">
      <c r="A20" s="515" t="s">
        <v>88</v>
      </c>
      <c r="B20" s="537">
        <f>C20+E20+H20</f>
        <v>0</v>
      </c>
      <c r="C20" s="524"/>
      <c r="D20" s="524"/>
      <c r="E20" s="524"/>
      <c r="F20" s="524"/>
      <c r="G20" s="524"/>
      <c r="H20" s="524"/>
      <c r="I20" s="526">
        <f>C20+F20</f>
        <v>0</v>
      </c>
      <c r="J20" s="603"/>
    </row>
    <row r="21" spans="1:10" ht="12.75">
      <c r="A21" s="516" t="s">
        <v>89</v>
      </c>
      <c r="B21" s="539">
        <f>C21+E21+H21</f>
        <v>63521205</v>
      </c>
      <c r="C21" s="528"/>
      <c r="D21" s="528">
        <v>78941601</v>
      </c>
      <c r="E21" s="528">
        <v>63521205</v>
      </c>
      <c r="F21" s="528">
        <v>63521205</v>
      </c>
      <c r="G21" s="528"/>
      <c r="H21" s="528"/>
      <c r="I21" s="529">
        <f>C21+F21</f>
        <v>63521205</v>
      </c>
      <c r="J21" s="603"/>
    </row>
    <row r="22" spans="1:10" ht="12.75">
      <c r="A22" s="516" t="s">
        <v>90</v>
      </c>
      <c r="B22" s="539">
        <f>C22+E22+H22</f>
        <v>6164950</v>
      </c>
      <c r="C22" s="528">
        <v>6164950</v>
      </c>
      <c r="D22" s="528"/>
      <c r="E22" s="528"/>
      <c r="F22" s="528"/>
      <c r="G22" s="528">
        <v>15420396</v>
      </c>
      <c r="H22" s="528"/>
      <c r="I22" s="529">
        <f>C22+F22</f>
        <v>6164950</v>
      </c>
      <c r="J22" s="603"/>
    </row>
    <row r="23" spans="1:10" ht="12.75">
      <c r="A23" s="516" t="s">
        <v>91</v>
      </c>
      <c r="B23" s="539">
        <f>C23+E23+H23</f>
        <v>0</v>
      </c>
      <c r="C23" s="528"/>
      <c r="D23" s="528"/>
      <c r="E23" s="528"/>
      <c r="F23" s="528"/>
      <c r="G23" s="528"/>
      <c r="H23" s="528"/>
      <c r="I23" s="529">
        <f>C23+F23</f>
        <v>0</v>
      </c>
      <c r="J23" s="603"/>
    </row>
    <row r="24" spans="1:10" ht="13.5" thickBot="1">
      <c r="A24" s="517"/>
      <c r="B24" s="541">
        <f>C24+E24+H24</f>
        <v>0</v>
      </c>
      <c r="C24" s="532"/>
      <c r="D24" s="532"/>
      <c r="E24" s="528"/>
      <c r="F24" s="532"/>
      <c r="G24" s="532"/>
      <c r="H24" s="528"/>
      <c r="I24" s="533">
        <f>C24+F24</f>
        <v>0</v>
      </c>
      <c r="J24" s="603"/>
    </row>
    <row r="25" spans="1:10" ht="13.5" thickBot="1">
      <c r="A25" s="518" t="s">
        <v>72</v>
      </c>
      <c r="B25" s="540">
        <f aca="true" t="shared" si="3" ref="B25:I25">SUM(B20:B24)</f>
        <v>69686155</v>
      </c>
      <c r="C25" s="530">
        <f t="shared" si="3"/>
        <v>6164950</v>
      </c>
      <c r="D25" s="530">
        <f t="shared" si="3"/>
        <v>78941601</v>
      </c>
      <c r="E25" s="530">
        <f t="shared" si="3"/>
        <v>63521205</v>
      </c>
      <c r="F25" s="530">
        <f t="shared" si="3"/>
        <v>63521205</v>
      </c>
      <c r="G25" s="530">
        <f t="shared" si="3"/>
        <v>15420396</v>
      </c>
      <c r="H25" s="530">
        <f t="shared" si="3"/>
        <v>0</v>
      </c>
      <c r="I25" s="531">
        <f t="shared" si="3"/>
        <v>69686155</v>
      </c>
      <c r="J25" s="603"/>
    </row>
    <row r="26" spans="1:10" ht="12.75">
      <c r="A26" s="621" t="s">
        <v>429</v>
      </c>
      <c r="B26" s="621"/>
      <c r="C26" s="621"/>
      <c r="D26" s="621"/>
      <c r="E26" s="621"/>
      <c r="F26" s="621"/>
      <c r="G26" s="621"/>
      <c r="H26" s="621"/>
      <c r="I26" s="621"/>
      <c r="J26" s="603"/>
    </row>
    <row r="27" spans="1:10" ht="12.75">
      <c r="A27" s="519"/>
      <c r="B27" s="519"/>
      <c r="C27" s="519"/>
      <c r="D27" s="519"/>
      <c r="E27" s="519"/>
      <c r="F27" s="519"/>
      <c r="G27" s="519"/>
      <c r="H27" s="519"/>
      <c r="I27" s="519"/>
      <c r="J27" s="603"/>
    </row>
    <row r="28" spans="1:10" ht="14.25" customHeight="1">
      <c r="A28" s="600" t="s">
        <v>774</v>
      </c>
      <c r="B28" s="600"/>
      <c r="C28" s="602" t="s">
        <v>745</v>
      </c>
      <c r="D28" s="601"/>
      <c r="E28" s="601"/>
      <c r="F28" s="601"/>
      <c r="G28" s="601"/>
      <c r="H28" s="601"/>
      <c r="I28" s="601"/>
      <c r="J28" s="603"/>
    </row>
    <row r="29" spans="1:10" ht="15.75" thickBot="1">
      <c r="A29" s="503"/>
      <c r="B29" s="503"/>
      <c r="C29" s="503"/>
      <c r="D29" s="503"/>
      <c r="E29" s="503"/>
      <c r="F29" s="503"/>
      <c r="G29" s="503"/>
      <c r="H29" s="604" t="s">
        <v>685</v>
      </c>
      <c r="I29" s="604"/>
      <c r="J29" s="603"/>
    </row>
    <row r="30" spans="1:10" ht="13.5" customHeight="1" thickBot="1">
      <c r="A30" s="605" t="s">
        <v>81</v>
      </c>
      <c r="B30" s="608" t="s">
        <v>382</v>
      </c>
      <c r="C30" s="609"/>
      <c r="D30" s="609"/>
      <c r="E30" s="609"/>
      <c r="F30" s="610"/>
      <c r="G30" s="610"/>
      <c r="H30" s="610"/>
      <c r="I30" s="611"/>
      <c r="J30" s="603"/>
    </row>
    <row r="31" spans="1:10" ht="13.5" customHeight="1" thickBot="1">
      <c r="A31" s="606"/>
      <c r="B31" s="612" t="str">
        <f>B9</f>
        <v>Módosítás utáni összes forrás, kiadás</v>
      </c>
      <c r="C31" s="615" t="s">
        <v>695</v>
      </c>
      <c r="D31" s="616"/>
      <c r="E31" s="616"/>
      <c r="F31" s="616"/>
      <c r="G31" s="616"/>
      <c r="H31" s="616"/>
      <c r="I31" s="617"/>
      <c r="J31" s="603"/>
    </row>
    <row r="32" spans="1:10" ht="48.75" thickBot="1">
      <c r="A32" s="606"/>
      <c r="B32" s="613"/>
      <c r="C32" s="618" t="str">
        <f>CONCATENATE(Z_TARTALOMJEGYZÉK!$A$1,".  előtti forrás, kiadás")</f>
        <v>2019.  előtti forrás, kiadás</v>
      </c>
      <c r="D32" s="504" t="s">
        <v>384</v>
      </c>
      <c r="E32" s="504" t="s">
        <v>385</v>
      </c>
      <c r="F32" s="505" t="str">
        <f>CONCATENATE("Összes teljesítés ",Z_TARTALOMJEGYZÉK!$A$1,". XII.31 -ig")</f>
        <v>Összes teljesítés 2019. XII.31 -ig</v>
      </c>
      <c r="G32" s="505" t="s">
        <v>384</v>
      </c>
      <c r="H32" s="505" t="s">
        <v>385</v>
      </c>
      <c r="I32" s="505" t="str">
        <f>CONCATENATE("Összes teljesítés ",Z_TARTALOMJEGYZÉK!$A$1,". XII.31 -ig")</f>
        <v>Összes teljesítés 2019. XII.31 -ig</v>
      </c>
      <c r="J32" s="603"/>
    </row>
    <row r="33" spans="1:10" ht="13.5" thickBot="1">
      <c r="A33" s="607"/>
      <c r="B33" s="614"/>
      <c r="C33" s="619"/>
      <c r="D33" s="597" t="str">
        <f>CONCATENATE(Z_TARTALOMJEGYZÉK!$A$1,". évi")</f>
        <v>2019. évi</v>
      </c>
      <c r="E33" s="620"/>
      <c r="F33" s="599"/>
      <c r="G33" s="597" t="str">
        <f>CONCATENATE(Z_TARTALOMJEGYZÉK!$A$1,". után")</f>
        <v>2019. után</v>
      </c>
      <c r="H33" s="598"/>
      <c r="I33" s="599"/>
      <c r="J33" s="603"/>
    </row>
    <row r="34" spans="1:10" ht="13.5" thickBot="1">
      <c r="A34" s="506" t="s">
        <v>325</v>
      </c>
      <c r="B34" s="507" t="s">
        <v>698</v>
      </c>
      <c r="C34" s="508" t="s">
        <v>327</v>
      </c>
      <c r="D34" s="509" t="s">
        <v>329</v>
      </c>
      <c r="E34" s="509" t="s">
        <v>328</v>
      </c>
      <c r="F34" s="508" t="s">
        <v>330</v>
      </c>
      <c r="G34" s="508" t="s">
        <v>331</v>
      </c>
      <c r="H34" s="508" t="s">
        <v>332</v>
      </c>
      <c r="I34" s="510" t="s">
        <v>697</v>
      </c>
      <c r="J34" s="603"/>
    </row>
    <row r="35" spans="1:10" ht="12.75">
      <c r="A35" s="511" t="s">
        <v>82</v>
      </c>
      <c r="B35" s="537">
        <f aca="true" t="shared" si="4" ref="B35:B40">C35+E35+H35</f>
        <v>0</v>
      </c>
      <c r="C35" s="523"/>
      <c r="D35" s="524"/>
      <c r="E35" s="524"/>
      <c r="F35" s="534"/>
      <c r="G35" s="524"/>
      <c r="H35" s="525"/>
      <c r="I35" s="526">
        <f aca="true" t="shared" si="5" ref="I35:I40">C35+F35</f>
        <v>0</v>
      </c>
      <c r="J35" s="603"/>
    </row>
    <row r="36" spans="1:10" ht="12.75">
      <c r="A36" s="512" t="s">
        <v>92</v>
      </c>
      <c r="B36" s="538">
        <f t="shared" si="4"/>
        <v>0</v>
      </c>
      <c r="C36" s="527"/>
      <c r="D36" s="527"/>
      <c r="E36" s="528"/>
      <c r="F36" s="535"/>
      <c r="G36" s="527"/>
      <c r="H36" s="528"/>
      <c r="I36" s="529">
        <f t="shared" si="5"/>
        <v>0</v>
      </c>
      <c r="J36" s="603"/>
    </row>
    <row r="37" spans="1:10" ht="12.75">
      <c r="A37" s="513" t="s">
        <v>83</v>
      </c>
      <c r="B37" s="539">
        <f t="shared" si="4"/>
        <v>88906668</v>
      </c>
      <c r="C37" s="528">
        <v>88906668</v>
      </c>
      <c r="D37" s="528"/>
      <c r="E37" s="528"/>
      <c r="F37" s="536"/>
      <c r="G37" s="528"/>
      <c r="H37" s="528"/>
      <c r="I37" s="529">
        <f t="shared" si="5"/>
        <v>88906668</v>
      </c>
      <c r="J37" s="603"/>
    </row>
    <row r="38" spans="1:10" ht="12.75">
      <c r="A38" s="513" t="s">
        <v>93</v>
      </c>
      <c r="B38" s="539">
        <f t="shared" si="4"/>
        <v>0</v>
      </c>
      <c r="C38" s="528"/>
      <c r="D38" s="528"/>
      <c r="E38" s="528"/>
      <c r="F38" s="536"/>
      <c r="G38" s="528"/>
      <c r="H38" s="528"/>
      <c r="I38" s="529">
        <f t="shared" si="5"/>
        <v>0</v>
      </c>
      <c r="J38" s="603"/>
    </row>
    <row r="39" spans="1:10" ht="12.75">
      <c r="A39" s="513" t="s">
        <v>84</v>
      </c>
      <c r="B39" s="539">
        <f t="shared" si="4"/>
        <v>0</v>
      </c>
      <c r="C39" s="528"/>
      <c r="D39" s="528"/>
      <c r="E39" s="528"/>
      <c r="F39" s="536"/>
      <c r="G39" s="528"/>
      <c r="H39" s="528"/>
      <c r="I39" s="529">
        <f t="shared" si="5"/>
        <v>0</v>
      </c>
      <c r="J39" s="603"/>
    </row>
    <row r="40" spans="1:10" ht="13.5" thickBot="1">
      <c r="A40" s="513" t="s">
        <v>85</v>
      </c>
      <c r="B40" s="539">
        <f t="shared" si="4"/>
        <v>0</v>
      </c>
      <c r="C40" s="528"/>
      <c r="D40" s="528"/>
      <c r="E40" s="528"/>
      <c r="F40" s="536"/>
      <c r="G40" s="528"/>
      <c r="H40" s="528"/>
      <c r="I40" s="529">
        <f t="shared" si="5"/>
        <v>0</v>
      </c>
      <c r="J40" s="603"/>
    </row>
    <row r="41" spans="1:10" ht="13.5" thickBot="1">
      <c r="A41" s="514" t="s">
        <v>86</v>
      </c>
      <c r="B41" s="540">
        <f aca="true" t="shared" si="6" ref="B41:I41">B35+SUM(B37:B40)</f>
        <v>88906668</v>
      </c>
      <c r="C41" s="530">
        <f t="shared" si="6"/>
        <v>88906668</v>
      </c>
      <c r="D41" s="530">
        <f t="shared" si="6"/>
        <v>0</v>
      </c>
      <c r="E41" s="530">
        <f t="shared" si="6"/>
        <v>0</v>
      </c>
      <c r="F41" s="530">
        <f t="shared" si="6"/>
        <v>0</v>
      </c>
      <c r="G41" s="530">
        <f t="shared" si="6"/>
        <v>0</v>
      </c>
      <c r="H41" s="530">
        <f t="shared" si="6"/>
        <v>0</v>
      </c>
      <c r="I41" s="531">
        <f t="shared" si="6"/>
        <v>88906668</v>
      </c>
      <c r="J41" s="603"/>
    </row>
    <row r="42" spans="1:10" ht="12.75">
      <c r="A42" s="515" t="s">
        <v>88</v>
      </c>
      <c r="B42" s="537">
        <f>C42+E42+H42</f>
        <v>0</v>
      </c>
      <c r="C42" s="524"/>
      <c r="D42" s="524"/>
      <c r="E42" s="524"/>
      <c r="F42" s="524"/>
      <c r="G42" s="524"/>
      <c r="H42" s="524"/>
      <c r="I42" s="526">
        <f>C42+F42</f>
        <v>0</v>
      </c>
      <c r="J42" s="603"/>
    </row>
    <row r="43" spans="1:10" ht="12.75">
      <c r="A43" s="516" t="s">
        <v>89</v>
      </c>
      <c r="B43" s="539">
        <f>C43+E43+H43</f>
        <v>17925534</v>
      </c>
      <c r="C43" s="528"/>
      <c r="D43" s="528"/>
      <c r="E43" s="528">
        <v>17925534</v>
      </c>
      <c r="F43" s="528">
        <v>17925534</v>
      </c>
      <c r="G43" s="528">
        <v>64998884</v>
      </c>
      <c r="H43" s="528"/>
      <c r="I43" s="529">
        <f>C43+F43</f>
        <v>17925534</v>
      </c>
      <c r="J43" s="603"/>
    </row>
    <row r="44" spans="1:10" ht="12.75">
      <c r="A44" s="516" t="s">
        <v>90</v>
      </c>
      <c r="B44" s="539">
        <f>C44+E44+H44</f>
        <v>5981250</v>
      </c>
      <c r="C44" s="528">
        <v>5981250</v>
      </c>
      <c r="D44" s="528"/>
      <c r="E44" s="528"/>
      <c r="F44" s="528"/>
      <c r="G44" s="528"/>
      <c r="H44" s="528"/>
      <c r="I44" s="529">
        <f>C44+F44</f>
        <v>5981250</v>
      </c>
      <c r="J44" s="603"/>
    </row>
    <row r="45" spans="1:10" ht="12.75">
      <c r="A45" s="516" t="s">
        <v>91</v>
      </c>
      <c r="B45" s="539">
        <f>C45+E45+H45</f>
        <v>0</v>
      </c>
      <c r="C45" s="528"/>
      <c r="D45" s="528"/>
      <c r="E45" s="528"/>
      <c r="F45" s="528"/>
      <c r="G45" s="528"/>
      <c r="H45" s="528"/>
      <c r="I45" s="529">
        <f>C45+F45</f>
        <v>0</v>
      </c>
      <c r="J45" s="603"/>
    </row>
    <row r="46" spans="1:10" ht="13.5" thickBot="1">
      <c r="A46" s="517"/>
      <c r="B46" s="541">
        <f>C46+E46+H46</f>
        <v>0</v>
      </c>
      <c r="C46" s="532"/>
      <c r="D46" s="532"/>
      <c r="E46" s="528"/>
      <c r="F46" s="532"/>
      <c r="G46" s="532"/>
      <c r="H46" s="528"/>
      <c r="I46" s="533">
        <f>C46+F46</f>
        <v>0</v>
      </c>
      <c r="J46" s="603"/>
    </row>
    <row r="47" spans="1:10" ht="13.5" thickBot="1">
      <c r="A47" s="518" t="s">
        <v>72</v>
      </c>
      <c r="B47" s="540">
        <f aca="true" t="shared" si="7" ref="B47:I47">SUM(B42:B46)</f>
        <v>23906784</v>
      </c>
      <c r="C47" s="530">
        <f t="shared" si="7"/>
        <v>5981250</v>
      </c>
      <c r="D47" s="530">
        <f t="shared" si="7"/>
        <v>0</v>
      </c>
      <c r="E47" s="530">
        <f t="shared" si="7"/>
        <v>17925534</v>
      </c>
      <c r="F47" s="530">
        <f t="shared" si="7"/>
        <v>17925534</v>
      </c>
      <c r="G47" s="530">
        <f t="shared" si="7"/>
        <v>64998884</v>
      </c>
      <c r="H47" s="530">
        <f t="shared" si="7"/>
        <v>0</v>
      </c>
      <c r="I47" s="531">
        <f t="shared" si="7"/>
        <v>23906784</v>
      </c>
      <c r="J47" s="603"/>
    </row>
    <row r="48" ht="12.75">
      <c r="J48" s="603"/>
    </row>
    <row r="49" ht="12.75">
      <c r="J49" s="603"/>
    </row>
    <row r="50" spans="1:10" ht="14.25">
      <c r="A50" s="600" t="s">
        <v>775</v>
      </c>
      <c r="B50" s="600"/>
      <c r="C50" s="602" t="s">
        <v>776</v>
      </c>
      <c r="D50" s="601"/>
      <c r="E50" s="601"/>
      <c r="F50" s="601"/>
      <c r="G50" s="601"/>
      <c r="H50" s="601"/>
      <c r="I50" s="601"/>
      <c r="J50" s="603"/>
    </row>
    <row r="51" spans="1:10" ht="15.75" thickBot="1">
      <c r="A51" s="503"/>
      <c r="B51" s="503"/>
      <c r="C51" s="503"/>
      <c r="D51" s="503"/>
      <c r="E51" s="503"/>
      <c r="F51" s="503"/>
      <c r="G51" s="503"/>
      <c r="H51" s="604" t="s">
        <v>685</v>
      </c>
      <c r="I51" s="604"/>
      <c r="J51" s="603"/>
    </row>
    <row r="52" spans="1:10" ht="13.5" customHeight="1" thickBot="1">
      <c r="A52" s="605" t="s">
        <v>81</v>
      </c>
      <c r="B52" s="608" t="s">
        <v>382</v>
      </c>
      <c r="C52" s="609"/>
      <c r="D52" s="609"/>
      <c r="E52" s="609"/>
      <c r="F52" s="610"/>
      <c r="G52" s="610"/>
      <c r="H52" s="610"/>
      <c r="I52" s="611"/>
      <c r="J52" s="603"/>
    </row>
    <row r="53" spans="1:10" ht="13.5" customHeight="1" thickBot="1">
      <c r="A53" s="606"/>
      <c r="B53" s="612" t="str">
        <f>B31</f>
        <v>Módosítás utáni összes forrás, kiadás</v>
      </c>
      <c r="C53" s="615" t="s">
        <v>695</v>
      </c>
      <c r="D53" s="616"/>
      <c r="E53" s="616"/>
      <c r="F53" s="616"/>
      <c r="G53" s="616"/>
      <c r="H53" s="616"/>
      <c r="I53" s="617"/>
      <c r="J53" s="603"/>
    </row>
    <row r="54" spans="1:10" ht="48.75" customHeight="1" thickBot="1">
      <c r="A54" s="606"/>
      <c r="B54" s="613"/>
      <c r="C54" s="618" t="str">
        <f>CONCATENATE(Z_TARTALOMJEGYZÉK!$A$1,".  előtti forrás, kiadás")</f>
        <v>2019.  előtti forrás, kiadás</v>
      </c>
      <c r="D54" s="504" t="s">
        <v>384</v>
      </c>
      <c r="E54" s="504" t="s">
        <v>385</v>
      </c>
      <c r="F54" s="505" t="str">
        <f>CONCATENATE("Összes teljesítés ",Z_TARTALOMJEGYZÉK!$A$1,". XII.31 -ig")</f>
        <v>Összes teljesítés 2019. XII.31 -ig</v>
      </c>
      <c r="G54" s="505" t="s">
        <v>384</v>
      </c>
      <c r="H54" s="505" t="s">
        <v>385</v>
      </c>
      <c r="I54" s="505" t="str">
        <f>CONCATENATE("Összes teljesítés ",Z_TARTALOMJEGYZÉK!$A$1,". XII.31 -ig")</f>
        <v>Összes teljesítés 2019. XII.31 -ig</v>
      </c>
      <c r="J54" s="603"/>
    </row>
    <row r="55" spans="1:10" ht="13.5" thickBot="1">
      <c r="A55" s="607"/>
      <c r="B55" s="614"/>
      <c r="C55" s="619"/>
      <c r="D55" s="597" t="str">
        <f>CONCATENATE(Z_TARTALOMJEGYZÉK!$A$1,". évi")</f>
        <v>2019. évi</v>
      </c>
      <c r="E55" s="620"/>
      <c r="F55" s="599"/>
      <c r="G55" s="597" t="str">
        <f>CONCATENATE(Z_TARTALOMJEGYZÉK!$A$1,". után")</f>
        <v>2019. után</v>
      </c>
      <c r="H55" s="598"/>
      <c r="I55" s="599"/>
      <c r="J55" s="603"/>
    </row>
    <row r="56" spans="1:10" ht="13.5" thickBot="1">
      <c r="A56" s="506" t="s">
        <v>325</v>
      </c>
      <c r="B56" s="507" t="s">
        <v>698</v>
      </c>
      <c r="C56" s="508" t="s">
        <v>327</v>
      </c>
      <c r="D56" s="509" t="s">
        <v>329</v>
      </c>
      <c r="E56" s="509" t="s">
        <v>328</v>
      </c>
      <c r="F56" s="508" t="s">
        <v>330</v>
      </c>
      <c r="G56" s="508" t="s">
        <v>331</v>
      </c>
      <c r="H56" s="508" t="s">
        <v>332</v>
      </c>
      <c r="I56" s="510" t="s">
        <v>697</v>
      </c>
      <c r="J56" s="603"/>
    </row>
    <row r="57" spans="1:10" ht="12.75">
      <c r="A57" s="511" t="s">
        <v>82</v>
      </c>
      <c r="B57" s="537">
        <f aca="true" t="shared" si="8" ref="B57:B62">C57+E57+H57</f>
        <v>0</v>
      </c>
      <c r="C57" s="523"/>
      <c r="D57" s="524"/>
      <c r="E57" s="524"/>
      <c r="F57" s="534"/>
      <c r="G57" s="524"/>
      <c r="H57" s="525"/>
      <c r="I57" s="526">
        <f aca="true" t="shared" si="9" ref="I57:I62">C57+F57</f>
        <v>0</v>
      </c>
      <c r="J57" s="603"/>
    </row>
    <row r="58" spans="1:10" ht="12.75">
      <c r="A58" s="512" t="s">
        <v>92</v>
      </c>
      <c r="B58" s="538">
        <f t="shared" si="8"/>
        <v>0</v>
      </c>
      <c r="C58" s="527"/>
      <c r="D58" s="527"/>
      <c r="E58" s="528"/>
      <c r="F58" s="535"/>
      <c r="G58" s="527"/>
      <c r="H58" s="528"/>
      <c r="I58" s="529">
        <f t="shared" si="9"/>
        <v>0</v>
      </c>
      <c r="J58" s="603"/>
    </row>
    <row r="59" spans="1:10" ht="12.75">
      <c r="A59" s="513" t="s">
        <v>83</v>
      </c>
      <c r="B59" s="539">
        <f t="shared" si="8"/>
        <v>112560100</v>
      </c>
      <c r="C59" s="528">
        <v>112560100</v>
      </c>
      <c r="D59" s="528"/>
      <c r="E59" s="528"/>
      <c r="F59" s="536"/>
      <c r="G59" s="528"/>
      <c r="H59" s="528"/>
      <c r="I59" s="529">
        <f t="shared" si="9"/>
        <v>112560100</v>
      </c>
      <c r="J59" s="603"/>
    </row>
    <row r="60" spans="1:10" ht="12.75">
      <c r="A60" s="513" t="s">
        <v>93</v>
      </c>
      <c r="B60" s="539">
        <f t="shared" si="8"/>
        <v>0</v>
      </c>
      <c r="C60" s="528"/>
      <c r="D60" s="528"/>
      <c r="E60" s="528"/>
      <c r="F60" s="536"/>
      <c r="G60" s="528"/>
      <c r="H60" s="528"/>
      <c r="I60" s="529">
        <f t="shared" si="9"/>
        <v>0</v>
      </c>
      <c r="J60" s="603"/>
    </row>
    <row r="61" spans="1:10" ht="12.75">
      <c r="A61" s="513" t="s">
        <v>84</v>
      </c>
      <c r="B61" s="539">
        <f t="shared" si="8"/>
        <v>0</v>
      </c>
      <c r="C61" s="528"/>
      <c r="D61" s="528"/>
      <c r="E61" s="528"/>
      <c r="F61" s="536"/>
      <c r="G61" s="528"/>
      <c r="H61" s="528"/>
      <c r="I61" s="529">
        <f t="shared" si="9"/>
        <v>0</v>
      </c>
      <c r="J61" s="603"/>
    </row>
    <row r="62" spans="1:10" ht="13.5" thickBot="1">
      <c r="A62" s="513" t="s">
        <v>85</v>
      </c>
      <c r="B62" s="539">
        <f t="shared" si="8"/>
        <v>0</v>
      </c>
      <c r="C62" s="528"/>
      <c r="D62" s="528"/>
      <c r="E62" s="528"/>
      <c r="F62" s="536"/>
      <c r="G62" s="528"/>
      <c r="H62" s="528"/>
      <c r="I62" s="529">
        <f t="shared" si="9"/>
        <v>0</v>
      </c>
      <c r="J62" s="603"/>
    </row>
    <row r="63" spans="1:10" ht="13.5" thickBot="1">
      <c r="A63" s="514" t="s">
        <v>86</v>
      </c>
      <c r="B63" s="540">
        <f aca="true" t="shared" si="10" ref="B63:I63">B57+SUM(B59:B62)</f>
        <v>112560100</v>
      </c>
      <c r="C63" s="530">
        <f t="shared" si="10"/>
        <v>112560100</v>
      </c>
      <c r="D63" s="530">
        <f t="shared" si="10"/>
        <v>0</v>
      </c>
      <c r="E63" s="530">
        <f t="shared" si="10"/>
        <v>0</v>
      </c>
      <c r="F63" s="530">
        <f t="shared" si="10"/>
        <v>0</v>
      </c>
      <c r="G63" s="530">
        <f t="shared" si="10"/>
        <v>0</v>
      </c>
      <c r="H63" s="530">
        <f t="shared" si="10"/>
        <v>0</v>
      </c>
      <c r="I63" s="531">
        <f t="shared" si="10"/>
        <v>112560100</v>
      </c>
      <c r="J63" s="603"/>
    </row>
    <row r="64" spans="1:10" ht="12.75">
      <c r="A64" s="515" t="s">
        <v>88</v>
      </c>
      <c r="B64" s="537">
        <f>C64+E64+H64</f>
        <v>0</v>
      </c>
      <c r="C64" s="524"/>
      <c r="D64" s="524"/>
      <c r="E64" s="524"/>
      <c r="F64" s="524"/>
      <c r="G64" s="524"/>
      <c r="H64" s="524"/>
      <c r="I64" s="526">
        <f>C64+F64</f>
        <v>0</v>
      </c>
      <c r="J64" s="603"/>
    </row>
    <row r="65" spans="1:10" ht="12.75">
      <c r="A65" s="516" t="s">
        <v>89</v>
      </c>
      <c r="B65" s="539">
        <f>C65+E65+H65</f>
        <v>0</v>
      </c>
      <c r="C65" s="528"/>
      <c r="D65" s="528"/>
      <c r="E65" s="528"/>
      <c r="F65" s="528"/>
      <c r="G65" s="528">
        <v>101786690</v>
      </c>
      <c r="H65" s="528"/>
      <c r="I65" s="529">
        <f>C65+F65</f>
        <v>0</v>
      </c>
      <c r="J65" s="603"/>
    </row>
    <row r="66" spans="1:10" ht="12.75">
      <c r="A66" s="516" t="s">
        <v>90</v>
      </c>
      <c r="B66" s="539">
        <f>C66+E66+H66</f>
        <v>5626000</v>
      </c>
      <c r="C66" s="528">
        <v>2260500</v>
      </c>
      <c r="D66" s="528">
        <v>107737410</v>
      </c>
      <c r="E66" s="528">
        <v>3365500</v>
      </c>
      <c r="F66" s="528">
        <v>3365500</v>
      </c>
      <c r="G66" s="528">
        <v>5147410</v>
      </c>
      <c r="H66" s="528"/>
      <c r="I66" s="529">
        <f>C66+F66</f>
        <v>5626000</v>
      </c>
      <c r="J66" s="603"/>
    </row>
    <row r="67" spans="1:10" ht="12.75">
      <c r="A67" s="516" t="s">
        <v>91</v>
      </c>
      <c r="B67" s="539">
        <f>C67+E67+H67</f>
        <v>0</v>
      </c>
      <c r="C67" s="528"/>
      <c r="D67" s="528"/>
      <c r="E67" s="528"/>
      <c r="F67" s="528"/>
      <c r="G67" s="528"/>
      <c r="H67" s="528"/>
      <c r="I67" s="529">
        <f>C67+F67</f>
        <v>0</v>
      </c>
      <c r="J67" s="603"/>
    </row>
    <row r="68" spans="1:10" ht="13.5" thickBot="1">
      <c r="A68" s="517"/>
      <c r="B68" s="541">
        <f>C68+E68+H68</f>
        <v>0</v>
      </c>
      <c r="C68" s="532"/>
      <c r="D68" s="532"/>
      <c r="E68" s="528"/>
      <c r="F68" s="532"/>
      <c r="G68" s="532"/>
      <c r="H68" s="528"/>
      <c r="I68" s="533">
        <f>C68+F68</f>
        <v>0</v>
      </c>
      <c r="J68" s="603"/>
    </row>
    <row r="69" spans="1:10" ht="13.5" thickBot="1">
      <c r="A69" s="518" t="s">
        <v>72</v>
      </c>
      <c r="B69" s="540">
        <f aca="true" t="shared" si="11" ref="B69:I69">SUM(B64:B68)</f>
        <v>5626000</v>
      </c>
      <c r="C69" s="530">
        <f t="shared" si="11"/>
        <v>2260500</v>
      </c>
      <c r="D69" s="530">
        <f t="shared" si="11"/>
        <v>107737410</v>
      </c>
      <c r="E69" s="530">
        <f t="shared" si="11"/>
        <v>3365500</v>
      </c>
      <c r="F69" s="530">
        <f t="shared" si="11"/>
        <v>3365500</v>
      </c>
      <c r="G69" s="530">
        <f t="shared" si="11"/>
        <v>106934100</v>
      </c>
      <c r="H69" s="530">
        <f t="shared" si="11"/>
        <v>0</v>
      </c>
      <c r="I69" s="531">
        <f t="shared" si="11"/>
        <v>5626000</v>
      </c>
      <c r="J69" s="603"/>
    </row>
    <row r="70" ht="12.75">
      <c r="J70" s="603"/>
    </row>
    <row r="71" ht="12.75">
      <c r="J71" s="603"/>
    </row>
    <row r="72" spans="1:10" ht="14.25">
      <c r="A72" s="600"/>
      <c r="B72" s="600"/>
      <c r="C72" s="601"/>
      <c r="D72" s="601"/>
      <c r="E72" s="601"/>
      <c r="F72" s="601"/>
      <c r="G72" s="601"/>
      <c r="H72" s="601"/>
      <c r="I72" s="601"/>
      <c r="J72" s="566"/>
    </row>
  </sheetData>
  <sheetProtection/>
  <mergeCells count="39">
    <mergeCell ref="A1:I1"/>
    <mergeCell ref="J1:J27"/>
    <mergeCell ref="A3:I3"/>
    <mergeCell ref="A4:I4"/>
    <mergeCell ref="A6:B6"/>
    <mergeCell ref="C6:I6"/>
    <mergeCell ref="H7:I7"/>
    <mergeCell ref="A8:A11"/>
    <mergeCell ref="B8:I8"/>
    <mergeCell ref="B9:B11"/>
    <mergeCell ref="D33:F33"/>
    <mergeCell ref="G33:I33"/>
    <mergeCell ref="C9:I9"/>
    <mergeCell ref="C10:C11"/>
    <mergeCell ref="D11:F11"/>
    <mergeCell ref="G11:I11"/>
    <mergeCell ref="A26:I26"/>
    <mergeCell ref="A28:B28"/>
    <mergeCell ref="C28:I28"/>
    <mergeCell ref="C53:I53"/>
    <mergeCell ref="C54:C55"/>
    <mergeCell ref="D55:F55"/>
    <mergeCell ref="J28:J49"/>
    <mergeCell ref="H29:I29"/>
    <mergeCell ref="A30:A33"/>
    <mergeCell ref="B30:I30"/>
    <mergeCell ref="B31:B33"/>
    <mergeCell ref="C31:I31"/>
    <mergeCell ref="C32:C33"/>
    <mergeCell ref="G55:I55"/>
    <mergeCell ref="A72:B72"/>
    <mergeCell ref="C72:I72"/>
    <mergeCell ref="A50:B50"/>
    <mergeCell ref="C50:I50"/>
    <mergeCell ref="J50:J71"/>
    <mergeCell ref="H51:I51"/>
    <mergeCell ref="A52:A55"/>
    <mergeCell ref="B52:I52"/>
    <mergeCell ref="B53:B55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85" r:id="rId1"/>
  <headerFooter alignWithMargins="0">
    <oddHeader>&amp;C&amp;"Times New Roman CE,Félkövér"&amp;12
</oddHeader>
  </headerFooter>
  <rowBreaks count="3" manualBreakCount="3">
    <brk id="27" max="255" man="1"/>
    <brk id="49" max="255" man="1"/>
    <brk id="7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59"/>
  <sheetViews>
    <sheetView zoomScale="120" zoomScaleNormal="120" zoomScaleSheetLayoutView="100" workbookViewId="0" topLeftCell="A136">
      <selection activeCell="I163" sqref="I163"/>
    </sheetView>
  </sheetViews>
  <sheetFormatPr defaultColWidth="9.00390625" defaultRowHeight="12.75"/>
  <cols>
    <col min="1" max="1" width="16.125" style="119" customWidth="1"/>
    <col min="2" max="2" width="63.875" style="120" customWidth="1"/>
    <col min="3" max="3" width="14.125" style="12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265"/>
      <c r="B1" s="629" t="str">
        <f>CONCATENATE("6.1. melléklet ",Z_ALAPADATOK!A7," ",Z_ALAPADATOK!B7," ",Z_ALAPADATOK!C7," ",Z_ALAPADATOK!D7," ",Z_ALAPADATOK!E7," ",Z_ALAPADATOK!F7," ",Z_ALAPADATOK!G7," ",Z_ALAPADATOK!H7)</f>
        <v>6.1. melléklet a 12 / 2020. ( VI.11. ) önkormányzati rendelethez</v>
      </c>
      <c r="C1" s="630"/>
      <c r="D1" s="630"/>
      <c r="E1" s="630"/>
    </row>
    <row r="2" spans="1:5" s="49" customFormat="1" ht="21" customHeight="1" thickBot="1">
      <c r="A2" s="274" t="s">
        <v>43</v>
      </c>
      <c r="B2" s="628" t="str">
        <f>CONCATENATE(Z_ALAPADATOK!A3)</f>
        <v>Karácsond Községi Önkormányzat</v>
      </c>
      <c r="C2" s="628"/>
      <c r="D2" s="628"/>
      <c r="E2" s="275" t="s">
        <v>37</v>
      </c>
    </row>
    <row r="3" spans="1:5" s="49" customFormat="1" ht="24.75" thickBot="1">
      <c r="A3" s="274" t="s">
        <v>120</v>
      </c>
      <c r="B3" s="628" t="s">
        <v>248</v>
      </c>
      <c r="C3" s="628"/>
      <c r="D3" s="628"/>
      <c r="E3" s="276" t="s">
        <v>37</v>
      </c>
    </row>
    <row r="4" spans="1:5" s="50" customFormat="1" ht="15.75" customHeight="1" thickBot="1">
      <c r="A4" s="268"/>
      <c r="B4" s="268"/>
      <c r="C4" s="269"/>
      <c r="D4" s="270"/>
      <c r="E4" s="279" t="str">
        <f>Felújítás!G4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+CONCATENATE("Teljesítés",CHAR(10),LEFT(Z_ÖSSZEFÜGGÉSEK!A6,4),". XII. 31.")</f>
        <v>Teljesítés
2019. XII. 31.</v>
      </c>
    </row>
    <row r="6" spans="1:5" s="46" customFormat="1" ht="12.75" customHeight="1" thickBot="1">
      <c r="A6" s="68" t="s">
        <v>325</v>
      </c>
      <c r="B6" s="69" t="s">
        <v>326</v>
      </c>
      <c r="C6" s="69" t="s">
        <v>327</v>
      </c>
      <c r="D6" s="231" t="s">
        <v>329</v>
      </c>
      <c r="E6" s="70" t="s">
        <v>328</v>
      </c>
    </row>
    <row r="7" spans="1:5" s="46" customFormat="1" ht="15.75" customHeight="1" thickBot="1">
      <c r="A7" s="625" t="s">
        <v>38</v>
      </c>
      <c r="B7" s="626"/>
      <c r="C7" s="626"/>
      <c r="D7" s="626"/>
      <c r="E7" s="627"/>
    </row>
    <row r="8" spans="1:5" s="46" customFormat="1" ht="12" customHeight="1" thickBot="1">
      <c r="A8" s="25" t="s">
        <v>5</v>
      </c>
      <c r="B8" s="19" t="s">
        <v>126</v>
      </c>
      <c r="C8" s="123">
        <f>+C9+C10+C11+C12+C13+C14</f>
        <v>144049665</v>
      </c>
      <c r="D8" s="204">
        <f>+D9+D10+D11+D12+D13+D14</f>
        <v>160401796</v>
      </c>
      <c r="E8" s="88">
        <f>+E9+E10+E11+E12+E13+E14</f>
        <v>160401796</v>
      </c>
    </row>
    <row r="9" spans="1:5" s="51" customFormat="1" ht="12" customHeight="1">
      <c r="A9" s="148" t="s">
        <v>61</v>
      </c>
      <c r="B9" s="136" t="s">
        <v>127</v>
      </c>
      <c r="C9" s="125">
        <v>59867636</v>
      </c>
      <c r="D9" s="205">
        <v>61198667</v>
      </c>
      <c r="E9" s="90">
        <v>61198667</v>
      </c>
    </row>
    <row r="10" spans="1:5" s="52" customFormat="1" ht="12" customHeight="1">
      <c r="A10" s="149" t="s">
        <v>62</v>
      </c>
      <c r="B10" s="137" t="s">
        <v>128</v>
      </c>
      <c r="C10" s="124">
        <v>52961800</v>
      </c>
      <c r="D10" s="206">
        <v>55830268</v>
      </c>
      <c r="E10" s="89">
        <v>55830268</v>
      </c>
    </row>
    <row r="11" spans="1:5" s="52" customFormat="1" ht="12" customHeight="1">
      <c r="A11" s="149" t="s">
        <v>63</v>
      </c>
      <c r="B11" s="137" t="s">
        <v>129</v>
      </c>
      <c r="C11" s="124">
        <v>27582969</v>
      </c>
      <c r="D11" s="206">
        <v>28186074</v>
      </c>
      <c r="E11" s="89">
        <v>28186074</v>
      </c>
    </row>
    <row r="12" spans="1:5" s="52" customFormat="1" ht="12" customHeight="1">
      <c r="A12" s="149" t="s">
        <v>64</v>
      </c>
      <c r="B12" s="137" t="s">
        <v>130</v>
      </c>
      <c r="C12" s="124">
        <v>3637260</v>
      </c>
      <c r="D12" s="206">
        <v>4215922</v>
      </c>
      <c r="E12" s="89">
        <v>4215922</v>
      </c>
    </row>
    <row r="13" spans="1:5" s="52" customFormat="1" ht="12" customHeight="1">
      <c r="A13" s="149" t="s">
        <v>94</v>
      </c>
      <c r="B13" s="137" t="s">
        <v>333</v>
      </c>
      <c r="C13" s="124"/>
      <c r="D13" s="206">
        <v>10970865</v>
      </c>
      <c r="E13" s="89">
        <v>10970865</v>
      </c>
    </row>
    <row r="14" spans="1:5" s="51" customFormat="1" ht="12" customHeight="1" thickBot="1">
      <c r="A14" s="150" t="s">
        <v>65</v>
      </c>
      <c r="B14" s="138" t="s">
        <v>277</v>
      </c>
      <c r="C14" s="124"/>
      <c r="D14" s="206"/>
      <c r="E14" s="89"/>
    </row>
    <row r="15" spans="1:5" s="51" customFormat="1" ht="12" customHeight="1" thickBot="1">
      <c r="A15" s="25" t="s">
        <v>6</v>
      </c>
      <c r="B15" s="95" t="s">
        <v>131</v>
      </c>
      <c r="C15" s="123">
        <f>+C16+C17+C18+C19+C20</f>
        <v>24000000</v>
      </c>
      <c r="D15" s="204">
        <f>+D16+D17+D18+D19+D20</f>
        <v>24100030</v>
      </c>
      <c r="E15" s="88">
        <f>+E16+E17+E18+E19+E20</f>
        <v>24379927</v>
      </c>
    </row>
    <row r="16" spans="1:5" s="51" customFormat="1" ht="12" customHeight="1">
      <c r="A16" s="148" t="s">
        <v>67</v>
      </c>
      <c r="B16" s="136" t="s">
        <v>132</v>
      </c>
      <c r="C16" s="125"/>
      <c r="D16" s="205"/>
      <c r="E16" s="90"/>
    </row>
    <row r="17" spans="1:5" s="51" customFormat="1" ht="12" customHeight="1">
      <c r="A17" s="149" t="s">
        <v>68</v>
      </c>
      <c r="B17" s="137" t="s">
        <v>133</v>
      </c>
      <c r="C17" s="124"/>
      <c r="D17" s="206"/>
      <c r="E17" s="89"/>
    </row>
    <row r="18" spans="1:5" s="51" customFormat="1" ht="12" customHeight="1">
      <c r="A18" s="149" t="s">
        <v>69</v>
      </c>
      <c r="B18" s="137" t="s">
        <v>269</v>
      </c>
      <c r="C18" s="124"/>
      <c r="D18" s="206"/>
      <c r="E18" s="89"/>
    </row>
    <row r="19" spans="1:5" s="51" customFormat="1" ht="12" customHeight="1">
      <c r="A19" s="149" t="s">
        <v>70</v>
      </c>
      <c r="B19" s="137" t="s">
        <v>270</v>
      </c>
      <c r="C19" s="124"/>
      <c r="D19" s="206"/>
      <c r="E19" s="89"/>
    </row>
    <row r="20" spans="1:5" s="51" customFormat="1" ht="12" customHeight="1">
      <c r="A20" s="149" t="s">
        <v>71</v>
      </c>
      <c r="B20" s="137" t="s">
        <v>134</v>
      </c>
      <c r="C20" s="124">
        <v>24000000</v>
      </c>
      <c r="D20" s="206">
        <v>24100030</v>
      </c>
      <c r="E20" s="89">
        <v>24379927</v>
      </c>
    </row>
    <row r="21" spans="1:5" s="52" customFormat="1" ht="12" customHeight="1" thickBot="1">
      <c r="A21" s="150" t="s">
        <v>78</v>
      </c>
      <c r="B21" s="138" t="s">
        <v>135</v>
      </c>
      <c r="C21" s="126"/>
      <c r="D21" s="207"/>
      <c r="E21" s="91">
        <v>2688745</v>
      </c>
    </row>
    <row r="22" spans="1:5" s="52" customFormat="1" ht="12" customHeight="1" thickBot="1">
      <c r="A22" s="25" t="s">
        <v>7</v>
      </c>
      <c r="B22" s="19" t="s">
        <v>136</v>
      </c>
      <c r="C22" s="123">
        <f>+C23+C24+C25+C26+C27</f>
        <v>148219000</v>
      </c>
      <c r="D22" s="204">
        <f>+D23+D24+D25+D26+D27</f>
        <v>147949885</v>
      </c>
      <c r="E22" s="88">
        <f>+E23+E24+E25+E26+E27</f>
        <v>194616085</v>
      </c>
    </row>
    <row r="23" spans="1:5" s="52" customFormat="1" ht="12" customHeight="1">
      <c r="A23" s="148" t="s">
        <v>50</v>
      </c>
      <c r="B23" s="136" t="s">
        <v>137</v>
      </c>
      <c r="C23" s="125">
        <v>141219000</v>
      </c>
      <c r="D23" s="205">
        <v>140949885</v>
      </c>
      <c r="E23" s="90">
        <v>140949885</v>
      </c>
    </row>
    <row r="24" spans="1:5" s="51" customFormat="1" ht="12" customHeight="1">
      <c r="A24" s="149" t="s">
        <v>51</v>
      </c>
      <c r="B24" s="137" t="s">
        <v>138</v>
      </c>
      <c r="C24" s="124"/>
      <c r="D24" s="206"/>
      <c r="E24" s="89"/>
    </row>
    <row r="25" spans="1:5" s="52" customFormat="1" ht="12" customHeight="1">
      <c r="A25" s="149" t="s">
        <v>52</v>
      </c>
      <c r="B25" s="137" t="s">
        <v>271</v>
      </c>
      <c r="C25" s="124"/>
      <c r="D25" s="206"/>
      <c r="E25" s="89"/>
    </row>
    <row r="26" spans="1:5" s="52" customFormat="1" ht="12" customHeight="1">
      <c r="A26" s="149" t="s">
        <v>53</v>
      </c>
      <c r="B26" s="137" t="s">
        <v>272</v>
      </c>
      <c r="C26" s="124"/>
      <c r="D26" s="206"/>
      <c r="E26" s="89"/>
    </row>
    <row r="27" spans="1:5" s="52" customFormat="1" ht="12" customHeight="1">
      <c r="A27" s="149" t="s">
        <v>100</v>
      </c>
      <c r="B27" s="137" t="s">
        <v>139</v>
      </c>
      <c r="C27" s="124">
        <v>7000000</v>
      </c>
      <c r="D27" s="206">
        <v>7000000</v>
      </c>
      <c r="E27" s="89">
        <v>53666200</v>
      </c>
    </row>
    <row r="28" spans="1:5" s="52" customFormat="1" ht="12" customHeight="1" thickBot="1">
      <c r="A28" s="150" t="s">
        <v>101</v>
      </c>
      <c r="B28" s="138" t="s">
        <v>140</v>
      </c>
      <c r="C28" s="126"/>
      <c r="D28" s="207"/>
      <c r="E28" s="91">
        <v>13655361</v>
      </c>
    </row>
    <row r="29" spans="1:5" s="52" customFormat="1" ht="12" customHeight="1" thickBot="1">
      <c r="A29" s="25" t="s">
        <v>102</v>
      </c>
      <c r="B29" s="19" t="s">
        <v>409</v>
      </c>
      <c r="C29" s="129">
        <f>SUM(C30:C34)</f>
        <v>75580000</v>
      </c>
      <c r="D29" s="129">
        <f>SUM(D30:D34)</f>
        <v>91118230</v>
      </c>
      <c r="E29" s="160">
        <f>SUM(E30:E34)</f>
        <v>94644027</v>
      </c>
    </row>
    <row r="30" spans="1:5" s="52" customFormat="1" ht="12" customHeight="1">
      <c r="A30" s="148" t="s">
        <v>141</v>
      </c>
      <c r="B30" s="136" t="s">
        <v>689</v>
      </c>
      <c r="C30" s="125">
        <v>8000000</v>
      </c>
      <c r="D30" s="125">
        <v>8538230</v>
      </c>
      <c r="E30" s="90">
        <v>8373299</v>
      </c>
    </row>
    <row r="31" spans="1:5" s="52" customFormat="1" ht="12" customHeight="1">
      <c r="A31" s="149" t="s">
        <v>142</v>
      </c>
      <c r="B31" s="136" t="s">
        <v>410</v>
      </c>
      <c r="C31" s="124">
        <v>60000000</v>
      </c>
      <c r="D31" s="124">
        <v>72000000</v>
      </c>
      <c r="E31" s="89">
        <v>74340462</v>
      </c>
    </row>
    <row r="32" spans="1:5" s="52" customFormat="1" ht="12" customHeight="1">
      <c r="A32" s="149" t="s">
        <v>143</v>
      </c>
      <c r="B32" s="136" t="s">
        <v>145</v>
      </c>
      <c r="C32" s="124">
        <v>6000000</v>
      </c>
      <c r="D32" s="124">
        <v>6000000</v>
      </c>
      <c r="E32" s="89">
        <v>7031379</v>
      </c>
    </row>
    <row r="33" spans="1:5" s="52" customFormat="1" ht="12" customHeight="1">
      <c r="A33" s="149" t="s">
        <v>144</v>
      </c>
      <c r="B33" s="136" t="s">
        <v>700</v>
      </c>
      <c r="C33" s="124">
        <v>400000</v>
      </c>
      <c r="D33" s="124">
        <v>400000</v>
      </c>
      <c r="E33" s="89">
        <v>659600</v>
      </c>
    </row>
    <row r="34" spans="1:5" s="52" customFormat="1" ht="12" customHeight="1">
      <c r="A34" s="149" t="s">
        <v>711</v>
      </c>
      <c r="B34" s="136" t="s">
        <v>715</v>
      </c>
      <c r="C34" s="124">
        <v>1180000</v>
      </c>
      <c r="D34" s="124">
        <v>4180000</v>
      </c>
      <c r="E34" s="89">
        <v>4239287</v>
      </c>
    </row>
    <row r="35" spans="1:5" s="52" customFormat="1" ht="12" customHeight="1">
      <c r="A35" s="149" t="s">
        <v>712</v>
      </c>
      <c r="B35" s="136" t="s">
        <v>717</v>
      </c>
      <c r="C35" s="124" t="s">
        <v>716</v>
      </c>
      <c r="D35" s="124"/>
      <c r="E35" s="89">
        <v>9400</v>
      </c>
    </row>
    <row r="36" spans="1:5" s="52" customFormat="1" ht="12" customHeight="1">
      <c r="A36" s="149" t="s">
        <v>713</v>
      </c>
      <c r="B36" s="136" t="s">
        <v>718</v>
      </c>
      <c r="C36" s="124"/>
      <c r="D36" s="124"/>
      <c r="E36" s="89">
        <v>1771091</v>
      </c>
    </row>
    <row r="37" spans="1:5" s="52" customFormat="1" ht="12" customHeight="1" thickBot="1">
      <c r="A37" s="150" t="s">
        <v>714</v>
      </c>
      <c r="B37" s="136" t="s">
        <v>719</v>
      </c>
      <c r="C37" s="126"/>
      <c r="D37" s="126"/>
      <c r="E37" s="91">
        <v>1981231</v>
      </c>
    </row>
    <row r="38" spans="1:5" s="52" customFormat="1" ht="12" customHeight="1" thickBot="1">
      <c r="A38" s="25" t="s">
        <v>9</v>
      </c>
      <c r="B38" s="19" t="s">
        <v>278</v>
      </c>
      <c r="C38" s="123">
        <f>SUM(C39:C49)</f>
        <v>7350000</v>
      </c>
      <c r="D38" s="204">
        <f>SUM(D39:D49)</f>
        <v>7350000</v>
      </c>
      <c r="E38" s="88">
        <f>SUM(E39:E49)</f>
        <v>10704905</v>
      </c>
    </row>
    <row r="39" spans="1:5" s="52" customFormat="1" ht="12" customHeight="1">
      <c r="A39" s="148" t="s">
        <v>54</v>
      </c>
      <c r="B39" s="136" t="s">
        <v>148</v>
      </c>
      <c r="C39" s="125"/>
      <c r="D39" s="205"/>
      <c r="E39" s="90"/>
    </row>
    <row r="40" spans="1:5" s="52" customFormat="1" ht="12" customHeight="1">
      <c r="A40" s="149" t="s">
        <v>55</v>
      </c>
      <c r="B40" s="137" t="s">
        <v>149</v>
      </c>
      <c r="C40" s="124"/>
      <c r="D40" s="206"/>
      <c r="E40" s="89"/>
    </row>
    <row r="41" spans="1:5" s="52" customFormat="1" ht="12" customHeight="1">
      <c r="A41" s="149" t="s">
        <v>56</v>
      </c>
      <c r="B41" s="137" t="s">
        <v>150</v>
      </c>
      <c r="C41" s="124"/>
      <c r="D41" s="206"/>
      <c r="E41" s="89"/>
    </row>
    <row r="42" spans="1:5" s="52" customFormat="1" ht="12" customHeight="1">
      <c r="A42" s="149" t="s">
        <v>104</v>
      </c>
      <c r="B42" s="137" t="s">
        <v>151</v>
      </c>
      <c r="C42" s="124">
        <v>4000000</v>
      </c>
      <c r="D42" s="206">
        <v>4000000</v>
      </c>
      <c r="E42" s="89">
        <v>3328209</v>
      </c>
    </row>
    <row r="43" spans="1:5" s="52" customFormat="1" ht="12" customHeight="1">
      <c r="A43" s="149" t="s">
        <v>105</v>
      </c>
      <c r="B43" s="137" t="s">
        <v>152</v>
      </c>
      <c r="C43" s="124"/>
      <c r="D43" s="206"/>
      <c r="E43" s="89"/>
    </row>
    <row r="44" spans="1:5" s="52" customFormat="1" ht="12" customHeight="1">
      <c r="A44" s="149" t="s">
        <v>106</v>
      </c>
      <c r="B44" s="137" t="s">
        <v>153</v>
      </c>
      <c r="C44" s="124">
        <v>150000</v>
      </c>
      <c r="D44" s="206">
        <v>150000</v>
      </c>
      <c r="E44" s="89"/>
    </row>
    <row r="45" spans="1:5" s="52" customFormat="1" ht="12" customHeight="1">
      <c r="A45" s="149" t="s">
        <v>107</v>
      </c>
      <c r="B45" s="137" t="s">
        <v>154</v>
      </c>
      <c r="C45" s="124"/>
      <c r="D45" s="206"/>
      <c r="E45" s="89"/>
    </row>
    <row r="46" spans="1:5" s="52" customFormat="1" ht="12" customHeight="1">
      <c r="A46" s="149" t="s">
        <v>108</v>
      </c>
      <c r="B46" s="137" t="s">
        <v>414</v>
      </c>
      <c r="C46" s="124"/>
      <c r="D46" s="206"/>
      <c r="E46" s="89"/>
    </row>
    <row r="47" spans="1:5" s="52" customFormat="1" ht="12" customHeight="1">
      <c r="A47" s="149" t="s">
        <v>146</v>
      </c>
      <c r="B47" s="137" t="s">
        <v>156</v>
      </c>
      <c r="C47" s="127"/>
      <c r="D47" s="232"/>
      <c r="E47" s="92"/>
    </row>
    <row r="48" spans="1:5" s="52" customFormat="1" ht="12" customHeight="1">
      <c r="A48" s="150" t="s">
        <v>147</v>
      </c>
      <c r="B48" s="138" t="s">
        <v>280</v>
      </c>
      <c r="C48" s="128"/>
      <c r="D48" s="233"/>
      <c r="E48" s="93"/>
    </row>
    <row r="49" spans="1:5" s="52" customFormat="1" ht="12" customHeight="1" thickBot="1">
      <c r="A49" s="150" t="s">
        <v>279</v>
      </c>
      <c r="B49" s="138" t="s">
        <v>157</v>
      </c>
      <c r="C49" s="128">
        <v>3200000</v>
      </c>
      <c r="D49" s="233">
        <v>3200000</v>
      </c>
      <c r="E49" s="93">
        <v>7376696</v>
      </c>
    </row>
    <row r="50" spans="1:5" s="52" customFormat="1" ht="12" customHeight="1" thickBot="1">
      <c r="A50" s="25" t="s">
        <v>10</v>
      </c>
      <c r="B50" s="19" t="s">
        <v>158</v>
      </c>
      <c r="C50" s="123">
        <f>SUM(C51:C55)</f>
        <v>0</v>
      </c>
      <c r="D50" s="204">
        <f>SUM(D51:D55)</f>
        <v>0</v>
      </c>
      <c r="E50" s="88">
        <f>SUM(E51:E55)</f>
        <v>0</v>
      </c>
    </row>
    <row r="51" spans="1:5" s="52" customFormat="1" ht="12" customHeight="1">
      <c r="A51" s="148" t="s">
        <v>57</v>
      </c>
      <c r="B51" s="136" t="s">
        <v>162</v>
      </c>
      <c r="C51" s="171"/>
      <c r="D51" s="234"/>
      <c r="E51" s="94"/>
    </row>
    <row r="52" spans="1:5" s="52" customFormat="1" ht="12" customHeight="1">
      <c r="A52" s="149" t="s">
        <v>58</v>
      </c>
      <c r="B52" s="137" t="s">
        <v>163</v>
      </c>
      <c r="C52" s="127"/>
      <c r="D52" s="232"/>
      <c r="E52" s="92"/>
    </row>
    <row r="53" spans="1:5" s="52" customFormat="1" ht="12" customHeight="1">
      <c r="A53" s="149" t="s">
        <v>159</v>
      </c>
      <c r="B53" s="137" t="s">
        <v>164</v>
      </c>
      <c r="C53" s="127"/>
      <c r="D53" s="232"/>
      <c r="E53" s="92"/>
    </row>
    <row r="54" spans="1:5" s="52" customFormat="1" ht="12" customHeight="1">
      <c r="A54" s="149" t="s">
        <v>160</v>
      </c>
      <c r="B54" s="137" t="s">
        <v>165</v>
      </c>
      <c r="C54" s="127"/>
      <c r="D54" s="232"/>
      <c r="E54" s="92"/>
    </row>
    <row r="55" spans="1:5" s="52" customFormat="1" ht="12" customHeight="1" thickBot="1">
      <c r="A55" s="150" t="s">
        <v>161</v>
      </c>
      <c r="B55" s="138" t="s">
        <v>166</v>
      </c>
      <c r="C55" s="128"/>
      <c r="D55" s="233"/>
      <c r="E55" s="93"/>
    </row>
    <row r="56" spans="1:5" s="52" customFormat="1" ht="12" customHeight="1" thickBot="1">
      <c r="A56" s="25" t="s">
        <v>109</v>
      </c>
      <c r="B56" s="19" t="s">
        <v>167</v>
      </c>
      <c r="C56" s="123">
        <f>SUM(C57:C59)</f>
        <v>0</v>
      </c>
      <c r="D56" s="204">
        <f>SUM(D57:D59)</f>
        <v>0</v>
      </c>
      <c r="E56" s="88">
        <f>SUM(E57:E59)</f>
        <v>500000</v>
      </c>
    </row>
    <row r="57" spans="1:9" s="52" customFormat="1" ht="12" customHeight="1">
      <c r="A57" s="148" t="s">
        <v>59</v>
      </c>
      <c r="B57" s="136" t="s">
        <v>168</v>
      </c>
      <c r="C57" s="125"/>
      <c r="D57" s="205"/>
      <c r="E57" s="90"/>
      <c r="I57" s="52">
        <v>6</v>
      </c>
    </row>
    <row r="58" spans="1:5" s="52" customFormat="1" ht="12" customHeight="1">
      <c r="A58" s="149" t="s">
        <v>60</v>
      </c>
      <c r="B58" s="137" t="s">
        <v>273</v>
      </c>
      <c r="C58" s="124"/>
      <c r="D58" s="206"/>
      <c r="E58" s="89"/>
    </row>
    <row r="59" spans="1:5" s="52" customFormat="1" ht="12" customHeight="1">
      <c r="A59" s="149" t="s">
        <v>171</v>
      </c>
      <c r="B59" s="137" t="s">
        <v>169</v>
      </c>
      <c r="C59" s="124"/>
      <c r="D59" s="206"/>
      <c r="E59" s="89">
        <v>500000</v>
      </c>
    </row>
    <row r="60" spans="1:5" s="52" customFormat="1" ht="12" customHeight="1" thickBot="1">
      <c r="A60" s="150" t="s">
        <v>172</v>
      </c>
      <c r="B60" s="138" t="s">
        <v>170</v>
      </c>
      <c r="C60" s="126"/>
      <c r="D60" s="207"/>
      <c r="E60" s="91"/>
    </row>
    <row r="61" spans="1:8" s="52" customFormat="1" ht="12" customHeight="1" thickBot="1">
      <c r="A61" s="25" t="s">
        <v>12</v>
      </c>
      <c r="B61" s="95" t="s">
        <v>173</v>
      </c>
      <c r="C61" s="123">
        <f>SUM(C62:C64)</f>
        <v>2358395</v>
      </c>
      <c r="D61" s="204">
        <f>SUM(D62:D64)</f>
        <v>2358395</v>
      </c>
      <c r="E61" s="88">
        <f>SUM(E62:E64)</f>
        <v>600000</v>
      </c>
      <c r="H61" s="52" t="s">
        <v>716</v>
      </c>
    </row>
    <row r="62" spans="1:5" s="52" customFormat="1" ht="12" customHeight="1">
      <c r="A62" s="148" t="s">
        <v>110</v>
      </c>
      <c r="B62" s="136" t="s">
        <v>175</v>
      </c>
      <c r="C62" s="127"/>
      <c r="D62" s="232"/>
      <c r="E62" s="92"/>
    </row>
    <row r="63" spans="1:5" s="52" customFormat="1" ht="12" customHeight="1">
      <c r="A63" s="149" t="s">
        <v>111</v>
      </c>
      <c r="B63" s="137" t="s">
        <v>274</v>
      </c>
      <c r="C63" s="127">
        <v>2358395</v>
      </c>
      <c r="D63" s="232">
        <v>2358395</v>
      </c>
      <c r="E63" s="92">
        <v>600000</v>
      </c>
    </row>
    <row r="64" spans="1:5" s="52" customFormat="1" ht="12" customHeight="1">
      <c r="A64" s="149" t="s">
        <v>123</v>
      </c>
      <c r="B64" s="137" t="s">
        <v>176</v>
      </c>
      <c r="C64" s="127"/>
      <c r="D64" s="232"/>
      <c r="E64" s="92"/>
    </row>
    <row r="65" spans="1:5" s="52" customFormat="1" ht="12" customHeight="1" thickBot="1">
      <c r="A65" s="150" t="s">
        <v>174</v>
      </c>
      <c r="B65" s="138" t="s">
        <v>177</v>
      </c>
      <c r="C65" s="127"/>
      <c r="D65" s="232"/>
      <c r="E65" s="92"/>
    </row>
    <row r="66" spans="1:5" s="52" customFormat="1" ht="12" customHeight="1" thickBot="1">
      <c r="A66" s="25" t="s">
        <v>13</v>
      </c>
      <c r="B66" s="19" t="s">
        <v>178</v>
      </c>
      <c r="C66" s="129">
        <f>+C8+C15+C22+C29+C38+C50+C56+C61</f>
        <v>401557060</v>
      </c>
      <c r="D66" s="208">
        <f>+D8+D15+D22+D29+D38+D50+D56+D61</f>
        <v>433278336</v>
      </c>
      <c r="E66" s="160">
        <f>+E8+E15+E22+E29+E38+E50+E56+E61</f>
        <v>485846740</v>
      </c>
    </row>
    <row r="67" spans="1:5" s="52" customFormat="1" ht="12" customHeight="1" thickBot="1">
      <c r="A67" s="151" t="s">
        <v>247</v>
      </c>
      <c r="B67" s="95" t="s">
        <v>180</v>
      </c>
      <c r="C67" s="123">
        <f>SUM(C68:C70)</f>
        <v>0</v>
      </c>
      <c r="D67" s="204">
        <f>SUM(D68:D70)</f>
        <v>0</v>
      </c>
      <c r="E67" s="88">
        <f>SUM(E68:E70)</f>
        <v>0</v>
      </c>
    </row>
    <row r="68" spans="1:5" s="52" customFormat="1" ht="12" customHeight="1">
      <c r="A68" s="148" t="s">
        <v>208</v>
      </c>
      <c r="B68" s="136" t="s">
        <v>181</v>
      </c>
      <c r="C68" s="127"/>
      <c r="D68" s="232"/>
      <c r="E68" s="92"/>
    </row>
    <row r="69" spans="1:5" s="52" customFormat="1" ht="12" customHeight="1">
      <c r="A69" s="149" t="s">
        <v>217</v>
      </c>
      <c r="B69" s="137" t="s">
        <v>182</v>
      </c>
      <c r="C69" s="127"/>
      <c r="D69" s="232"/>
      <c r="E69" s="92"/>
    </row>
    <row r="70" spans="1:5" s="52" customFormat="1" ht="12" customHeight="1" thickBot="1">
      <c r="A70" s="158" t="s">
        <v>218</v>
      </c>
      <c r="B70" s="262" t="s">
        <v>305</v>
      </c>
      <c r="C70" s="263"/>
      <c r="D70" s="235"/>
      <c r="E70" s="264"/>
    </row>
    <row r="71" spans="1:5" s="52" customFormat="1" ht="12" customHeight="1" thickBot="1">
      <c r="A71" s="151" t="s">
        <v>184</v>
      </c>
      <c r="B71" s="95" t="s">
        <v>185</v>
      </c>
      <c r="C71" s="123">
        <f>SUM(C72:C75)</f>
        <v>0</v>
      </c>
      <c r="D71" s="123">
        <f>SUM(D72:D75)</f>
        <v>0</v>
      </c>
      <c r="E71" s="88">
        <f>SUM(E72:E75)</f>
        <v>0</v>
      </c>
    </row>
    <row r="72" spans="1:5" s="52" customFormat="1" ht="12" customHeight="1">
      <c r="A72" s="148" t="s">
        <v>95</v>
      </c>
      <c r="B72" s="251" t="s">
        <v>186</v>
      </c>
      <c r="C72" s="127"/>
      <c r="D72" s="127"/>
      <c r="E72" s="92"/>
    </row>
    <row r="73" spans="1:5" s="52" customFormat="1" ht="12" customHeight="1">
      <c r="A73" s="149" t="s">
        <v>96</v>
      </c>
      <c r="B73" s="251" t="s">
        <v>419</v>
      </c>
      <c r="C73" s="127"/>
      <c r="D73" s="127"/>
      <c r="E73" s="92"/>
    </row>
    <row r="74" spans="1:5" s="52" customFormat="1" ht="12" customHeight="1">
      <c r="A74" s="149" t="s">
        <v>209</v>
      </c>
      <c r="B74" s="251" t="s">
        <v>187</v>
      </c>
      <c r="C74" s="127"/>
      <c r="D74" s="127"/>
      <c r="E74" s="92"/>
    </row>
    <row r="75" spans="1:5" s="52" customFormat="1" ht="12" customHeight="1" thickBot="1">
      <c r="A75" s="150" t="s">
        <v>210</v>
      </c>
      <c r="B75" s="252" t="s">
        <v>420</v>
      </c>
      <c r="C75" s="127"/>
      <c r="D75" s="127"/>
      <c r="E75" s="92"/>
    </row>
    <row r="76" spans="1:5" s="52" customFormat="1" ht="12" customHeight="1" thickBot="1">
      <c r="A76" s="151" t="s">
        <v>188</v>
      </c>
      <c r="B76" s="95" t="s">
        <v>189</v>
      </c>
      <c r="C76" s="123">
        <f>SUM(C77:C78)</f>
        <v>455644622</v>
      </c>
      <c r="D76" s="123">
        <f>SUM(D77:D78)</f>
        <v>455644622</v>
      </c>
      <c r="E76" s="88">
        <f>SUM(E77:E78)</f>
        <v>396182836</v>
      </c>
    </row>
    <row r="77" spans="1:5" s="52" customFormat="1" ht="12" customHeight="1">
      <c r="A77" s="148" t="s">
        <v>211</v>
      </c>
      <c r="B77" s="136" t="s">
        <v>190</v>
      </c>
      <c r="C77" s="127">
        <v>455644622</v>
      </c>
      <c r="D77" s="127">
        <v>455644622</v>
      </c>
      <c r="E77" s="92">
        <v>396182836</v>
      </c>
    </row>
    <row r="78" spans="1:5" s="52" customFormat="1" ht="12" customHeight="1" thickBot="1">
      <c r="A78" s="150" t="s">
        <v>212</v>
      </c>
      <c r="B78" s="138" t="s">
        <v>191</v>
      </c>
      <c r="C78" s="127"/>
      <c r="D78" s="127"/>
      <c r="E78" s="92"/>
    </row>
    <row r="79" spans="1:5" s="51" customFormat="1" ht="12" customHeight="1" thickBot="1">
      <c r="A79" s="151" t="s">
        <v>192</v>
      </c>
      <c r="B79" s="95" t="s">
        <v>193</v>
      </c>
      <c r="C79" s="123">
        <f>SUM(C80:C82)</f>
        <v>5034671</v>
      </c>
      <c r="D79" s="123">
        <f>SUM(D80:D82)</f>
        <v>5034671</v>
      </c>
      <c r="E79" s="88">
        <f>SUM(E80:E82)</f>
        <v>6385218</v>
      </c>
    </row>
    <row r="80" spans="1:5" s="52" customFormat="1" ht="12" customHeight="1">
      <c r="A80" s="148" t="s">
        <v>213</v>
      </c>
      <c r="B80" s="136" t="s">
        <v>194</v>
      </c>
      <c r="C80" s="127">
        <v>5034671</v>
      </c>
      <c r="D80" s="127">
        <v>5034671</v>
      </c>
      <c r="E80" s="92">
        <v>6385218</v>
      </c>
    </row>
    <row r="81" spans="1:5" s="52" customFormat="1" ht="12" customHeight="1">
      <c r="A81" s="149" t="s">
        <v>214</v>
      </c>
      <c r="B81" s="137" t="s">
        <v>195</v>
      </c>
      <c r="C81" s="127"/>
      <c r="D81" s="127"/>
      <c r="E81" s="92"/>
    </row>
    <row r="82" spans="1:5" s="52" customFormat="1" ht="12" customHeight="1" thickBot="1">
      <c r="A82" s="150" t="s">
        <v>215</v>
      </c>
      <c r="B82" s="138" t="s">
        <v>421</v>
      </c>
      <c r="C82" s="127"/>
      <c r="D82" s="127"/>
      <c r="E82" s="92"/>
    </row>
    <row r="83" spans="1:5" s="52" customFormat="1" ht="12" customHeight="1" thickBot="1">
      <c r="A83" s="151" t="s">
        <v>196</v>
      </c>
      <c r="B83" s="95" t="s">
        <v>216</v>
      </c>
      <c r="C83" s="123">
        <f>SUM(C84:C87)</f>
        <v>0</v>
      </c>
      <c r="D83" s="123">
        <f>SUM(D84:D87)</f>
        <v>0</v>
      </c>
      <c r="E83" s="88">
        <f>SUM(E84:E87)</f>
        <v>0</v>
      </c>
    </row>
    <row r="84" spans="1:5" s="52" customFormat="1" ht="12" customHeight="1">
      <c r="A84" s="152" t="s">
        <v>197</v>
      </c>
      <c r="B84" s="136" t="s">
        <v>198</v>
      </c>
      <c r="C84" s="127"/>
      <c r="D84" s="127"/>
      <c r="E84" s="92"/>
    </row>
    <row r="85" spans="1:5" s="52" customFormat="1" ht="12" customHeight="1">
      <c r="A85" s="153" t="s">
        <v>199</v>
      </c>
      <c r="B85" s="137" t="s">
        <v>200</v>
      </c>
      <c r="C85" s="127"/>
      <c r="D85" s="127"/>
      <c r="E85" s="92"/>
    </row>
    <row r="86" spans="1:5" s="52" customFormat="1" ht="12" customHeight="1">
      <c r="A86" s="153" t="s">
        <v>201</v>
      </c>
      <c r="B86" s="137" t="s">
        <v>202</v>
      </c>
      <c r="C86" s="127"/>
      <c r="D86" s="127"/>
      <c r="E86" s="92"/>
    </row>
    <row r="87" spans="1:5" s="51" customFormat="1" ht="12" customHeight="1" thickBot="1">
      <c r="A87" s="154" t="s">
        <v>203</v>
      </c>
      <c r="B87" s="138" t="s">
        <v>204</v>
      </c>
      <c r="C87" s="127"/>
      <c r="D87" s="127"/>
      <c r="E87" s="92"/>
    </row>
    <row r="88" spans="1:5" s="51" customFormat="1" ht="12" customHeight="1" thickBot="1">
      <c r="A88" s="151" t="s">
        <v>205</v>
      </c>
      <c r="B88" s="95" t="s">
        <v>319</v>
      </c>
      <c r="C88" s="174"/>
      <c r="D88" s="174"/>
      <c r="E88" s="175"/>
    </row>
    <row r="89" spans="1:5" s="51" customFormat="1" ht="12" customHeight="1" thickBot="1">
      <c r="A89" s="151" t="s">
        <v>334</v>
      </c>
      <c r="B89" s="95" t="s">
        <v>206</v>
      </c>
      <c r="C89" s="174"/>
      <c r="D89" s="174"/>
      <c r="E89" s="175"/>
    </row>
    <row r="90" spans="1:5" s="51" customFormat="1" ht="12" customHeight="1" thickBot="1">
      <c r="A90" s="151" t="s">
        <v>335</v>
      </c>
      <c r="B90" s="143" t="s">
        <v>322</v>
      </c>
      <c r="C90" s="129">
        <f>+C67+C71+C76+C79+C83+C89+C88</f>
        <v>460679293</v>
      </c>
      <c r="D90" s="129">
        <f>+D67+D71+D76+D79+D83+D89+D88</f>
        <v>460679293</v>
      </c>
      <c r="E90" s="160">
        <f>+E67+E71+E76+E79+E83+E89+E88</f>
        <v>402568054</v>
      </c>
    </row>
    <row r="91" spans="1:5" s="51" customFormat="1" ht="12" customHeight="1" thickBot="1">
      <c r="A91" s="155" t="s">
        <v>336</v>
      </c>
      <c r="B91" s="144" t="s">
        <v>337</v>
      </c>
      <c r="C91" s="129">
        <f>+C66+C90</f>
        <v>862236353</v>
      </c>
      <c r="D91" s="129">
        <f>+D66+D90</f>
        <v>893957629</v>
      </c>
      <c r="E91" s="160">
        <f>+E66+E90</f>
        <v>888414794</v>
      </c>
    </row>
    <row r="92" spans="1:3" s="52" customFormat="1" ht="15" customHeight="1" thickBot="1">
      <c r="A92" s="78"/>
      <c r="B92" s="79"/>
      <c r="C92" s="108"/>
    </row>
    <row r="93" spans="1:5" s="46" customFormat="1" ht="16.5" customHeight="1" thickBot="1">
      <c r="A93" s="625" t="s">
        <v>39</v>
      </c>
      <c r="B93" s="626"/>
      <c r="C93" s="626"/>
      <c r="D93" s="626"/>
      <c r="E93" s="627"/>
    </row>
    <row r="94" spans="1:5" s="53" customFormat="1" ht="12" customHeight="1" thickBot="1">
      <c r="A94" s="130" t="s">
        <v>5</v>
      </c>
      <c r="B94" s="24" t="s">
        <v>341</v>
      </c>
      <c r="C94" s="122">
        <f>+C95+C96+C97+C98+C99+I109</f>
        <v>160014289</v>
      </c>
      <c r="D94" s="122">
        <f>+D95+D96+D97+D98+D99</f>
        <v>178951239</v>
      </c>
      <c r="E94" s="187">
        <f>+E95+E96+E97+E98+E99+E112</f>
        <v>136101193</v>
      </c>
    </row>
    <row r="95" spans="1:5" ht="12" customHeight="1">
      <c r="A95" s="156" t="s">
        <v>61</v>
      </c>
      <c r="B95" s="8" t="s">
        <v>34</v>
      </c>
      <c r="C95" s="194">
        <v>45982576</v>
      </c>
      <c r="D95" s="194">
        <v>47253691</v>
      </c>
      <c r="E95" s="188">
        <v>45352752</v>
      </c>
    </row>
    <row r="96" spans="1:5" ht="12" customHeight="1">
      <c r="A96" s="149" t="s">
        <v>62</v>
      </c>
      <c r="B96" s="6" t="s">
        <v>112</v>
      </c>
      <c r="C96" s="124">
        <v>8842956</v>
      </c>
      <c r="D96" s="124">
        <v>7671871</v>
      </c>
      <c r="E96" s="89">
        <v>7021041</v>
      </c>
    </row>
    <row r="97" spans="1:5" ht="12" customHeight="1">
      <c r="A97" s="149" t="s">
        <v>63</v>
      </c>
      <c r="B97" s="6" t="s">
        <v>87</v>
      </c>
      <c r="C97" s="126">
        <v>47286378</v>
      </c>
      <c r="D97" s="124">
        <v>70110137</v>
      </c>
      <c r="E97" s="91">
        <v>59193681</v>
      </c>
    </row>
    <row r="98" spans="1:5" ht="12" customHeight="1">
      <c r="A98" s="149" t="s">
        <v>64</v>
      </c>
      <c r="B98" s="9" t="s">
        <v>113</v>
      </c>
      <c r="C98" s="126">
        <v>3900000</v>
      </c>
      <c r="D98" s="207">
        <v>2951000</v>
      </c>
      <c r="E98" s="91">
        <v>1667282</v>
      </c>
    </row>
    <row r="99" spans="1:5" ht="12" customHeight="1">
      <c r="A99" s="149" t="s">
        <v>73</v>
      </c>
      <c r="B99" s="17" t="s">
        <v>114</v>
      </c>
      <c r="C99" s="126">
        <v>54002379</v>
      </c>
      <c r="D99" s="207">
        <v>50964540</v>
      </c>
      <c r="E99" s="91">
        <v>22866437</v>
      </c>
    </row>
    <row r="100" spans="1:5" ht="12" customHeight="1">
      <c r="A100" s="149" t="s">
        <v>65</v>
      </c>
      <c r="B100" s="6" t="s">
        <v>338</v>
      </c>
      <c r="C100" s="126">
        <v>3500000</v>
      </c>
      <c r="D100" s="207">
        <v>232000</v>
      </c>
      <c r="E100" s="91">
        <v>231312</v>
      </c>
    </row>
    <row r="101" spans="1:5" ht="12" customHeight="1">
      <c r="A101" s="149" t="s">
        <v>66</v>
      </c>
      <c r="B101" s="61" t="s">
        <v>285</v>
      </c>
      <c r="C101" s="126"/>
      <c r="D101" s="207"/>
      <c r="E101" s="91"/>
    </row>
    <row r="102" spans="1:5" ht="12" customHeight="1">
      <c r="A102" s="149" t="s">
        <v>74</v>
      </c>
      <c r="B102" s="61" t="s">
        <v>284</v>
      </c>
      <c r="C102" s="126"/>
      <c r="D102" s="207"/>
      <c r="E102" s="91"/>
    </row>
    <row r="103" spans="1:5" ht="12" customHeight="1">
      <c r="A103" s="149" t="s">
        <v>75</v>
      </c>
      <c r="B103" s="61" t="s">
        <v>222</v>
      </c>
      <c r="C103" s="126"/>
      <c r="D103" s="207"/>
      <c r="E103" s="91"/>
    </row>
    <row r="104" spans="1:5" ht="12" customHeight="1">
      <c r="A104" s="149" t="s">
        <v>76</v>
      </c>
      <c r="B104" s="62" t="s">
        <v>223</v>
      </c>
      <c r="C104" s="126"/>
      <c r="D104" s="207"/>
      <c r="E104" s="91"/>
    </row>
    <row r="105" spans="1:5" ht="12" customHeight="1">
      <c r="A105" s="149" t="s">
        <v>77</v>
      </c>
      <c r="B105" s="62" t="s">
        <v>224</v>
      </c>
      <c r="C105" s="126"/>
      <c r="D105" s="207"/>
      <c r="E105" s="91"/>
    </row>
    <row r="106" spans="1:5" ht="12" customHeight="1">
      <c r="A106" s="149" t="s">
        <v>79</v>
      </c>
      <c r="B106" s="61" t="s">
        <v>225</v>
      </c>
      <c r="C106" s="126">
        <v>14000000</v>
      </c>
      <c r="D106" s="207">
        <v>14880000</v>
      </c>
      <c r="E106" s="91">
        <v>13988795</v>
      </c>
    </row>
    <row r="107" spans="1:5" ht="12" customHeight="1">
      <c r="A107" s="149" t="s">
        <v>115</v>
      </c>
      <c r="B107" s="61" t="s">
        <v>226</v>
      </c>
      <c r="C107" s="126"/>
      <c r="D107" s="207"/>
      <c r="E107" s="91"/>
    </row>
    <row r="108" spans="1:5" ht="12" customHeight="1">
      <c r="A108" s="149" t="s">
        <v>220</v>
      </c>
      <c r="B108" s="62" t="s">
        <v>227</v>
      </c>
      <c r="C108" s="124"/>
      <c r="D108" s="207"/>
      <c r="E108" s="91"/>
    </row>
    <row r="109" spans="1:5" ht="12" customHeight="1">
      <c r="A109" s="157" t="s">
        <v>221</v>
      </c>
      <c r="B109" s="63" t="s">
        <v>228</v>
      </c>
      <c r="C109" s="126"/>
      <c r="D109" s="207"/>
      <c r="E109" s="91"/>
    </row>
    <row r="110" spans="1:5" ht="12" customHeight="1">
      <c r="A110" s="149" t="s">
        <v>282</v>
      </c>
      <c r="B110" s="63" t="s">
        <v>229</v>
      </c>
      <c r="C110" s="126"/>
      <c r="D110" s="207"/>
      <c r="E110" s="91"/>
    </row>
    <row r="111" spans="1:5" ht="12" customHeight="1">
      <c r="A111" s="149" t="s">
        <v>283</v>
      </c>
      <c r="B111" s="62" t="s">
        <v>230</v>
      </c>
      <c r="C111" s="124">
        <v>9296492</v>
      </c>
      <c r="D111" s="206">
        <v>8646653</v>
      </c>
      <c r="E111" s="89">
        <v>8646330</v>
      </c>
    </row>
    <row r="112" spans="1:5" ht="12" customHeight="1">
      <c r="A112" s="149" t="s">
        <v>287</v>
      </c>
      <c r="B112" s="9" t="s">
        <v>710</v>
      </c>
      <c r="C112" s="124">
        <v>27205887</v>
      </c>
      <c r="D112" s="206">
        <v>27205887</v>
      </c>
      <c r="E112" s="89"/>
    </row>
    <row r="113" spans="1:5" ht="12" customHeight="1">
      <c r="A113" s="150" t="s">
        <v>288</v>
      </c>
      <c r="B113" s="6" t="s">
        <v>339</v>
      </c>
      <c r="C113" s="126">
        <v>27205887</v>
      </c>
      <c r="D113" s="207">
        <v>27205887</v>
      </c>
      <c r="E113" s="91"/>
    </row>
    <row r="114" spans="1:5" ht="12" customHeight="1" thickBot="1">
      <c r="A114" s="158" t="s">
        <v>289</v>
      </c>
      <c r="B114" s="64" t="s">
        <v>340</v>
      </c>
      <c r="C114" s="195"/>
      <c r="D114" s="238"/>
      <c r="E114" s="189"/>
    </row>
    <row r="115" spans="1:5" ht="12" customHeight="1" thickBot="1">
      <c r="A115" s="25" t="s">
        <v>6</v>
      </c>
      <c r="B115" s="23" t="s">
        <v>231</v>
      </c>
      <c r="C115" s="123">
        <f>+C116+C118+C120</f>
        <v>548312855</v>
      </c>
      <c r="D115" s="204">
        <f>+D116+D118+D120</f>
        <v>545799915</v>
      </c>
      <c r="E115" s="88">
        <f>+E116+E118+E120</f>
        <v>382611347</v>
      </c>
    </row>
    <row r="116" spans="1:5" ht="12" customHeight="1">
      <c r="A116" s="148" t="s">
        <v>67</v>
      </c>
      <c r="B116" s="6" t="s">
        <v>122</v>
      </c>
      <c r="C116" s="125">
        <v>27790890</v>
      </c>
      <c r="D116" s="205">
        <v>30948729</v>
      </c>
      <c r="E116" s="90">
        <v>30948255</v>
      </c>
    </row>
    <row r="117" spans="1:5" ht="12" customHeight="1">
      <c r="A117" s="148" t="s">
        <v>68</v>
      </c>
      <c r="B117" s="10" t="s">
        <v>235</v>
      </c>
      <c r="C117" s="125"/>
      <c r="D117" s="205"/>
      <c r="E117" s="90"/>
    </row>
    <row r="118" spans="1:5" ht="12" customHeight="1">
      <c r="A118" s="148" t="s">
        <v>69</v>
      </c>
      <c r="B118" s="10" t="s">
        <v>116</v>
      </c>
      <c r="C118" s="124">
        <v>516921965</v>
      </c>
      <c r="D118" s="206">
        <v>511251186</v>
      </c>
      <c r="E118" s="89">
        <v>351663092</v>
      </c>
    </row>
    <row r="119" spans="1:5" ht="12" customHeight="1">
      <c r="A119" s="148" t="s">
        <v>70</v>
      </c>
      <c r="B119" s="10" t="s">
        <v>236</v>
      </c>
      <c r="C119" s="124"/>
      <c r="D119" s="206"/>
      <c r="E119" s="89"/>
    </row>
    <row r="120" spans="1:5" ht="12" customHeight="1">
      <c r="A120" s="148" t="s">
        <v>71</v>
      </c>
      <c r="B120" s="97" t="s">
        <v>124</v>
      </c>
      <c r="C120" s="124">
        <v>3600000</v>
      </c>
      <c r="D120" s="206">
        <v>3600000</v>
      </c>
      <c r="E120" s="89"/>
    </row>
    <row r="121" spans="1:5" ht="12" customHeight="1">
      <c r="A121" s="148" t="s">
        <v>78</v>
      </c>
      <c r="B121" s="96" t="s">
        <v>275</v>
      </c>
      <c r="C121" s="124"/>
      <c r="D121" s="206"/>
      <c r="E121" s="89"/>
    </row>
    <row r="122" spans="1:5" ht="12" customHeight="1">
      <c r="A122" s="148" t="s">
        <v>80</v>
      </c>
      <c r="B122" s="132" t="s">
        <v>241</v>
      </c>
      <c r="C122" s="124"/>
      <c r="D122" s="206"/>
      <c r="E122" s="89"/>
    </row>
    <row r="123" spans="1:5" ht="12" customHeight="1">
      <c r="A123" s="148" t="s">
        <v>117</v>
      </c>
      <c r="B123" s="62" t="s">
        <v>224</v>
      </c>
      <c r="C123" s="124"/>
      <c r="D123" s="206"/>
      <c r="E123" s="89"/>
    </row>
    <row r="124" spans="1:5" ht="12" customHeight="1">
      <c r="A124" s="148" t="s">
        <v>118</v>
      </c>
      <c r="B124" s="62" t="s">
        <v>240</v>
      </c>
      <c r="C124" s="124"/>
      <c r="D124" s="206"/>
      <c r="E124" s="89"/>
    </row>
    <row r="125" spans="1:5" ht="12" customHeight="1">
      <c r="A125" s="148" t="s">
        <v>119</v>
      </c>
      <c r="B125" s="62" t="s">
        <v>239</v>
      </c>
      <c r="C125" s="124"/>
      <c r="D125" s="206"/>
      <c r="E125" s="89"/>
    </row>
    <row r="126" spans="1:5" ht="12" customHeight="1">
      <c r="A126" s="148" t="s">
        <v>232</v>
      </c>
      <c r="B126" s="62" t="s">
        <v>227</v>
      </c>
      <c r="C126" s="124"/>
      <c r="D126" s="206"/>
      <c r="E126" s="89"/>
    </row>
    <row r="127" spans="1:5" ht="12" customHeight="1">
      <c r="A127" s="148" t="s">
        <v>233</v>
      </c>
      <c r="B127" s="62" t="s">
        <v>238</v>
      </c>
      <c r="C127" s="124"/>
      <c r="D127" s="206"/>
      <c r="E127" s="89"/>
    </row>
    <row r="128" spans="1:5" ht="12" customHeight="1" thickBot="1">
      <c r="A128" s="157" t="s">
        <v>234</v>
      </c>
      <c r="B128" s="62" t="s">
        <v>237</v>
      </c>
      <c r="C128" s="126">
        <v>3600000</v>
      </c>
      <c r="D128" s="207">
        <v>3600000</v>
      </c>
      <c r="E128" s="91"/>
    </row>
    <row r="129" spans="1:5" ht="12" customHeight="1" thickBot="1">
      <c r="A129" s="25" t="s">
        <v>7</v>
      </c>
      <c r="B129" s="56" t="s">
        <v>292</v>
      </c>
      <c r="C129" s="123">
        <f>+C94+C115</f>
        <v>708327144</v>
      </c>
      <c r="D129" s="204">
        <f>+D94+D115</f>
        <v>724751154</v>
      </c>
      <c r="E129" s="88">
        <f>+E94+E115</f>
        <v>518712540</v>
      </c>
    </row>
    <row r="130" spans="1:5" ht="12" customHeight="1" thickBot="1">
      <c r="A130" s="25" t="s">
        <v>8</v>
      </c>
      <c r="B130" s="56" t="s">
        <v>293</v>
      </c>
      <c r="C130" s="123">
        <f>+C131+C132+C133</f>
        <v>0</v>
      </c>
      <c r="D130" s="204">
        <f>+D131+D132+D133</f>
        <v>0</v>
      </c>
      <c r="E130" s="88">
        <f>+E131+E132+E133</f>
        <v>0</v>
      </c>
    </row>
    <row r="131" spans="1:5" s="53" customFormat="1" ht="12" customHeight="1">
      <c r="A131" s="148" t="s">
        <v>141</v>
      </c>
      <c r="B131" s="7" t="s">
        <v>344</v>
      </c>
      <c r="C131" s="124"/>
      <c r="D131" s="206"/>
      <c r="E131" s="89"/>
    </row>
    <row r="132" spans="1:5" ht="12" customHeight="1">
      <c r="A132" s="148" t="s">
        <v>142</v>
      </c>
      <c r="B132" s="7" t="s">
        <v>301</v>
      </c>
      <c r="C132" s="124"/>
      <c r="D132" s="206"/>
      <c r="E132" s="89"/>
    </row>
    <row r="133" spans="1:5" ht="12" customHeight="1" thickBot="1">
      <c r="A133" s="157" t="s">
        <v>143</v>
      </c>
      <c r="B133" s="5" t="s">
        <v>343</v>
      </c>
      <c r="C133" s="124"/>
      <c r="D133" s="206"/>
      <c r="E133" s="89"/>
    </row>
    <row r="134" spans="1:5" ht="12" customHeight="1" thickBot="1">
      <c r="A134" s="25" t="s">
        <v>9</v>
      </c>
      <c r="B134" s="56" t="s">
        <v>294</v>
      </c>
      <c r="C134" s="123">
        <f>+C135+C136+C137+C138+C139+C140</f>
        <v>0</v>
      </c>
      <c r="D134" s="204">
        <f>+D135+D136+D137+D138+D139+D140</f>
        <v>0</v>
      </c>
      <c r="E134" s="88">
        <f>+E135+E136+E137+E138+E139+E140</f>
        <v>0</v>
      </c>
    </row>
    <row r="135" spans="1:5" ht="12" customHeight="1">
      <c r="A135" s="148" t="s">
        <v>54</v>
      </c>
      <c r="B135" s="7" t="s">
        <v>303</v>
      </c>
      <c r="C135" s="124"/>
      <c r="D135" s="206"/>
      <c r="E135" s="89"/>
    </row>
    <row r="136" spans="1:5" ht="12" customHeight="1">
      <c r="A136" s="148" t="s">
        <v>55</v>
      </c>
      <c r="B136" s="7" t="s">
        <v>295</v>
      </c>
      <c r="C136" s="124"/>
      <c r="D136" s="206"/>
      <c r="E136" s="89"/>
    </row>
    <row r="137" spans="1:5" ht="12" customHeight="1">
      <c r="A137" s="148" t="s">
        <v>56</v>
      </c>
      <c r="B137" s="7" t="s">
        <v>296</v>
      </c>
      <c r="C137" s="124"/>
      <c r="D137" s="206"/>
      <c r="E137" s="89"/>
    </row>
    <row r="138" spans="1:5" ht="12" customHeight="1">
      <c r="A138" s="148" t="s">
        <v>104</v>
      </c>
      <c r="B138" s="7" t="s">
        <v>342</v>
      </c>
      <c r="C138" s="124"/>
      <c r="D138" s="206"/>
      <c r="E138" s="89"/>
    </row>
    <row r="139" spans="1:5" ht="12" customHeight="1">
      <c r="A139" s="148" t="s">
        <v>105</v>
      </c>
      <c r="B139" s="7" t="s">
        <v>298</v>
      </c>
      <c r="C139" s="124"/>
      <c r="D139" s="206"/>
      <c r="E139" s="89"/>
    </row>
    <row r="140" spans="1:5" s="53" customFormat="1" ht="12" customHeight="1" thickBot="1">
      <c r="A140" s="157" t="s">
        <v>106</v>
      </c>
      <c r="B140" s="5" t="s">
        <v>299</v>
      </c>
      <c r="C140" s="124"/>
      <c r="D140" s="206"/>
      <c r="E140" s="89"/>
    </row>
    <row r="141" spans="1:11" ht="12" customHeight="1" thickBot="1">
      <c r="A141" s="25" t="s">
        <v>10</v>
      </c>
      <c r="B141" s="56" t="s">
        <v>357</v>
      </c>
      <c r="C141" s="129">
        <f>+C142+C143+C145+C146+C144</f>
        <v>153909209</v>
      </c>
      <c r="D141" s="208">
        <f>+D142+D143+D145+D146+D144</f>
        <v>169206475</v>
      </c>
      <c r="E141" s="160">
        <f>+E142+E143+E145+E146+E144</f>
        <v>136896170</v>
      </c>
      <c r="K141" s="87"/>
    </row>
    <row r="142" spans="1:5" ht="12.75">
      <c r="A142" s="148" t="s">
        <v>57</v>
      </c>
      <c r="B142" s="7" t="s">
        <v>242</v>
      </c>
      <c r="C142" s="124"/>
      <c r="D142" s="206"/>
      <c r="E142" s="89"/>
    </row>
    <row r="143" spans="1:5" ht="12" customHeight="1">
      <c r="A143" s="148" t="s">
        <v>58</v>
      </c>
      <c r="B143" s="7" t="s">
        <v>243</v>
      </c>
      <c r="C143" s="124">
        <v>5034671</v>
      </c>
      <c r="D143" s="206">
        <v>5034671</v>
      </c>
      <c r="E143" s="89">
        <v>5034671</v>
      </c>
    </row>
    <row r="144" spans="1:5" ht="12" customHeight="1">
      <c r="A144" s="148" t="s">
        <v>159</v>
      </c>
      <c r="B144" s="7" t="s">
        <v>356</v>
      </c>
      <c r="C144" s="124">
        <v>148874538</v>
      </c>
      <c r="D144" s="206">
        <v>164171804</v>
      </c>
      <c r="E144" s="89">
        <v>131861499</v>
      </c>
    </row>
    <row r="145" spans="1:5" s="53" customFormat="1" ht="12" customHeight="1">
      <c r="A145" s="148" t="s">
        <v>160</v>
      </c>
      <c r="B145" s="7" t="s">
        <v>308</v>
      </c>
      <c r="C145" s="124"/>
      <c r="D145" s="206"/>
      <c r="E145" s="89"/>
    </row>
    <row r="146" spans="1:5" s="53" customFormat="1" ht="12" customHeight="1" thickBot="1">
      <c r="A146" s="157" t="s">
        <v>161</v>
      </c>
      <c r="B146" s="5" t="s">
        <v>246</v>
      </c>
      <c r="C146" s="124"/>
      <c r="D146" s="206"/>
      <c r="E146" s="89"/>
    </row>
    <row r="147" spans="1:5" s="53" customFormat="1" ht="12" customHeight="1" thickBot="1">
      <c r="A147" s="25" t="s">
        <v>11</v>
      </c>
      <c r="B147" s="56" t="s">
        <v>309</v>
      </c>
      <c r="C147" s="197">
        <f>+C148+C149+C150+C151+C152</f>
        <v>0</v>
      </c>
      <c r="D147" s="209">
        <f>+D148+D149+D150+D151+D152</f>
        <v>0</v>
      </c>
      <c r="E147" s="191">
        <f>+E148+E149+E150+E151+E152</f>
        <v>0</v>
      </c>
    </row>
    <row r="148" spans="1:5" s="53" customFormat="1" ht="12" customHeight="1">
      <c r="A148" s="148" t="s">
        <v>59</v>
      </c>
      <c r="B148" s="7" t="s">
        <v>304</v>
      </c>
      <c r="C148" s="124"/>
      <c r="D148" s="206"/>
      <c r="E148" s="89"/>
    </row>
    <row r="149" spans="1:5" s="53" customFormat="1" ht="12" customHeight="1">
      <c r="A149" s="148" t="s">
        <v>60</v>
      </c>
      <c r="B149" s="7" t="s">
        <v>311</v>
      </c>
      <c r="C149" s="124"/>
      <c r="D149" s="206"/>
      <c r="E149" s="89"/>
    </row>
    <row r="150" spans="1:5" s="53" customFormat="1" ht="12" customHeight="1">
      <c r="A150" s="148" t="s">
        <v>171</v>
      </c>
      <c r="B150" s="7" t="s">
        <v>306</v>
      </c>
      <c r="C150" s="124"/>
      <c r="D150" s="206"/>
      <c r="E150" s="89"/>
    </row>
    <row r="151" spans="1:5" s="53" customFormat="1" ht="12" customHeight="1">
      <c r="A151" s="148" t="s">
        <v>172</v>
      </c>
      <c r="B151" s="7" t="s">
        <v>345</v>
      </c>
      <c r="C151" s="124"/>
      <c r="D151" s="206"/>
      <c r="E151" s="89"/>
    </row>
    <row r="152" spans="1:5" ht="12.75" customHeight="1" thickBot="1">
      <c r="A152" s="157" t="s">
        <v>310</v>
      </c>
      <c r="B152" s="5" t="s">
        <v>313</v>
      </c>
      <c r="C152" s="126"/>
      <c r="D152" s="207"/>
      <c r="E152" s="91"/>
    </row>
    <row r="153" spans="1:5" ht="12.75" customHeight="1" thickBot="1">
      <c r="A153" s="186" t="s">
        <v>12</v>
      </c>
      <c r="B153" s="56" t="s">
        <v>314</v>
      </c>
      <c r="C153" s="197"/>
      <c r="D153" s="209"/>
      <c r="E153" s="191"/>
    </row>
    <row r="154" spans="1:5" ht="12.75" customHeight="1" thickBot="1">
      <c r="A154" s="186" t="s">
        <v>13</v>
      </c>
      <c r="B154" s="56" t="s">
        <v>315</v>
      </c>
      <c r="C154" s="197"/>
      <c r="D154" s="209"/>
      <c r="E154" s="191"/>
    </row>
    <row r="155" spans="1:5" ht="12" customHeight="1" thickBot="1">
      <c r="A155" s="25" t="s">
        <v>14</v>
      </c>
      <c r="B155" s="56" t="s">
        <v>317</v>
      </c>
      <c r="C155" s="199">
        <f>+C130+C134+C141+C147+C153+C154</f>
        <v>153909209</v>
      </c>
      <c r="D155" s="211">
        <f>+D130+D134+D141+D147+D153+D154</f>
        <v>169206475</v>
      </c>
      <c r="E155" s="193">
        <f>+E130+E134+E141+E147+E153+E154</f>
        <v>136896170</v>
      </c>
    </row>
    <row r="156" spans="1:5" ht="15" customHeight="1" thickBot="1">
      <c r="A156" s="159" t="s">
        <v>15</v>
      </c>
      <c r="B156" s="113" t="s">
        <v>316</v>
      </c>
      <c r="C156" s="199">
        <f>+C129+C155</f>
        <v>862236353</v>
      </c>
      <c r="D156" s="211">
        <f>+D129+D155</f>
        <v>893957629</v>
      </c>
      <c r="E156" s="193">
        <f>+E129+E155</f>
        <v>655608710</v>
      </c>
    </row>
    <row r="157" spans="1:5" ht="13.5" thickBot="1">
      <c r="A157" s="116"/>
      <c r="B157" s="117"/>
      <c r="C157" s="458">
        <f>C91-C156</f>
        <v>0</v>
      </c>
      <c r="D157" s="458">
        <f>D91-D156</f>
        <v>0</v>
      </c>
      <c r="E157" s="118"/>
    </row>
    <row r="158" spans="1:5" ht="15" customHeight="1" thickBot="1">
      <c r="A158" s="85" t="s">
        <v>416</v>
      </c>
      <c r="B158" s="86"/>
      <c r="C158" s="237">
        <v>16</v>
      </c>
      <c r="D158" s="237"/>
      <c r="E158" s="236">
        <v>12</v>
      </c>
    </row>
    <row r="159" spans="1:5" ht="14.25" customHeight="1" thickBot="1">
      <c r="A159" s="85" t="s">
        <v>417</v>
      </c>
      <c r="B159" s="86"/>
      <c r="C159" s="237">
        <v>15</v>
      </c>
      <c r="D159" s="237"/>
      <c r="E159" s="236">
        <v>15</v>
      </c>
    </row>
  </sheetData>
  <sheetProtection formatCells="0"/>
  <mergeCells count="5">
    <mergeCell ref="A7:E7"/>
    <mergeCell ref="B2:D2"/>
    <mergeCell ref="B3:D3"/>
    <mergeCell ref="A93:E9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scale="90" r:id="rId1"/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59"/>
  <sheetViews>
    <sheetView zoomScale="120" zoomScaleNormal="120" zoomScaleSheetLayoutView="100" workbookViewId="0" topLeftCell="A1">
      <selection activeCell="F63" sqref="F63"/>
    </sheetView>
  </sheetViews>
  <sheetFormatPr defaultColWidth="9.00390625" defaultRowHeight="12.75"/>
  <cols>
    <col min="1" max="1" width="16.125" style="119" customWidth="1"/>
    <col min="2" max="2" width="62.00390625" style="120" customWidth="1"/>
    <col min="3" max="3" width="14.125" style="12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265"/>
      <c r="B1" s="629" t="str">
        <f>CONCATENATE("6.1.1. melléklet ",Z_ALAPADATOK!A7," ",Z_ALAPADATOK!B7," ",Z_ALAPADATOK!C7," ",Z_ALAPADATOK!D7," ",Z_ALAPADATOK!E7," ",Z_ALAPADATOK!F7," ",Z_ALAPADATOK!G7," ",Z_ALAPADATOK!H7)</f>
        <v>6.1.1. melléklet a 12 / 2020. ( VI.11. ) önkormányzati rendelethez</v>
      </c>
      <c r="C1" s="630"/>
      <c r="D1" s="630"/>
      <c r="E1" s="630"/>
    </row>
    <row r="2" spans="1:5" s="49" customFormat="1" ht="21" customHeight="1" thickBot="1">
      <c r="A2" s="274" t="s">
        <v>43</v>
      </c>
      <c r="B2" s="628" t="str">
        <f>CONCATENATE(Z_ALAPADATOK!A3)</f>
        <v>Karácsond Községi Önkormányzat</v>
      </c>
      <c r="C2" s="628"/>
      <c r="D2" s="628"/>
      <c r="E2" s="275" t="s">
        <v>37</v>
      </c>
    </row>
    <row r="3" spans="1:5" s="49" customFormat="1" ht="24.75" thickBot="1">
      <c r="A3" s="274" t="s">
        <v>120</v>
      </c>
      <c r="B3" s="628" t="s">
        <v>267</v>
      </c>
      <c r="C3" s="628"/>
      <c r="D3" s="628"/>
      <c r="E3" s="276" t="s">
        <v>41</v>
      </c>
    </row>
    <row r="4" spans="1:5" s="50" customFormat="1" ht="15.75" customHeight="1" thickBot="1">
      <c r="A4" s="268"/>
      <c r="B4" s="268"/>
      <c r="C4" s="269"/>
      <c r="D4" s="270"/>
      <c r="E4" s="269" t="str">
        <f>'ÖNK össz.'!E4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CONCATENATE('ÖNK össz.'!E5)</f>
        <v>Teljesítés
2019. XII. 31.</v>
      </c>
    </row>
    <row r="6" spans="1:5" s="46" customFormat="1" ht="12.75" customHeight="1" thickBot="1">
      <c r="A6" s="68" t="s">
        <v>325</v>
      </c>
      <c r="B6" s="69" t="s">
        <v>326</v>
      </c>
      <c r="C6" s="69" t="s">
        <v>327</v>
      </c>
      <c r="D6" s="231" t="s">
        <v>329</v>
      </c>
      <c r="E6" s="70" t="s">
        <v>328</v>
      </c>
    </row>
    <row r="7" spans="1:5" s="46" customFormat="1" ht="15.75" customHeight="1" thickBot="1">
      <c r="A7" s="625" t="s">
        <v>38</v>
      </c>
      <c r="B7" s="626"/>
      <c r="C7" s="626"/>
      <c r="D7" s="626"/>
      <c r="E7" s="627"/>
    </row>
    <row r="8" spans="1:5" s="46" customFormat="1" ht="12" customHeight="1" thickBot="1">
      <c r="A8" s="25" t="s">
        <v>5</v>
      </c>
      <c r="B8" s="19" t="s">
        <v>126</v>
      </c>
      <c r="C8" s="123">
        <f>+C9+C10+C11+C12+C13+C14</f>
        <v>144049665</v>
      </c>
      <c r="D8" s="204">
        <f>+D9+D10+D11+D12+D13+D14</f>
        <v>160401796</v>
      </c>
      <c r="E8" s="88">
        <f>+E9+E10+E11+E12+E13+E14</f>
        <v>160401796</v>
      </c>
    </row>
    <row r="9" spans="1:5" s="51" customFormat="1" ht="12" customHeight="1">
      <c r="A9" s="148" t="s">
        <v>61</v>
      </c>
      <c r="B9" s="136" t="s">
        <v>127</v>
      </c>
      <c r="C9" s="125">
        <v>59867636</v>
      </c>
      <c r="D9" s="205">
        <v>61198667</v>
      </c>
      <c r="E9" s="90">
        <v>61198667</v>
      </c>
    </row>
    <row r="10" spans="1:5" s="52" customFormat="1" ht="12" customHeight="1">
      <c r="A10" s="149" t="s">
        <v>62</v>
      </c>
      <c r="B10" s="137" t="s">
        <v>128</v>
      </c>
      <c r="C10" s="124">
        <v>52961800</v>
      </c>
      <c r="D10" s="206">
        <v>55830268</v>
      </c>
      <c r="E10" s="89">
        <v>55830268</v>
      </c>
    </row>
    <row r="11" spans="1:5" s="52" customFormat="1" ht="12" customHeight="1">
      <c r="A11" s="149" t="s">
        <v>63</v>
      </c>
      <c r="B11" s="137" t="s">
        <v>129</v>
      </c>
      <c r="C11" s="124">
        <v>27582969</v>
      </c>
      <c r="D11" s="206">
        <v>28186074</v>
      </c>
      <c r="E11" s="89">
        <v>28186074</v>
      </c>
    </row>
    <row r="12" spans="1:5" s="52" customFormat="1" ht="12" customHeight="1">
      <c r="A12" s="149" t="s">
        <v>64</v>
      </c>
      <c r="B12" s="137" t="s">
        <v>130</v>
      </c>
      <c r="C12" s="124">
        <v>3637260</v>
      </c>
      <c r="D12" s="206">
        <v>4215922</v>
      </c>
      <c r="E12" s="89">
        <v>4215922</v>
      </c>
    </row>
    <row r="13" spans="1:5" s="52" customFormat="1" ht="12" customHeight="1">
      <c r="A13" s="149" t="s">
        <v>94</v>
      </c>
      <c r="B13" s="137" t="s">
        <v>333</v>
      </c>
      <c r="C13" s="124"/>
      <c r="D13" s="206">
        <v>10970865</v>
      </c>
      <c r="E13" s="89">
        <v>10970865</v>
      </c>
    </row>
    <row r="14" spans="1:5" s="51" customFormat="1" ht="12" customHeight="1" thickBot="1">
      <c r="A14" s="150" t="s">
        <v>65</v>
      </c>
      <c r="B14" s="138" t="s">
        <v>277</v>
      </c>
      <c r="C14" s="124"/>
      <c r="D14" s="206"/>
      <c r="E14" s="89"/>
    </row>
    <row r="15" spans="1:5" s="51" customFormat="1" ht="12" customHeight="1" thickBot="1">
      <c r="A15" s="25" t="s">
        <v>6</v>
      </c>
      <c r="B15" s="95" t="s">
        <v>131</v>
      </c>
      <c r="C15" s="123">
        <f>+C16+C17+C18+C19+C20</f>
        <v>24000000</v>
      </c>
      <c r="D15" s="204">
        <f>+D16+D17+D18+D19+D20</f>
        <v>24100030</v>
      </c>
      <c r="E15" s="88">
        <f>+E16+E17+E18+E19+E20</f>
        <v>24379927</v>
      </c>
    </row>
    <row r="16" spans="1:5" s="51" customFormat="1" ht="12" customHeight="1">
      <c r="A16" s="148" t="s">
        <v>67</v>
      </c>
      <c r="B16" s="136" t="s">
        <v>132</v>
      </c>
      <c r="C16" s="125"/>
      <c r="D16" s="205"/>
      <c r="E16" s="90"/>
    </row>
    <row r="17" spans="1:5" s="51" customFormat="1" ht="12" customHeight="1">
      <c r="A17" s="149" t="s">
        <v>68</v>
      </c>
      <c r="B17" s="137" t="s">
        <v>133</v>
      </c>
      <c r="C17" s="124"/>
      <c r="D17" s="206"/>
      <c r="E17" s="89"/>
    </row>
    <row r="18" spans="1:5" s="51" customFormat="1" ht="12" customHeight="1">
      <c r="A18" s="149" t="s">
        <v>69</v>
      </c>
      <c r="B18" s="137" t="s">
        <v>269</v>
      </c>
      <c r="C18" s="124"/>
      <c r="D18" s="206"/>
      <c r="E18" s="89"/>
    </row>
    <row r="19" spans="1:5" s="51" customFormat="1" ht="12" customHeight="1">
      <c r="A19" s="149" t="s">
        <v>70</v>
      </c>
      <c r="B19" s="137" t="s">
        <v>270</v>
      </c>
      <c r="C19" s="124"/>
      <c r="D19" s="206"/>
      <c r="E19" s="89"/>
    </row>
    <row r="20" spans="1:5" s="51" customFormat="1" ht="12" customHeight="1">
      <c r="A20" s="149" t="s">
        <v>71</v>
      </c>
      <c r="B20" s="137" t="s">
        <v>134</v>
      </c>
      <c r="C20" s="124">
        <v>24000000</v>
      </c>
      <c r="D20" s="206">
        <v>24100030</v>
      </c>
      <c r="E20" s="89">
        <v>24379927</v>
      </c>
    </row>
    <row r="21" spans="1:5" s="52" customFormat="1" ht="12" customHeight="1" thickBot="1">
      <c r="A21" s="150" t="s">
        <v>78</v>
      </c>
      <c r="B21" s="138" t="s">
        <v>135</v>
      </c>
      <c r="C21" s="126"/>
      <c r="D21" s="207"/>
      <c r="E21" s="91"/>
    </row>
    <row r="22" spans="1:5" s="52" customFormat="1" ht="12" customHeight="1" thickBot="1">
      <c r="A22" s="25" t="s">
        <v>7</v>
      </c>
      <c r="B22" s="19" t="s">
        <v>136</v>
      </c>
      <c r="C22" s="123">
        <f>+C23+C24+C25+C26+C27</f>
        <v>0</v>
      </c>
      <c r="D22" s="204">
        <f>+D23+D24+D25+D26+D27</f>
        <v>0</v>
      </c>
      <c r="E22" s="88">
        <f>+E23+E24+E25+E26+E27</f>
        <v>0</v>
      </c>
    </row>
    <row r="23" spans="1:5" s="52" customFormat="1" ht="12" customHeight="1">
      <c r="A23" s="148" t="s">
        <v>50</v>
      </c>
      <c r="B23" s="136" t="s">
        <v>137</v>
      </c>
      <c r="C23" s="125"/>
      <c r="D23" s="205"/>
      <c r="E23" s="90"/>
    </row>
    <row r="24" spans="1:5" s="51" customFormat="1" ht="12" customHeight="1">
      <c r="A24" s="149" t="s">
        <v>51</v>
      </c>
      <c r="B24" s="137" t="s">
        <v>138</v>
      </c>
      <c r="C24" s="124"/>
      <c r="D24" s="206"/>
      <c r="E24" s="89"/>
    </row>
    <row r="25" spans="1:5" s="52" customFormat="1" ht="12" customHeight="1">
      <c r="A25" s="149" t="s">
        <v>52</v>
      </c>
      <c r="B25" s="137" t="s">
        <v>271</v>
      </c>
      <c r="C25" s="124"/>
      <c r="D25" s="206"/>
      <c r="E25" s="89"/>
    </row>
    <row r="26" spans="1:5" s="52" customFormat="1" ht="12" customHeight="1">
      <c r="A26" s="149" t="s">
        <v>53</v>
      </c>
      <c r="B26" s="137" t="s">
        <v>272</v>
      </c>
      <c r="C26" s="124"/>
      <c r="D26" s="206"/>
      <c r="E26" s="89"/>
    </row>
    <row r="27" spans="1:5" s="52" customFormat="1" ht="12" customHeight="1">
      <c r="A27" s="149" t="s">
        <v>100</v>
      </c>
      <c r="B27" s="137" t="s">
        <v>139</v>
      </c>
      <c r="C27" s="124"/>
      <c r="D27" s="206"/>
      <c r="E27" s="89"/>
    </row>
    <row r="28" spans="1:5" s="52" customFormat="1" ht="12" customHeight="1" thickBot="1">
      <c r="A28" s="150" t="s">
        <v>101</v>
      </c>
      <c r="B28" s="138" t="s">
        <v>140</v>
      </c>
      <c r="C28" s="126"/>
      <c r="D28" s="207"/>
      <c r="E28" s="91"/>
    </row>
    <row r="29" spans="1:5" s="52" customFormat="1" ht="12" customHeight="1" thickBot="1">
      <c r="A29" s="25" t="s">
        <v>102</v>
      </c>
      <c r="B29" s="19" t="s">
        <v>409</v>
      </c>
      <c r="C29" s="129">
        <f>SUM(C30:C34)</f>
        <v>75580000</v>
      </c>
      <c r="D29" s="129">
        <f>SUM(D30:D37)</f>
        <v>91118230</v>
      </c>
      <c r="E29" s="160">
        <f>SUM(E30:E34)</f>
        <v>94644027</v>
      </c>
    </row>
    <row r="30" spans="1:5" s="52" customFormat="1" ht="12" customHeight="1">
      <c r="A30" s="148" t="s">
        <v>141</v>
      </c>
      <c r="B30" s="136" t="str">
        <f>'ÖSSZ.ÖNK'!B33</f>
        <v>Kommunális adó</v>
      </c>
      <c r="C30" s="125">
        <v>8000000</v>
      </c>
      <c r="D30" s="125">
        <v>8538230</v>
      </c>
      <c r="E30" s="90">
        <v>8373299</v>
      </c>
    </row>
    <row r="31" spans="1:5" s="52" customFormat="1" ht="12" customHeight="1">
      <c r="A31" s="149" t="s">
        <v>142</v>
      </c>
      <c r="B31" s="136" t="s">
        <v>765</v>
      </c>
      <c r="C31" s="124">
        <v>60000000</v>
      </c>
      <c r="D31" s="124">
        <v>72000000</v>
      </c>
      <c r="E31" s="89">
        <v>74340462</v>
      </c>
    </row>
    <row r="32" spans="1:5" s="52" customFormat="1" ht="12" customHeight="1">
      <c r="A32" s="149" t="s">
        <v>143</v>
      </c>
      <c r="B32" s="136" t="s">
        <v>145</v>
      </c>
      <c r="C32" s="124">
        <v>6000000</v>
      </c>
      <c r="D32" s="124">
        <v>6000000</v>
      </c>
      <c r="E32" s="89">
        <v>7031379</v>
      </c>
    </row>
    <row r="33" spans="1:5" s="52" customFormat="1" ht="12" customHeight="1">
      <c r="A33" s="149" t="s">
        <v>144</v>
      </c>
      <c r="B33" s="136" t="s">
        <v>700</v>
      </c>
      <c r="C33" s="124">
        <v>400000</v>
      </c>
      <c r="D33" s="124">
        <v>400000</v>
      </c>
      <c r="E33" s="89">
        <v>659600</v>
      </c>
    </row>
    <row r="34" spans="1:5" s="52" customFormat="1" ht="12" customHeight="1">
      <c r="A34" s="149" t="s">
        <v>411</v>
      </c>
      <c r="B34" s="136" t="str">
        <f>'ÖSSZ.ÖNK'!B37</f>
        <v>Egyéb közhatalmi bevételek</v>
      </c>
      <c r="C34" s="124">
        <v>1180000</v>
      </c>
      <c r="D34" s="124">
        <v>4180000</v>
      </c>
      <c r="E34" s="89">
        <v>4239287</v>
      </c>
    </row>
    <row r="35" spans="1:5" s="52" customFormat="1" ht="12" customHeight="1">
      <c r="A35" s="149" t="s">
        <v>412</v>
      </c>
      <c r="B35" s="136" t="str">
        <f>'ÖSSZ.ÖNK'!B38</f>
        <v>     -ebből: igazgatási szolgáltatási díjak</v>
      </c>
      <c r="C35" s="124"/>
      <c r="D35" s="124"/>
      <c r="E35" s="89">
        <v>9400</v>
      </c>
    </row>
    <row r="36" spans="1:5" s="52" customFormat="1" ht="12" customHeight="1">
      <c r="A36" s="150" t="s">
        <v>413</v>
      </c>
      <c r="B36" s="136" t="s">
        <v>766</v>
      </c>
      <c r="C36" s="126"/>
      <c r="D36" s="126"/>
      <c r="E36" s="91">
        <v>1981231</v>
      </c>
    </row>
    <row r="37" spans="1:5" s="52" customFormat="1" ht="12" customHeight="1" thickBot="1">
      <c r="A37" s="150" t="s">
        <v>720</v>
      </c>
      <c r="B37" s="136" t="str">
        <f>'ÖSSZ.ÖNK'!B39</f>
        <v>     -ebből: egyéb bírság</v>
      </c>
      <c r="C37" s="126"/>
      <c r="D37" s="126"/>
      <c r="E37" s="91">
        <v>1771091</v>
      </c>
    </row>
    <row r="38" spans="1:5" s="52" customFormat="1" ht="12" customHeight="1" thickBot="1">
      <c r="A38" s="25" t="s">
        <v>9</v>
      </c>
      <c r="B38" s="19" t="s">
        <v>278</v>
      </c>
      <c r="C38" s="123">
        <f>SUM(C39:C49)</f>
        <v>7350000</v>
      </c>
      <c r="D38" s="204">
        <f>SUM(D39:D49)</f>
        <v>7350000</v>
      </c>
      <c r="E38" s="88">
        <f>SUM(E39:E49)</f>
        <v>10968953</v>
      </c>
    </row>
    <row r="39" spans="1:5" s="52" customFormat="1" ht="12" customHeight="1">
      <c r="A39" s="148" t="s">
        <v>54</v>
      </c>
      <c r="B39" s="136" t="s">
        <v>148</v>
      </c>
      <c r="C39" s="125"/>
      <c r="D39" s="205"/>
      <c r="E39" s="90"/>
    </row>
    <row r="40" spans="1:5" s="52" customFormat="1" ht="12" customHeight="1">
      <c r="A40" s="149" t="s">
        <v>55</v>
      </c>
      <c r="B40" s="137" t="s">
        <v>149</v>
      </c>
      <c r="C40" s="124"/>
      <c r="D40" s="206"/>
      <c r="E40" s="89"/>
    </row>
    <row r="41" spans="1:5" s="52" customFormat="1" ht="12" customHeight="1">
      <c r="A41" s="149" t="s">
        <v>56</v>
      </c>
      <c r="B41" s="137" t="s">
        <v>150</v>
      </c>
      <c r="C41" s="124"/>
      <c r="D41" s="206"/>
      <c r="E41" s="89"/>
    </row>
    <row r="42" spans="1:5" s="52" customFormat="1" ht="12" customHeight="1">
      <c r="A42" s="149" t="s">
        <v>104</v>
      </c>
      <c r="B42" s="137" t="s">
        <v>151</v>
      </c>
      <c r="C42" s="124">
        <v>4000000</v>
      </c>
      <c r="D42" s="206">
        <v>4000000</v>
      </c>
      <c r="E42" s="89">
        <v>3328209</v>
      </c>
    </row>
    <row r="43" spans="1:5" s="52" customFormat="1" ht="12" customHeight="1">
      <c r="A43" s="149" t="s">
        <v>105</v>
      </c>
      <c r="B43" s="137" t="s">
        <v>152</v>
      </c>
      <c r="C43" s="124"/>
      <c r="D43" s="206"/>
      <c r="E43" s="89"/>
    </row>
    <row r="44" spans="1:5" s="52" customFormat="1" ht="12" customHeight="1">
      <c r="A44" s="149" t="s">
        <v>106</v>
      </c>
      <c r="B44" s="137" t="s">
        <v>153</v>
      </c>
      <c r="C44" s="124">
        <v>150000</v>
      </c>
      <c r="D44" s="206">
        <v>150000</v>
      </c>
      <c r="E44" s="89"/>
    </row>
    <row r="45" spans="1:5" s="52" customFormat="1" ht="12" customHeight="1">
      <c r="A45" s="149" t="s">
        <v>107</v>
      </c>
      <c r="B45" s="137" t="s">
        <v>154</v>
      </c>
      <c r="C45" s="124"/>
      <c r="D45" s="206"/>
      <c r="E45" s="89"/>
    </row>
    <row r="46" spans="1:5" s="52" customFormat="1" ht="12" customHeight="1">
      <c r="A46" s="149" t="s">
        <v>108</v>
      </c>
      <c r="B46" s="137" t="s">
        <v>414</v>
      </c>
      <c r="C46" s="124"/>
      <c r="D46" s="206"/>
      <c r="E46" s="89"/>
    </row>
    <row r="47" spans="1:5" s="52" customFormat="1" ht="12" customHeight="1">
      <c r="A47" s="149" t="s">
        <v>146</v>
      </c>
      <c r="B47" s="137" t="s">
        <v>156</v>
      </c>
      <c r="C47" s="127"/>
      <c r="D47" s="232"/>
      <c r="E47" s="92"/>
    </row>
    <row r="48" spans="1:5" s="52" customFormat="1" ht="12" customHeight="1">
      <c r="A48" s="150" t="s">
        <v>147</v>
      </c>
      <c r="B48" s="138" t="s">
        <v>280</v>
      </c>
      <c r="C48" s="128"/>
      <c r="D48" s="233"/>
      <c r="E48" s="93">
        <v>264048</v>
      </c>
    </row>
    <row r="49" spans="1:5" s="52" customFormat="1" ht="12" customHeight="1" thickBot="1">
      <c r="A49" s="150" t="s">
        <v>279</v>
      </c>
      <c r="B49" s="138" t="s">
        <v>157</v>
      </c>
      <c r="C49" s="128">
        <v>3200000</v>
      </c>
      <c r="D49" s="233">
        <v>3200000</v>
      </c>
      <c r="E49" s="93">
        <v>7376696</v>
      </c>
    </row>
    <row r="50" spans="1:5" s="52" customFormat="1" ht="12" customHeight="1" thickBot="1">
      <c r="A50" s="25" t="s">
        <v>10</v>
      </c>
      <c r="B50" s="19" t="s">
        <v>158</v>
      </c>
      <c r="C50" s="123">
        <f>SUM(C51:C55)</f>
        <v>0</v>
      </c>
      <c r="D50" s="204">
        <f>SUM(D51:D55)</f>
        <v>0</v>
      </c>
      <c r="E50" s="88">
        <f>SUM(E51:E55)</f>
        <v>0</v>
      </c>
    </row>
    <row r="51" spans="1:5" s="52" customFormat="1" ht="12" customHeight="1">
      <c r="A51" s="148" t="s">
        <v>57</v>
      </c>
      <c r="B51" s="136" t="s">
        <v>162</v>
      </c>
      <c r="C51" s="171"/>
      <c r="D51" s="234"/>
      <c r="E51" s="94"/>
    </row>
    <row r="52" spans="1:5" s="52" customFormat="1" ht="12" customHeight="1">
      <c r="A52" s="149" t="s">
        <v>58</v>
      </c>
      <c r="B52" s="137" t="s">
        <v>163</v>
      </c>
      <c r="C52" s="127"/>
      <c r="D52" s="232"/>
      <c r="E52" s="92"/>
    </row>
    <row r="53" spans="1:5" s="52" customFormat="1" ht="12" customHeight="1">
      <c r="A53" s="149" t="s">
        <v>159</v>
      </c>
      <c r="B53" s="137" t="s">
        <v>164</v>
      </c>
      <c r="C53" s="127"/>
      <c r="D53" s="232"/>
      <c r="E53" s="92"/>
    </row>
    <row r="54" spans="1:5" s="52" customFormat="1" ht="12" customHeight="1">
      <c r="A54" s="149" t="s">
        <v>160</v>
      </c>
      <c r="B54" s="137" t="s">
        <v>165</v>
      </c>
      <c r="C54" s="127"/>
      <c r="D54" s="232"/>
      <c r="E54" s="92"/>
    </row>
    <row r="55" spans="1:5" s="52" customFormat="1" ht="12" customHeight="1" thickBot="1">
      <c r="A55" s="150" t="s">
        <v>161</v>
      </c>
      <c r="B55" s="138" t="s">
        <v>166</v>
      </c>
      <c r="C55" s="128"/>
      <c r="D55" s="233"/>
      <c r="E55" s="93"/>
    </row>
    <row r="56" spans="1:5" s="52" customFormat="1" ht="12" customHeight="1" thickBot="1">
      <c r="A56" s="25" t="s">
        <v>109</v>
      </c>
      <c r="B56" s="19" t="s">
        <v>167</v>
      </c>
      <c r="C56" s="123">
        <f>SUM(C57:C59)</f>
        <v>0</v>
      </c>
      <c r="D56" s="204">
        <f>SUM(D57:D59)</f>
        <v>0</v>
      </c>
      <c r="E56" s="88">
        <f>SUM(E57:E59)</f>
        <v>500000</v>
      </c>
    </row>
    <row r="57" spans="1:5" s="52" customFormat="1" ht="12" customHeight="1">
      <c r="A57" s="148" t="s">
        <v>59</v>
      </c>
      <c r="B57" s="136" t="s">
        <v>168</v>
      </c>
      <c r="C57" s="125"/>
      <c r="D57" s="205"/>
      <c r="E57" s="90"/>
    </row>
    <row r="58" spans="1:5" s="52" customFormat="1" ht="12" customHeight="1">
      <c r="A58" s="149" t="s">
        <v>60</v>
      </c>
      <c r="B58" s="137" t="s">
        <v>273</v>
      </c>
      <c r="C58" s="124"/>
      <c r="D58" s="206"/>
      <c r="E58" s="89"/>
    </row>
    <row r="59" spans="1:5" s="52" customFormat="1" ht="12" customHeight="1">
      <c r="A59" s="149" t="s">
        <v>171</v>
      </c>
      <c r="B59" s="137" t="s">
        <v>169</v>
      </c>
      <c r="C59" s="124"/>
      <c r="D59" s="206"/>
      <c r="E59" s="89">
        <v>500000</v>
      </c>
    </row>
    <row r="60" spans="1:5" s="52" customFormat="1" ht="12" customHeight="1" thickBot="1">
      <c r="A60" s="150" t="s">
        <v>172</v>
      </c>
      <c r="B60" s="138" t="s">
        <v>170</v>
      </c>
      <c r="C60" s="126"/>
      <c r="D60" s="207"/>
      <c r="E60" s="91"/>
    </row>
    <row r="61" spans="1:5" s="52" customFormat="1" ht="12" customHeight="1" thickBot="1">
      <c r="A61" s="25" t="s">
        <v>12</v>
      </c>
      <c r="B61" s="95" t="s">
        <v>173</v>
      </c>
      <c r="C61" s="123">
        <f>SUM(C62:C64)</f>
        <v>2358395</v>
      </c>
      <c r="D61" s="204">
        <f>SUM(D62:D64)</f>
        <v>2358395</v>
      </c>
      <c r="E61" s="88">
        <f>SUM(E62:E64)</f>
        <v>600000</v>
      </c>
    </row>
    <row r="62" spans="1:5" s="52" customFormat="1" ht="12" customHeight="1">
      <c r="A62" s="148" t="s">
        <v>110</v>
      </c>
      <c r="B62" s="136" t="s">
        <v>175</v>
      </c>
      <c r="C62" s="127"/>
      <c r="D62" s="232"/>
      <c r="E62" s="92"/>
    </row>
    <row r="63" spans="1:5" s="52" customFormat="1" ht="12" customHeight="1">
      <c r="A63" s="149" t="s">
        <v>111</v>
      </c>
      <c r="B63" s="137" t="s">
        <v>274</v>
      </c>
      <c r="C63" s="127">
        <v>2358395</v>
      </c>
      <c r="D63" s="232">
        <v>2358395</v>
      </c>
      <c r="E63" s="92">
        <v>600000</v>
      </c>
    </row>
    <row r="64" spans="1:5" s="52" customFormat="1" ht="12" customHeight="1">
      <c r="A64" s="149" t="s">
        <v>123</v>
      </c>
      <c r="B64" s="137" t="s">
        <v>176</v>
      </c>
      <c r="C64" s="127"/>
      <c r="D64" s="232"/>
      <c r="E64" s="92"/>
    </row>
    <row r="65" spans="1:5" s="52" customFormat="1" ht="12" customHeight="1" thickBot="1">
      <c r="A65" s="150" t="s">
        <v>174</v>
      </c>
      <c r="B65" s="138" t="s">
        <v>177</v>
      </c>
      <c r="C65" s="127"/>
      <c r="D65" s="232"/>
      <c r="E65" s="92"/>
    </row>
    <row r="66" spans="1:5" s="52" customFormat="1" ht="12" customHeight="1" thickBot="1">
      <c r="A66" s="25" t="s">
        <v>13</v>
      </c>
      <c r="B66" s="19" t="s">
        <v>178</v>
      </c>
      <c r="C66" s="129">
        <f>+C8+C15+C22+C29+C38+C50+C56+C61</f>
        <v>253338060</v>
      </c>
      <c r="D66" s="208">
        <f>+D8+D15+D22+D29+D38+D50+D56+D61</f>
        <v>285328451</v>
      </c>
      <c r="E66" s="160">
        <f>+E8+E15+E22+E29+E38+E50+E56+E61</f>
        <v>291494703</v>
      </c>
    </row>
    <row r="67" spans="1:5" s="52" customFormat="1" ht="12" customHeight="1" thickBot="1">
      <c r="A67" s="151" t="s">
        <v>247</v>
      </c>
      <c r="B67" s="95" t="s">
        <v>180</v>
      </c>
      <c r="C67" s="123">
        <f>SUM(C68:C70)</f>
        <v>0</v>
      </c>
      <c r="D67" s="204">
        <f>SUM(D68:D70)</f>
        <v>0</v>
      </c>
      <c r="E67" s="88">
        <f>SUM(E68:E70)</f>
        <v>0</v>
      </c>
    </row>
    <row r="68" spans="1:5" s="52" customFormat="1" ht="12" customHeight="1">
      <c r="A68" s="148" t="s">
        <v>208</v>
      </c>
      <c r="B68" s="136" t="s">
        <v>181</v>
      </c>
      <c r="C68" s="127"/>
      <c r="D68" s="232"/>
      <c r="E68" s="92"/>
    </row>
    <row r="69" spans="1:5" s="52" customFormat="1" ht="12" customHeight="1">
      <c r="A69" s="149" t="s">
        <v>217</v>
      </c>
      <c r="B69" s="137" t="s">
        <v>182</v>
      </c>
      <c r="C69" s="127"/>
      <c r="D69" s="232"/>
      <c r="E69" s="92"/>
    </row>
    <row r="70" spans="1:5" s="52" customFormat="1" ht="12" customHeight="1" thickBot="1">
      <c r="A70" s="158" t="s">
        <v>218</v>
      </c>
      <c r="B70" s="262" t="s">
        <v>183</v>
      </c>
      <c r="C70" s="263"/>
      <c r="D70" s="235"/>
      <c r="E70" s="264"/>
    </row>
    <row r="71" spans="1:5" s="52" customFormat="1" ht="12" customHeight="1" thickBot="1">
      <c r="A71" s="151" t="s">
        <v>184</v>
      </c>
      <c r="B71" s="95" t="s">
        <v>185</v>
      </c>
      <c r="C71" s="123">
        <f>SUM(C72:C75)</f>
        <v>0</v>
      </c>
      <c r="D71" s="123">
        <f>SUM(D72:D75)</f>
        <v>0</v>
      </c>
      <c r="E71" s="88">
        <f>SUM(E72:E75)</f>
        <v>0</v>
      </c>
    </row>
    <row r="72" spans="1:5" s="52" customFormat="1" ht="12" customHeight="1">
      <c r="A72" s="148" t="s">
        <v>95</v>
      </c>
      <c r="B72" s="251" t="s">
        <v>186</v>
      </c>
      <c r="C72" s="127"/>
      <c r="D72" s="127"/>
      <c r="E72" s="92"/>
    </row>
    <row r="73" spans="1:5" s="52" customFormat="1" ht="12" customHeight="1">
      <c r="A73" s="149" t="s">
        <v>96</v>
      </c>
      <c r="B73" s="251" t="s">
        <v>419</v>
      </c>
      <c r="C73" s="127"/>
      <c r="D73" s="127"/>
      <c r="E73" s="92"/>
    </row>
    <row r="74" spans="1:5" s="52" customFormat="1" ht="12" customHeight="1">
      <c r="A74" s="149" t="s">
        <v>209</v>
      </c>
      <c r="B74" s="251" t="s">
        <v>187</v>
      </c>
      <c r="C74" s="127"/>
      <c r="D74" s="127"/>
      <c r="E74" s="92"/>
    </row>
    <row r="75" spans="1:5" s="52" customFormat="1" ht="12" customHeight="1" thickBot="1">
      <c r="A75" s="150" t="s">
        <v>210</v>
      </c>
      <c r="B75" s="252" t="s">
        <v>420</v>
      </c>
      <c r="C75" s="127"/>
      <c r="D75" s="127"/>
      <c r="E75" s="92"/>
    </row>
    <row r="76" spans="1:5" s="52" customFormat="1" ht="12" customHeight="1" thickBot="1">
      <c r="A76" s="151" t="s">
        <v>188</v>
      </c>
      <c r="B76" s="95" t="s">
        <v>189</v>
      </c>
      <c r="C76" s="123">
        <f>SUM(C77:C78)</f>
        <v>455644622</v>
      </c>
      <c r="D76" s="123">
        <f>SUM(D77:D78)</f>
        <v>455644622</v>
      </c>
      <c r="E76" s="88">
        <f>SUM(E77:E78)</f>
        <v>396182836</v>
      </c>
    </row>
    <row r="77" spans="1:5" s="52" customFormat="1" ht="12" customHeight="1">
      <c r="A77" s="148" t="s">
        <v>211</v>
      </c>
      <c r="B77" s="136" t="s">
        <v>190</v>
      </c>
      <c r="C77" s="127">
        <v>455644622</v>
      </c>
      <c r="D77" s="127">
        <v>455644622</v>
      </c>
      <c r="E77" s="92">
        <v>396182836</v>
      </c>
    </row>
    <row r="78" spans="1:5" s="52" customFormat="1" ht="12" customHeight="1" thickBot="1">
      <c r="A78" s="150" t="s">
        <v>212</v>
      </c>
      <c r="B78" s="138" t="s">
        <v>191</v>
      </c>
      <c r="C78" s="127"/>
      <c r="D78" s="127"/>
      <c r="E78" s="92"/>
    </row>
    <row r="79" spans="1:5" s="51" customFormat="1" ht="12" customHeight="1" thickBot="1">
      <c r="A79" s="151" t="s">
        <v>192</v>
      </c>
      <c r="B79" s="95" t="s">
        <v>193</v>
      </c>
      <c r="C79" s="123">
        <f>SUM(C80:C82)</f>
        <v>5034671</v>
      </c>
      <c r="D79" s="123">
        <f>SUM(D80:D82)</f>
        <v>5034671</v>
      </c>
      <c r="E79" s="88">
        <f>SUM(E80:E82)</f>
        <v>6385218</v>
      </c>
    </row>
    <row r="80" spans="1:5" s="52" customFormat="1" ht="12" customHeight="1">
      <c r="A80" s="148" t="s">
        <v>213</v>
      </c>
      <c r="B80" s="136" t="s">
        <v>194</v>
      </c>
      <c r="C80" s="127">
        <v>5034671</v>
      </c>
      <c r="D80" s="127">
        <v>5034671</v>
      </c>
      <c r="E80" s="92">
        <v>6385218</v>
      </c>
    </row>
    <row r="81" spans="1:5" s="52" customFormat="1" ht="12" customHeight="1">
      <c r="A81" s="149" t="s">
        <v>214</v>
      </c>
      <c r="B81" s="137" t="s">
        <v>195</v>
      </c>
      <c r="C81" s="127"/>
      <c r="D81" s="127"/>
      <c r="E81" s="92"/>
    </row>
    <row r="82" spans="1:5" s="52" customFormat="1" ht="12" customHeight="1" thickBot="1">
      <c r="A82" s="150" t="s">
        <v>215</v>
      </c>
      <c r="B82" s="138" t="s">
        <v>421</v>
      </c>
      <c r="C82" s="127"/>
      <c r="D82" s="127"/>
      <c r="E82" s="92"/>
    </row>
    <row r="83" spans="1:5" s="52" customFormat="1" ht="12" customHeight="1" thickBot="1">
      <c r="A83" s="151" t="s">
        <v>196</v>
      </c>
      <c r="B83" s="95" t="s">
        <v>216</v>
      </c>
      <c r="C83" s="123">
        <f>SUM(C84:C87)</f>
        <v>0</v>
      </c>
      <c r="D83" s="123">
        <f>SUM(D84:D87)</f>
        <v>0</v>
      </c>
      <c r="E83" s="88">
        <f>SUM(E84:E87)</f>
        <v>0</v>
      </c>
    </row>
    <row r="84" spans="1:5" s="52" customFormat="1" ht="12" customHeight="1">
      <c r="A84" s="152" t="s">
        <v>197</v>
      </c>
      <c r="B84" s="136" t="s">
        <v>198</v>
      </c>
      <c r="C84" s="127"/>
      <c r="D84" s="127"/>
      <c r="E84" s="92"/>
    </row>
    <row r="85" spans="1:5" s="52" customFormat="1" ht="12" customHeight="1">
      <c r="A85" s="153" t="s">
        <v>199</v>
      </c>
      <c r="B85" s="137" t="s">
        <v>200</v>
      </c>
      <c r="C85" s="127"/>
      <c r="D85" s="127"/>
      <c r="E85" s="92"/>
    </row>
    <row r="86" spans="1:5" s="52" customFormat="1" ht="12" customHeight="1">
      <c r="A86" s="153" t="s">
        <v>201</v>
      </c>
      <c r="B86" s="137" t="s">
        <v>202</v>
      </c>
      <c r="C86" s="127"/>
      <c r="D86" s="127"/>
      <c r="E86" s="92"/>
    </row>
    <row r="87" spans="1:5" s="51" customFormat="1" ht="12" customHeight="1" thickBot="1">
      <c r="A87" s="154" t="s">
        <v>203</v>
      </c>
      <c r="B87" s="138" t="s">
        <v>204</v>
      </c>
      <c r="C87" s="127"/>
      <c r="D87" s="127"/>
      <c r="E87" s="92"/>
    </row>
    <row r="88" spans="1:5" s="51" customFormat="1" ht="12" customHeight="1" thickBot="1">
      <c r="A88" s="151" t="s">
        <v>205</v>
      </c>
      <c r="B88" s="95" t="s">
        <v>319</v>
      </c>
      <c r="C88" s="174"/>
      <c r="D88" s="174"/>
      <c r="E88" s="175"/>
    </row>
    <row r="89" spans="1:5" s="51" customFormat="1" ht="12" customHeight="1" thickBot="1">
      <c r="A89" s="151" t="s">
        <v>334</v>
      </c>
      <c r="B89" s="95" t="s">
        <v>206</v>
      </c>
      <c r="C89" s="174"/>
      <c r="D89" s="174"/>
      <c r="E89" s="175"/>
    </row>
    <row r="90" spans="1:5" s="51" customFormat="1" ht="12" customHeight="1" thickBot="1">
      <c r="A90" s="151" t="s">
        <v>335</v>
      </c>
      <c r="B90" s="143" t="s">
        <v>322</v>
      </c>
      <c r="C90" s="129">
        <f>+C67+C71+C76+C79+C83+C89+C88</f>
        <v>460679293</v>
      </c>
      <c r="D90" s="129">
        <f>+D67+D71+D76+D79+D83+D89+D88</f>
        <v>460679293</v>
      </c>
      <c r="E90" s="160">
        <f>+E67+E71+E76+E79+E83+E89+E88</f>
        <v>402568054</v>
      </c>
    </row>
    <row r="91" spans="1:5" s="51" customFormat="1" ht="12" customHeight="1" thickBot="1">
      <c r="A91" s="155" t="s">
        <v>336</v>
      </c>
      <c r="B91" s="144" t="s">
        <v>337</v>
      </c>
      <c r="C91" s="129">
        <f>+C66+C90</f>
        <v>714017353</v>
      </c>
      <c r="D91" s="129">
        <f>+D66+D90</f>
        <v>746007744</v>
      </c>
      <c r="E91" s="160">
        <f>+E66+E90</f>
        <v>694062757</v>
      </c>
    </row>
    <row r="92" spans="1:3" s="52" customFormat="1" ht="15" customHeight="1" thickBot="1">
      <c r="A92" s="78"/>
      <c r="B92" s="79"/>
      <c r="C92" s="108"/>
    </row>
    <row r="93" spans="1:5" s="46" customFormat="1" ht="16.5" customHeight="1" thickBot="1">
      <c r="A93" s="625" t="s">
        <v>39</v>
      </c>
      <c r="B93" s="626"/>
      <c r="C93" s="626"/>
      <c r="D93" s="626"/>
      <c r="E93" s="627"/>
    </row>
    <row r="94" spans="1:5" s="53" customFormat="1" ht="12" customHeight="1" thickBot="1">
      <c r="A94" s="130" t="s">
        <v>5</v>
      </c>
      <c r="B94" s="24" t="s">
        <v>341</v>
      </c>
      <c r="C94" s="122">
        <f>+C95+C96+C97+C98+C99+C112</f>
        <v>30679738</v>
      </c>
      <c r="D94" s="122">
        <f>+D95+D96+D97+D98+D99+D112</f>
        <v>25007136</v>
      </c>
      <c r="E94" s="187">
        <f>+E95+E96+E97+E98+E99+E112</f>
        <v>23586720</v>
      </c>
    </row>
    <row r="95" spans="1:5" ht="12" customHeight="1">
      <c r="A95" s="156" t="s">
        <v>61</v>
      </c>
      <c r="B95" s="8" t="s">
        <v>34</v>
      </c>
      <c r="C95" s="194">
        <v>19475136</v>
      </c>
      <c r="D95" s="194">
        <v>19475136</v>
      </c>
      <c r="E95" s="188">
        <v>18174132</v>
      </c>
    </row>
    <row r="96" spans="1:5" ht="12" customHeight="1">
      <c r="A96" s="149" t="s">
        <v>62</v>
      </c>
      <c r="B96" s="6" t="s">
        <v>112</v>
      </c>
      <c r="C96" s="124">
        <v>3604602</v>
      </c>
      <c r="D96" s="124">
        <v>2200000</v>
      </c>
      <c r="E96" s="89">
        <v>2105327</v>
      </c>
    </row>
    <row r="97" spans="1:5" ht="12" customHeight="1">
      <c r="A97" s="149" t="s">
        <v>63</v>
      </c>
      <c r="B97" s="6" t="s">
        <v>87</v>
      </c>
      <c r="C97" s="126">
        <v>4100000</v>
      </c>
      <c r="D97" s="124">
        <v>3100000</v>
      </c>
      <c r="E97" s="91">
        <v>3075949</v>
      </c>
    </row>
    <row r="98" spans="1:5" ht="12" customHeight="1">
      <c r="A98" s="149" t="s">
        <v>64</v>
      </c>
      <c r="B98" s="9" t="s">
        <v>113</v>
      </c>
      <c r="C98" s="126"/>
      <c r="D98" s="207"/>
      <c r="E98" s="91"/>
    </row>
    <row r="99" spans="1:5" ht="12" customHeight="1">
      <c r="A99" s="149" t="s">
        <v>73</v>
      </c>
      <c r="B99" s="17" t="s">
        <v>114</v>
      </c>
      <c r="C99" s="126">
        <v>3500000</v>
      </c>
      <c r="D99" s="207">
        <v>232000</v>
      </c>
      <c r="E99" s="91">
        <v>231312</v>
      </c>
    </row>
    <row r="100" spans="1:5" ht="12" customHeight="1">
      <c r="A100" s="149" t="s">
        <v>65</v>
      </c>
      <c r="B100" s="6" t="s">
        <v>338</v>
      </c>
      <c r="C100" s="126">
        <v>3500000</v>
      </c>
      <c r="D100" s="207">
        <v>232000</v>
      </c>
      <c r="E100" s="91">
        <v>231312</v>
      </c>
    </row>
    <row r="101" spans="1:5" ht="12" customHeight="1">
      <c r="A101" s="149" t="s">
        <v>66</v>
      </c>
      <c r="B101" s="61" t="s">
        <v>285</v>
      </c>
      <c r="C101" s="126"/>
      <c r="D101" s="207"/>
      <c r="E101" s="91"/>
    </row>
    <row r="102" spans="1:5" ht="12" customHeight="1">
      <c r="A102" s="149" t="s">
        <v>74</v>
      </c>
      <c r="B102" s="61" t="s">
        <v>284</v>
      </c>
      <c r="C102" s="126"/>
      <c r="D102" s="207"/>
      <c r="E102" s="91"/>
    </row>
    <row r="103" spans="1:5" ht="12" customHeight="1">
      <c r="A103" s="149" t="s">
        <v>75</v>
      </c>
      <c r="B103" s="61" t="s">
        <v>222</v>
      </c>
      <c r="C103" s="126"/>
      <c r="D103" s="207"/>
      <c r="E103" s="91"/>
    </row>
    <row r="104" spans="1:5" ht="12" customHeight="1">
      <c r="A104" s="149" t="s">
        <v>76</v>
      </c>
      <c r="B104" s="62" t="s">
        <v>223</v>
      </c>
      <c r="C104" s="126"/>
      <c r="D104" s="207"/>
      <c r="E104" s="91"/>
    </row>
    <row r="105" spans="1:5" ht="12" customHeight="1">
      <c r="A105" s="149" t="s">
        <v>77</v>
      </c>
      <c r="B105" s="62" t="s">
        <v>224</v>
      </c>
      <c r="C105" s="126"/>
      <c r="D105" s="207"/>
      <c r="E105" s="91"/>
    </row>
    <row r="106" spans="1:5" ht="12" customHeight="1">
      <c r="A106" s="149" t="s">
        <v>79</v>
      </c>
      <c r="B106" s="61" t="s">
        <v>225</v>
      </c>
      <c r="C106" s="126"/>
      <c r="D106" s="207"/>
      <c r="E106" s="91"/>
    </row>
    <row r="107" spans="1:5" ht="12" customHeight="1">
      <c r="A107" s="149" t="s">
        <v>115</v>
      </c>
      <c r="B107" s="61" t="s">
        <v>226</v>
      </c>
      <c r="C107" s="126"/>
      <c r="D107" s="207"/>
      <c r="E107" s="91"/>
    </row>
    <row r="108" spans="1:5" ht="12" customHeight="1">
      <c r="A108" s="149" t="s">
        <v>220</v>
      </c>
      <c r="B108" s="62" t="s">
        <v>227</v>
      </c>
      <c r="C108" s="124"/>
      <c r="D108" s="207"/>
      <c r="E108" s="91"/>
    </row>
    <row r="109" spans="1:5" ht="12" customHeight="1">
      <c r="A109" s="157" t="s">
        <v>221</v>
      </c>
      <c r="B109" s="63" t="s">
        <v>228</v>
      </c>
      <c r="C109" s="126"/>
      <c r="D109" s="207"/>
      <c r="E109" s="91"/>
    </row>
    <row r="110" spans="1:5" ht="12" customHeight="1">
      <c r="A110" s="149" t="s">
        <v>282</v>
      </c>
      <c r="B110" s="63" t="s">
        <v>229</v>
      </c>
      <c r="C110" s="126"/>
      <c r="D110" s="207"/>
      <c r="E110" s="91"/>
    </row>
    <row r="111" spans="1:5" ht="12" customHeight="1">
      <c r="A111" s="149" t="s">
        <v>283</v>
      </c>
      <c r="B111" s="62" t="s">
        <v>230</v>
      </c>
      <c r="C111" s="124"/>
      <c r="D111" s="206"/>
      <c r="E111" s="89"/>
    </row>
    <row r="112" spans="1:5" ht="12" customHeight="1">
      <c r="A112" s="149" t="s">
        <v>287</v>
      </c>
      <c r="B112" s="9" t="s">
        <v>35</v>
      </c>
      <c r="C112" s="124"/>
      <c r="D112" s="206"/>
      <c r="E112" s="89"/>
    </row>
    <row r="113" spans="1:5" ht="12" customHeight="1">
      <c r="A113" s="150" t="s">
        <v>288</v>
      </c>
      <c r="B113" s="6" t="s">
        <v>339</v>
      </c>
      <c r="C113" s="126"/>
      <c r="D113" s="207"/>
      <c r="E113" s="91"/>
    </row>
    <row r="114" spans="1:5" ht="12" customHeight="1" thickBot="1">
      <c r="A114" s="158" t="s">
        <v>289</v>
      </c>
      <c r="B114" s="64" t="s">
        <v>340</v>
      </c>
      <c r="C114" s="195"/>
      <c r="D114" s="238"/>
      <c r="E114" s="189"/>
    </row>
    <row r="115" spans="1:5" ht="12" customHeight="1" thickBot="1">
      <c r="A115" s="25" t="s">
        <v>6</v>
      </c>
      <c r="B115" s="23" t="s">
        <v>231</v>
      </c>
      <c r="C115" s="123">
        <f>+C116+C118+C120</f>
        <v>0</v>
      </c>
      <c r="D115" s="204">
        <f>+D116+D118+D120</f>
        <v>0</v>
      </c>
      <c r="E115" s="88">
        <f>+E116+E118+E120</f>
        <v>0</v>
      </c>
    </row>
    <row r="116" spans="1:5" ht="12" customHeight="1">
      <c r="A116" s="148" t="s">
        <v>67</v>
      </c>
      <c r="B116" s="6" t="s">
        <v>122</v>
      </c>
      <c r="C116" s="125"/>
      <c r="D116" s="205"/>
      <c r="E116" s="90"/>
    </row>
    <row r="117" spans="1:5" ht="12" customHeight="1">
      <c r="A117" s="148" t="s">
        <v>68</v>
      </c>
      <c r="B117" s="10" t="s">
        <v>235</v>
      </c>
      <c r="C117" s="125"/>
      <c r="D117" s="205"/>
      <c r="E117" s="90"/>
    </row>
    <row r="118" spans="1:5" ht="12" customHeight="1">
      <c r="A118" s="148" t="s">
        <v>69</v>
      </c>
      <c r="B118" s="10" t="s">
        <v>116</v>
      </c>
      <c r="C118" s="124"/>
      <c r="D118" s="206"/>
      <c r="E118" s="89"/>
    </row>
    <row r="119" spans="1:5" ht="12" customHeight="1">
      <c r="A119" s="148" t="s">
        <v>70</v>
      </c>
      <c r="B119" s="10" t="s">
        <v>236</v>
      </c>
      <c r="C119" s="124"/>
      <c r="D119" s="206"/>
      <c r="E119" s="89"/>
    </row>
    <row r="120" spans="1:5" ht="12" customHeight="1">
      <c r="A120" s="148" t="s">
        <v>71</v>
      </c>
      <c r="B120" s="97" t="s">
        <v>124</v>
      </c>
      <c r="C120" s="124"/>
      <c r="D120" s="206"/>
      <c r="E120" s="89"/>
    </row>
    <row r="121" spans="1:5" ht="12" customHeight="1">
      <c r="A121" s="148" t="s">
        <v>78</v>
      </c>
      <c r="B121" s="96" t="s">
        <v>275</v>
      </c>
      <c r="C121" s="124"/>
      <c r="D121" s="206"/>
      <c r="E121" s="89"/>
    </row>
    <row r="122" spans="1:5" ht="12" customHeight="1">
      <c r="A122" s="148" t="s">
        <v>80</v>
      </c>
      <c r="B122" s="132" t="s">
        <v>241</v>
      </c>
      <c r="C122" s="124"/>
      <c r="D122" s="206"/>
      <c r="E122" s="89"/>
    </row>
    <row r="123" spans="1:5" ht="12" customHeight="1">
      <c r="A123" s="148" t="s">
        <v>117</v>
      </c>
      <c r="B123" s="62" t="s">
        <v>224</v>
      </c>
      <c r="C123" s="124"/>
      <c r="D123" s="206"/>
      <c r="E123" s="89"/>
    </row>
    <row r="124" spans="1:5" ht="12" customHeight="1">
      <c r="A124" s="148" t="s">
        <v>118</v>
      </c>
      <c r="B124" s="62" t="s">
        <v>240</v>
      </c>
      <c r="C124" s="124"/>
      <c r="D124" s="206"/>
      <c r="E124" s="89"/>
    </row>
    <row r="125" spans="1:5" ht="12" customHeight="1">
      <c r="A125" s="148" t="s">
        <v>119</v>
      </c>
      <c r="B125" s="62" t="s">
        <v>239</v>
      </c>
      <c r="C125" s="124"/>
      <c r="D125" s="206"/>
      <c r="E125" s="89"/>
    </row>
    <row r="126" spans="1:5" ht="12" customHeight="1">
      <c r="A126" s="148" t="s">
        <v>232</v>
      </c>
      <c r="B126" s="62" t="s">
        <v>227</v>
      </c>
      <c r="C126" s="124"/>
      <c r="D126" s="206"/>
      <c r="E126" s="89"/>
    </row>
    <row r="127" spans="1:5" ht="12" customHeight="1">
      <c r="A127" s="148" t="s">
        <v>233</v>
      </c>
      <c r="B127" s="62" t="s">
        <v>238</v>
      </c>
      <c r="C127" s="124"/>
      <c r="D127" s="206"/>
      <c r="E127" s="89"/>
    </row>
    <row r="128" spans="1:5" ht="12" customHeight="1" thickBot="1">
      <c r="A128" s="157" t="s">
        <v>234</v>
      </c>
      <c r="B128" s="62" t="s">
        <v>237</v>
      </c>
      <c r="C128" s="126"/>
      <c r="D128" s="207"/>
      <c r="E128" s="91"/>
    </row>
    <row r="129" spans="1:5" ht="12" customHeight="1" thickBot="1">
      <c r="A129" s="25" t="s">
        <v>7</v>
      </c>
      <c r="B129" s="56" t="s">
        <v>292</v>
      </c>
      <c r="C129" s="123">
        <f>+C94+C115</f>
        <v>30679738</v>
      </c>
      <c r="D129" s="204">
        <f>+D94+D115</f>
        <v>25007136</v>
      </c>
      <c r="E129" s="88">
        <f>+E94+E115</f>
        <v>23586720</v>
      </c>
    </row>
    <row r="130" spans="1:5" ht="12" customHeight="1" thickBot="1">
      <c r="A130" s="25" t="s">
        <v>8</v>
      </c>
      <c r="B130" s="56" t="s">
        <v>293</v>
      </c>
      <c r="C130" s="123">
        <f>+C131+C132+C133</f>
        <v>0</v>
      </c>
      <c r="D130" s="204">
        <f>+D131+D132+D133</f>
        <v>0</v>
      </c>
      <c r="E130" s="88">
        <f>+E131+E132+E133</f>
        <v>0</v>
      </c>
    </row>
    <row r="131" spans="1:5" s="53" customFormat="1" ht="12" customHeight="1">
      <c r="A131" s="148" t="s">
        <v>141</v>
      </c>
      <c r="B131" s="7" t="s">
        <v>344</v>
      </c>
      <c r="C131" s="124"/>
      <c r="D131" s="206"/>
      <c r="E131" s="89"/>
    </row>
    <row r="132" spans="1:5" ht="12" customHeight="1">
      <c r="A132" s="148" t="s">
        <v>142</v>
      </c>
      <c r="B132" s="7" t="s">
        <v>301</v>
      </c>
      <c r="C132" s="124"/>
      <c r="D132" s="206"/>
      <c r="E132" s="89"/>
    </row>
    <row r="133" spans="1:5" ht="12" customHeight="1" thickBot="1">
      <c r="A133" s="157" t="s">
        <v>143</v>
      </c>
      <c r="B133" s="5" t="s">
        <v>343</v>
      </c>
      <c r="C133" s="124"/>
      <c r="D133" s="206"/>
      <c r="E133" s="89"/>
    </row>
    <row r="134" spans="1:5" ht="12" customHeight="1" thickBot="1">
      <c r="A134" s="25" t="s">
        <v>9</v>
      </c>
      <c r="B134" s="56" t="s">
        <v>294</v>
      </c>
      <c r="C134" s="123">
        <f>+C135+C136+C137+C138+C139+C140</f>
        <v>0</v>
      </c>
      <c r="D134" s="204">
        <f>+D135+D136+D137+D138+D139+D140</f>
        <v>0</v>
      </c>
      <c r="E134" s="88">
        <f>+E135+E136+E137+E138+E139+E140</f>
        <v>0</v>
      </c>
    </row>
    <row r="135" spans="1:5" ht="12" customHeight="1">
      <c r="A135" s="148" t="s">
        <v>54</v>
      </c>
      <c r="B135" s="7" t="s">
        <v>303</v>
      </c>
      <c r="C135" s="124"/>
      <c r="D135" s="206"/>
      <c r="E135" s="89"/>
    </row>
    <row r="136" spans="1:5" ht="12" customHeight="1">
      <c r="A136" s="148" t="s">
        <v>55</v>
      </c>
      <c r="B136" s="7" t="s">
        <v>295</v>
      </c>
      <c r="C136" s="124"/>
      <c r="D136" s="206"/>
      <c r="E136" s="89"/>
    </row>
    <row r="137" spans="1:5" ht="12" customHeight="1">
      <c r="A137" s="148" t="s">
        <v>56</v>
      </c>
      <c r="B137" s="7" t="s">
        <v>296</v>
      </c>
      <c r="C137" s="124"/>
      <c r="D137" s="206"/>
      <c r="E137" s="89"/>
    </row>
    <row r="138" spans="1:5" ht="12" customHeight="1">
      <c r="A138" s="148" t="s">
        <v>104</v>
      </c>
      <c r="B138" s="7" t="s">
        <v>342</v>
      </c>
      <c r="C138" s="124"/>
      <c r="D138" s="206"/>
      <c r="E138" s="89"/>
    </row>
    <row r="139" spans="1:5" ht="12" customHeight="1">
      <c r="A139" s="148" t="s">
        <v>105</v>
      </c>
      <c r="B139" s="7" t="s">
        <v>298</v>
      </c>
      <c r="C139" s="124"/>
      <c r="D139" s="206"/>
      <c r="E139" s="89"/>
    </row>
    <row r="140" spans="1:5" s="53" customFormat="1" ht="12" customHeight="1" thickBot="1">
      <c r="A140" s="157" t="s">
        <v>106</v>
      </c>
      <c r="B140" s="5" t="s">
        <v>299</v>
      </c>
      <c r="C140" s="124"/>
      <c r="D140" s="206"/>
      <c r="E140" s="89"/>
    </row>
    <row r="141" spans="1:11" ht="12" customHeight="1" thickBot="1">
      <c r="A141" s="25" t="s">
        <v>10</v>
      </c>
      <c r="B141" s="56" t="s">
        <v>357</v>
      </c>
      <c r="C141" s="129">
        <f>+C142+C143+C145+C146+C144</f>
        <v>153909209</v>
      </c>
      <c r="D141" s="208">
        <f>+D142+D143+D145+D146+D144</f>
        <v>169206475</v>
      </c>
      <c r="E141" s="160">
        <f>+E142+E143+E145+E146+E144</f>
        <v>136896170</v>
      </c>
      <c r="K141" s="87"/>
    </row>
    <row r="142" spans="1:5" ht="12.75">
      <c r="A142" s="148" t="s">
        <v>57</v>
      </c>
      <c r="B142" s="7" t="s">
        <v>242</v>
      </c>
      <c r="C142" s="124"/>
      <c r="D142" s="206"/>
      <c r="E142" s="89"/>
    </row>
    <row r="143" spans="1:5" ht="12" customHeight="1">
      <c r="A143" s="148" t="s">
        <v>58</v>
      </c>
      <c r="B143" s="7" t="s">
        <v>243</v>
      </c>
      <c r="C143" s="124">
        <v>5034671</v>
      </c>
      <c r="D143" s="206">
        <v>5034671</v>
      </c>
      <c r="E143" s="89">
        <v>5034671</v>
      </c>
    </row>
    <row r="144" spans="1:5" ht="12" customHeight="1">
      <c r="A144" s="148" t="s">
        <v>159</v>
      </c>
      <c r="B144" s="7" t="s">
        <v>356</v>
      </c>
      <c r="C144" s="124">
        <v>148874538</v>
      </c>
      <c r="D144" s="206">
        <v>164171804</v>
      </c>
      <c r="E144" s="89">
        <v>131861499</v>
      </c>
    </row>
    <row r="145" spans="1:5" s="53" customFormat="1" ht="12" customHeight="1">
      <c r="A145" s="148" t="s">
        <v>160</v>
      </c>
      <c r="B145" s="7" t="s">
        <v>308</v>
      </c>
      <c r="C145" s="124"/>
      <c r="D145" s="206"/>
      <c r="E145" s="89"/>
    </row>
    <row r="146" spans="1:5" s="53" customFormat="1" ht="12" customHeight="1" thickBot="1">
      <c r="A146" s="157" t="s">
        <v>161</v>
      </c>
      <c r="B146" s="5" t="s">
        <v>246</v>
      </c>
      <c r="C146" s="124"/>
      <c r="D146" s="206"/>
      <c r="E146" s="89"/>
    </row>
    <row r="147" spans="1:5" s="53" customFormat="1" ht="12" customHeight="1" thickBot="1">
      <c r="A147" s="25" t="s">
        <v>11</v>
      </c>
      <c r="B147" s="56" t="s">
        <v>309</v>
      </c>
      <c r="C147" s="197">
        <f>+C148+C149+C150+C151+C152</f>
        <v>0</v>
      </c>
      <c r="D147" s="209">
        <f>+D148+D149+D150+D151+D152</f>
        <v>0</v>
      </c>
      <c r="E147" s="191">
        <f>+E148+E149+E150+E151+E152</f>
        <v>0</v>
      </c>
    </row>
    <row r="148" spans="1:5" s="53" customFormat="1" ht="12" customHeight="1">
      <c r="A148" s="148" t="s">
        <v>59</v>
      </c>
      <c r="B148" s="7" t="s">
        <v>304</v>
      </c>
      <c r="C148" s="124"/>
      <c r="D148" s="206"/>
      <c r="E148" s="89"/>
    </row>
    <row r="149" spans="1:5" s="53" customFormat="1" ht="12" customHeight="1">
      <c r="A149" s="148" t="s">
        <v>60</v>
      </c>
      <c r="B149" s="7" t="s">
        <v>311</v>
      </c>
      <c r="C149" s="124"/>
      <c r="D149" s="206"/>
      <c r="E149" s="89"/>
    </row>
    <row r="150" spans="1:5" s="53" customFormat="1" ht="12" customHeight="1">
      <c r="A150" s="148" t="s">
        <v>171</v>
      </c>
      <c r="B150" s="7" t="s">
        <v>306</v>
      </c>
      <c r="C150" s="124"/>
      <c r="D150" s="206"/>
      <c r="E150" s="89"/>
    </row>
    <row r="151" spans="1:5" s="53" customFormat="1" ht="12" customHeight="1">
      <c r="A151" s="148" t="s">
        <v>172</v>
      </c>
      <c r="B151" s="7" t="s">
        <v>345</v>
      </c>
      <c r="C151" s="124"/>
      <c r="D151" s="206"/>
      <c r="E151" s="89"/>
    </row>
    <row r="152" spans="1:5" ht="12.75" customHeight="1" thickBot="1">
      <c r="A152" s="157" t="s">
        <v>310</v>
      </c>
      <c r="B152" s="5" t="s">
        <v>313</v>
      </c>
      <c r="C152" s="126"/>
      <c r="D152" s="207"/>
      <c r="E152" s="91"/>
    </row>
    <row r="153" spans="1:5" ht="12.75" customHeight="1" thickBot="1">
      <c r="A153" s="186" t="s">
        <v>12</v>
      </c>
      <c r="B153" s="56" t="s">
        <v>314</v>
      </c>
      <c r="C153" s="197"/>
      <c r="D153" s="209"/>
      <c r="E153" s="191"/>
    </row>
    <row r="154" spans="1:5" ht="12.75" customHeight="1" thickBot="1">
      <c r="A154" s="186" t="s">
        <v>13</v>
      </c>
      <c r="B154" s="56" t="s">
        <v>315</v>
      </c>
      <c r="C154" s="197"/>
      <c r="D154" s="209"/>
      <c r="E154" s="191"/>
    </row>
    <row r="155" spans="1:5" ht="12" customHeight="1" thickBot="1">
      <c r="A155" s="25" t="s">
        <v>14</v>
      </c>
      <c r="B155" s="56" t="s">
        <v>317</v>
      </c>
      <c r="C155" s="199">
        <f>+C130+C134+C141+C147+C153+C154</f>
        <v>153909209</v>
      </c>
      <c r="D155" s="211">
        <f>+D130+D134+D141+D147+D153+D154</f>
        <v>169206475</v>
      </c>
      <c r="E155" s="193">
        <f>+E130+E134+E141+E147+E153+E154</f>
        <v>136896170</v>
      </c>
    </row>
    <row r="156" spans="1:5" ht="15" customHeight="1" thickBot="1">
      <c r="A156" s="159" t="s">
        <v>15</v>
      </c>
      <c r="B156" s="113" t="s">
        <v>316</v>
      </c>
      <c r="C156" s="199">
        <f>+C129+C155</f>
        <v>184588947</v>
      </c>
      <c r="D156" s="211">
        <f>+D129+D155</f>
        <v>194213611</v>
      </c>
      <c r="E156" s="193">
        <f>+E129+E155</f>
        <v>160482890</v>
      </c>
    </row>
    <row r="157" spans="1:5" ht="13.5" thickBot="1">
      <c r="A157" s="116"/>
      <c r="B157" s="117"/>
      <c r="C157" s="458">
        <f>C91-C156</f>
        <v>529428406</v>
      </c>
      <c r="D157" s="458">
        <f>D91-D156</f>
        <v>551794133</v>
      </c>
      <c r="E157" s="118"/>
    </row>
    <row r="158" spans="1:5" ht="15" customHeight="1" thickBot="1">
      <c r="A158" s="247" t="s">
        <v>416</v>
      </c>
      <c r="B158" s="248"/>
      <c r="C158" s="237"/>
      <c r="D158" s="237"/>
      <c r="E158" s="236"/>
    </row>
    <row r="159" spans="1:5" ht="14.25" customHeight="1" thickBot="1">
      <c r="A159" s="249" t="s">
        <v>417</v>
      </c>
      <c r="B159" s="250"/>
      <c r="C159" s="237"/>
      <c r="D159" s="237"/>
      <c r="E159" s="236"/>
    </row>
  </sheetData>
  <sheetProtection formatCells="0"/>
  <mergeCells count="5">
    <mergeCell ref="B2:D2"/>
    <mergeCell ref="B3:D3"/>
    <mergeCell ref="A7:E7"/>
    <mergeCell ref="A93:E9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2" manualBreakCount="2">
    <brk id="70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58"/>
  <sheetViews>
    <sheetView zoomScale="120" zoomScaleNormal="120" zoomScaleSheetLayoutView="100" workbookViewId="0" topLeftCell="A1">
      <selection activeCell="H118" sqref="G118:H118"/>
    </sheetView>
  </sheetViews>
  <sheetFormatPr defaultColWidth="9.00390625" defaultRowHeight="12.75"/>
  <cols>
    <col min="1" max="1" width="16.125" style="119" customWidth="1"/>
    <col min="2" max="2" width="62.00390625" style="120" customWidth="1"/>
    <col min="3" max="3" width="14.125" style="121" customWidth="1"/>
    <col min="4" max="5" width="14.125" style="2" customWidth="1"/>
    <col min="6" max="12" width="9.375" style="2" customWidth="1"/>
    <col min="13" max="13" width="11.00390625" style="2" bestFit="1" customWidth="1"/>
    <col min="14" max="16384" width="9.375" style="2" customWidth="1"/>
  </cols>
  <sheetData>
    <row r="1" spans="1:5" s="1" customFormat="1" ht="16.5" customHeight="1" thickBot="1">
      <c r="A1" s="265"/>
      <c r="B1" s="277"/>
      <c r="C1" s="278"/>
      <c r="D1" s="278"/>
      <c r="E1" s="461" t="str">
        <f>CONCATENATE("6.1.2. melléklet ",Z_ALAPADATOK!A7," ",Z_ALAPADATOK!B7," ",Z_ALAPADATOK!C7," ",Z_ALAPADATOK!D7," ",Z_ALAPADATOK!E7," ",Z_ALAPADATOK!F7," ",Z_ALAPADATOK!G7," ",Z_ALAPADATOK!H7)</f>
        <v>6.1.2. melléklet a 12 / 2020. ( VI.11. ) önkormányzati rendelethez</v>
      </c>
    </row>
    <row r="2" spans="1:5" s="49" customFormat="1" ht="21" customHeight="1" thickBot="1">
      <c r="A2" s="274" t="s">
        <v>43</v>
      </c>
      <c r="B2" s="628" t="str">
        <f>CONCATENATE(Z_ALAPADATOK!A3)</f>
        <v>Karácsond Községi Önkormányzat</v>
      </c>
      <c r="C2" s="628"/>
      <c r="D2" s="628"/>
      <c r="E2" s="275" t="s">
        <v>37</v>
      </c>
    </row>
    <row r="3" spans="1:5" s="49" customFormat="1" ht="24.75" thickBot="1">
      <c r="A3" s="274" t="s">
        <v>120</v>
      </c>
      <c r="B3" s="628" t="s">
        <v>268</v>
      </c>
      <c r="C3" s="628"/>
      <c r="D3" s="628"/>
      <c r="E3" s="276" t="s">
        <v>41</v>
      </c>
    </row>
    <row r="4" spans="1:5" s="50" customFormat="1" ht="15.75" customHeight="1" thickBot="1">
      <c r="A4" s="268"/>
      <c r="B4" s="268"/>
      <c r="C4" s="269"/>
      <c r="D4" s="270"/>
      <c r="E4" s="269" t="str">
        <f>'ÖNK Kötelező'!E4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CONCATENATE('ÖNK Kötelező'!E5)</f>
        <v>Teljesítés
2019. XII. 31.</v>
      </c>
    </row>
    <row r="6" spans="1:5" s="46" customFormat="1" ht="12.75" customHeight="1" thickBot="1">
      <c r="A6" s="68" t="s">
        <v>325</v>
      </c>
      <c r="B6" s="69" t="s">
        <v>326</v>
      </c>
      <c r="C6" s="69" t="s">
        <v>327</v>
      </c>
      <c r="D6" s="231" t="s">
        <v>329</v>
      </c>
      <c r="E6" s="70" t="s">
        <v>328</v>
      </c>
    </row>
    <row r="7" spans="1:5" s="46" customFormat="1" ht="15.75" customHeight="1" thickBot="1">
      <c r="A7" s="625" t="s">
        <v>38</v>
      </c>
      <c r="B7" s="626"/>
      <c r="C7" s="626"/>
      <c r="D7" s="626"/>
      <c r="E7" s="627"/>
    </row>
    <row r="8" spans="1:5" s="46" customFormat="1" ht="12" customHeight="1" thickBot="1">
      <c r="A8" s="25" t="s">
        <v>5</v>
      </c>
      <c r="B8" s="19" t="s">
        <v>126</v>
      </c>
      <c r="C8" s="123">
        <f>+C9+C10+C11+C12+C13+C14</f>
        <v>0</v>
      </c>
      <c r="D8" s="204">
        <f>+D9+D10+D11+D12+D13+D14</f>
        <v>0</v>
      </c>
      <c r="E8" s="88">
        <f>+E9+E10+E11+E12+E13+E14</f>
        <v>0</v>
      </c>
    </row>
    <row r="9" spans="1:5" s="51" customFormat="1" ht="12" customHeight="1">
      <c r="A9" s="148" t="s">
        <v>61</v>
      </c>
      <c r="B9" s="136" t="s">
        <v>127</v>
      </c>
      <c r="C9" s="125"/>
      <c r="D9" s="205"/>
      <c r="E9" s="90"/>
    </row>
    <row r="10" spans="1:5" s="52" customFormat="1" ht="12" customHeight="1">
      <c r="A10" s="149" t="s">
        <v>62</v>
      </c>
      <c r="B10" s="137" t="s">
        <v>128</v>
      </c>
      <c r="C10" s="124"/>
      <c r="D10" s="206"/>
      <c r="E10" s="89"/>
    </row>
    <row r="11" spans="1:5" s="52" customFormat="1" ht="12" customHeight="1">
      <c r="A11" s="149" t="s">
        <v>63</v>
      </c>
      <c r="B11" s="137" t="s">
        <v>129</v>
      </c>
      <c r="C11" s="124"/>
      <c r="D11" s="206"/>
      <c r="E11" s="89"/>
    </row>
    <row r="12" spans="1:5" s="52" customFormat="1" ht="12" customHeight="1">
      <c r="A12" s="149" t="s">
        <v>64</v>
      </c>
      <c r="B12" s="137" t="s">
        <v>130</v>
      </c>
      <c r="C12" s="124"/>
      <c r="D12" s="206"/>
      <c r="E12" s="89"/>
    </row>
    <row r="13" spans="1:5" s="52" customFormat="1" ht="12" customHeight="1">
      <c r="A13" s="149" t="s">
        <v>94</v>
      </c>
      <c r="B13" s="137" t="s">
        <v>333</v>
      </c>
      <c r="C13" s="124"/>
      <c r="D13" s="206"/>
      <c r="E13" s="89"/>
    </row>
    <row r="14" spans="1:5" s="51" customFormat="1" ht="12" customHeight="1" thickBot="1">
      <c r="A14" s="150" t="s">
        <v>65</v>
      </c>
      <c r="B14" s="138" t="s">
        <v>277</v>
      </c>
      <c r="C14" s="124"/>
      <c r="D14" s="206"/>
      <c r="E14" s="89"/>
    </row>
    <row r="15" spans="1:5" s="51" customFormat="1" ht="12" customHeight="1" thickBot="1">
      <c r="A15" s="25" t="s">
        <v>6</v>
      </c>
      <c r="B15" s="95" t="s">
        <v>131</v>
      </c>
      <c r="C15" s="123">
        <f>+C16+C17+C18+C19+C20</f>
        <v>0</v>
      </c>
      <c r="D15" s="204">
        <f>+D16+D17+D18+D19+D20</f>
        <v>0</v>
      </c>
      <c r="E15" s="88">
        <f>+E16+E17+E18+E19+E20</f>
        <v>0</v>
      </c>
    </row>
    <row r="16" spans="1:5" s="51" customFormat="1" ht="12" customHeight="1">
      <c r="A16" s="148" t="s">
        <v>67</v>
      </c>
      <c r="B16" s="136" t="s">
        <v>132</v>
      </c>
      <c r="C16" s="125"/>
      <c r="D16" s="205"/>
      <c r="E16" s="90"/>
    </row>
    <row r="17" spans="1:5" s="51" customFormat="1" ht="12" customHeight="1">
      <c r="A17" s="149" t="s">
        <v>68</v>
      </c>
      <c r="B17" s="137" t="s">
        <v>133</v>
      </c>
      <c r="C17" s="124"/>
      <c r="D17" s="206"/>
      <c r="E17" s="89"/>
    </row>
    <row r="18" spans="1:5" s="51" customFormat="1" ht="12" customHeight="1">
      <c r="A18" s="149" t="s">
        <v>69</v>
      </c>
      <c r="B18" s="137" t="s">
        <v>269</v>
      </c>
      <c r="C18" s="124"/>
      <c r="D18" s="206"/>
      <c r="E18" s="89"/>
    </row>
    <row r="19" spans="1:5" s="51" customFormat="1" ht="12" customHeight="1">
      <c r="A19" s="149" t="s">
        <v>70</v>
      </c>
      <c r="B19" s="137" t="s">
        <v>270</v>
      </c>
      <c r="C19" s="124"/>
      <c r="D19" s="206"/>
      <c r="E19" s="89"/>
    </row>
    <row r="20" spans="1:5" s="51" customFormat="1" ht="12" customHeight="1">
      <c r="A20" s="149" t="s">
        <v>71</v>
      </c>
      <c r="B20" s="137" t="s">
        <v>134</v>
      </c>
      <c r="C20" s="124"/>
      <c r="D20" s="206"/>
      <c r="E20" s="89"/>
    </row>
    <row r="21" spans="1:5" s="52" customFormat="1" ht="12" customHeight="1" thickBot="1">
      <c r="A21" s="150" t="s">
        <v>78</v>
      </c>
      <c r="B21" s="138" t="s">
        <v>135</v>
      </c>
      <c r="C21" s="126"/>
      <c r="D21" s="207"/>
      <c r="E21" s="91"/>
    </row>
    <row r="22" spans="1:5" s="52" customFormat="1" ht="12" customHeight="1" thickBot="1">
      <c r="A22" s="25" t="s">
        <v>7</v>
      </c>
      <c r="B22" s="19" t="s">
        <v>136</v>
      </c>
      <c r="C22" s="123">
        <f>+C23+C24+C25+C26+C27</f>
        <v>148219000</v>
      </c>
      <c r="D22" s="204">
        <f>+D23+D24+D25+D26+D27</f>
        <v>147949885</v>
      </c>
      <c r="E22" s="88">
        <f>+E23+E24+E25+E26+E27</f>
        <v>194616085</v>
      </c>
    </row>
    <row r="23" spans="1:5" s="52" customFormat="1" ht="12" customHeight="1">
      <c r="A23" s="148" t="s">
        <v>50</v>
      </c>
      <c r="B23" s="136" t="s">
        <v>137</v>
      </c>
      <c r="C23" s="125">
        <v>141219000</v>
      </c>
      <c r="D23" s="205">
        <v>140949885</v>
      </c>
      <c r="E23" s="90">
        <v>140949885</v>
      </c>
    </row>
    <row r="24" spans="1:5" s="51" customFormat="1" ht="12" customHeight="1">
      <c r="A24" s="149" t="s">
        <v>51</v>
      </c>
      <c r="B24" s="137" t="s">
        <v>138</v>
      </c>
      <c r="C24" s="124"/>
      <c r="D24" s="206"/>
      <c r="E24" s="89"/>
    </row>
    <row r="25" spans="1:5" s="52" customFormat="1" ht="12" customHeight="1">
      <c r="A25" s="149" t="s">
        <v>52</v>
      </c>
      <c r="B25" s="137" t="s">
        <v>271</v>
      </c>
      <c r="C25" s="124"/>
      <c r="D25" s="206"/>
      <c r="E25" s="89"/>
    </row>
    <row r="26" spans="1:5" s="52" customFormat="1" ht="12" customHeight="1">
      <c r="A26" s="149" t="s">
        <v>53</v>
      </c>
      <c r="B26" s="137" t="s">
        <v>272</v>
      </c>
      <c r="C26" s="124"/>
      <c r="D26" s="206"/>
      <c r="E26" s="89"/>
    </row>
    <row r="27" spans="1:5" s="52" customFormat="1" ht="12" customHeight="1">
      <c r="A27" s="149" t="s">
        <v>100</v>
      </c>
      <c r="B27" s="137" t="s">
        <v>139</v>
      </c>
      <c r="C27" s="124">
        <v>7000000</v>
      </c>
      <c r="D27" s="206">
        <v>7000000</v>
      </c>
      <c r="E27" s="89">
        <v>53666200</v>
      </c>
    </row>
    <row r="28" spans="1:5" s="52" customFormat="1" ht="12" customHeight="1" thickBot="1">
      <c r="A28" s="150" t="s">
        <v>101</v>
      </c>
      <c r="B28" s="138" t="s">
        <v>140</v>
      </c>
      <c r="C28" s="126"/>
      <c r="D28" s="207"/>
      <c r="E28" s="91"/>
    </row>
    <row r="29" spans="1:5" s="52" customFormat="1" ht="12" customHeight="1" thickBot="1">
      <c r="A29" s="25" t="s">
        <v>102</v>
      </c>
      <c r="B29" s="19" t="s">
        <v>409</v>
      </c>
      <c r="C29" s="129">
        <f>SUM(C30:C36)</f>
        <v>0</v>
      </c>
      <c r="D29" s="129">
        <f>SUM(D30:D36)</f>
        <v>0</v>
      </c>
      <c r="E29" s="160">
        <f>SUM(E30:E36)</f>
        <v>0</v>
      </c>
    </row>
    <row r="30" spans="1:5" s="52" customFormat="1" ht="12" customHeight="1">
      <c r="A30" s="148" t="s">
        <v>141</v>
      </c>
      <c r="B30" s="136" t="str">
        <f>'ÖSSZ.ÖNK'!B33</f>
        <v>Kommunális adó</v>
      </c>
      <c r="C30" s="125"/>
      <c r="D30" s="125"/>
      <c r="E30" s="90"/>
    </row>
    <row r="31" spans="1:5" s="52" customFormat="1" ht="12" customHeight="1">
      <c r="A31" s="149" t="s">
        <v>142</v>
      </c>
      <c r="B31" s="136" t="str">
        <f>'ÖSSZ.ÖNK'!B34</f>
        <v>Iparűzési adó</v>
      </c>
      <c r="C31" s="124"/>
      <c r="D31" s="124"/>
      <c r="E31" s="89"/>
    </row>
    <row r="32" spans="1:5" s="52" customFormat="1" ht="12" customHeight="1">
      <c r="A32" s="149" t="s">
        <v>143</v>
      </c>
      <c r="B32" s="136" t="str">
        <f>'ÖSSZ.ÖNK'!B35</f>
        <v>Gépjárműadó</v>
      </c>
      <c r="C32" s="124"/>
      <c r="D32" s="124"/>
      <c r="E32" s="89"/>
    </row>
    <row r="33" spans="1:5" s="52" customFormat="1" ht="12" customHeight="1">
      <c r="A33" s="149" t="s">
        <v>144</v>
      </c>
      <c r="B33" s="136" t="str">
        <f>'ÖSSZ.ÖNK'!B36</f>
        <v>Idegenforgalmi adó</v>
      </c>
      <c r="C33" s="124"/>
      <c r="D33" s="124"/>
      <c r="E33" s="89"/>
    </row>
    <row r="34" spans="1:5" s="52" customFormat="1" ht="12" customHeight="1">
      <c r="A34" s="149" t="s">
        <v>411</v>
      </c>
      <c r="B34" s="136" t="str">
        <f>'ÖSSZ.ÖNK'!B37</f>
        <v>Egyéb közhatalmi bevételek</v>
      </c>
      <c r="C34" s="124"/>
      <c r="D34" s="124"/>
      <c r="E34" s="89"/>
    </row>
    <row r="35" spans="1:5" s="52" customFormat="1" ht="12" customHeight="1">
      <c r="A35" s="149" t="s">
        <v>412</v>
      </c>
      <c r="B35" s="136" t="str">
        <f>'ÖSSZ.ÖNK'!B38</f>
        <v>     -ebből: igazgatási szolgáltatási díjak</v>
      </c>
      <c r="C35" s="124"/>
      <c r="D35" s="124"/>
      <c r="E35" s="89"/>
    </row>
    <row r="36" spans="1:5" s="52" customFormat="1" ht="12" customHeight="1" thickBot="1">
      <c r="A36" s="150" t="s">
        <v>413</v>
      </c>
      <c r="B36" s="136" t="str">
        <f>'ÖSSZ.ÖNK'!B39</f>
        <v>     -ebből: egyéb bírság</v>
      </c>
      <c r="C36" s="126"/>
      <c r="D36" s="126"/>
      <c r="E36" s="91"/>
    </row>
    <row r="37" spans="1:5" s="52" customFormat="1" ht="12" customHeight="1" thickBot="1">
      <c r="A37" s="25" t="s">
        <v>9</v>
      </c>
      <c r="B37" s="19" t="s">
        <v>278</v>
      </c>
      <c r="C37" s="123">
        <f>SUM(C38:C48)</f>
        <v>0</v>
      </c>
      <c r="D37" s="204">
        <f>SUM(D38:D48)</f>
        <v>0</v>
      </c>
      <c r="E37" s="88">
        <f>SUM(E38:E48)</f>
        <v>264048</v>
      </c>
    </row>
    <row r="38" spans="1:5" s="52" customFormat="1" ht="12" customHeight="1">
      <c r="A38" s="148" t="s">
        <v>54</v>
      </c>
      <c r="B38" s="136" t="s">
        <v>148</v>
      </c>
      <c r="C38" s="125"/>
      <c r="D38" s="205"/>
      <c r="E38" s="90"/>
    </row>
    <row r="39" spans="1:5" s="52" customFormat="1" ht="12" customHeight="1">
      <c r="A39" s="149" t="s">
        <v>55</v>
      </c>
      <c r="B39" s="137" t="s">
        <v>149</v>
      </c>
      <c r="C39" s="124"/>
      <c r="D39" s="206"/>
      <c r="E39" s="89"/>
    </row>
    <row r="40" spans="1:5" s="52" customFormat="1" ht="12" customHeight="1">
      <c r="A40" s="149" t="s">
        <v>56</v>
      </c>
      <c r="B40" s="137" t="s">
        <v>150</v>
      </c>
      <c r="C40" s="124"/>
      <c r="D40" s="206"/>
      <c r="E40" s="89"/>
    </row>
    <row r="41" spans="1:5" s="52" customFormat="1" ht="12" customHeight="1">
      <c r="A41" s="149" t="s">
        <v>104</v>
      </c>
      <c r="B41" s="137" t="s">
        <v>151</v>
      </c>
      <c r="C41" s="124"/>
      <c r="D41" s="206"/>
      <c r="E41" s="89"/>
    </row>
    <row r="42" spans="1:5" s="52" customFormat="1" ht="12" customHeight="1">
      <c r="A42" s="149" t="s">
        <v>105</v>
      </c>
      <c r="B42" s="137" t="s">
        <v>152</v>
      </c>
      <c r="C42" s="124"/>
      <c r="D42" s="206"/>
      <c r="E42" s="89"/>
    </row>
    <row r="43" spans="1:5" s="52" customFormat="1" ht="12" customHeight="1">
      <c r="A43" s="149" t="s">
        <v>106</v>
      </c>
      <c r="B43" s="137" t="s">
        <v>153</v>
      </c>
      <c r="C43" s="124"/>
      <c r="D43" s="206"/>
      <c r="E43" s="89"/>
    </row>
    <row r="44" spans="1:5" s="52" customFormat="1" ht="12" customHeight="1">
      <c r="A44" s="149" t="s">
        <v>107</v>
      </c>
      <c r="B44" s="137" t="s">
        <v>154</v>
      </c>
      <c r="C44" s="124"/>
      <c r="D44" s="206"/>
      <c r="E44" s="89"/>
    </row>
    <row r="45" spans="1:5" s="52" customFormat="1" ht="12" customHeight="1">
      <c r="A45" s="149" t="s">
        <v>108</v>
      </c>
      <c r="B45" s="137" t="s">
        <v>414</v>
      </c>
      <c r="C45" s="124"/>
      <c r="D45" s="206"/>
      <c r="E45" s="89"/>
    </row>
    <row r="46" spans="1:5" s="52" customFormat="1" ht="12" customHeight="1">
      <c r="A46" s="149" t="s">
        <v>146</v>
      </c>
      <c r="B46" s="137" t="s">
        <v>156</v>
      </c>
      <c r="C46" s="127"/>
      <c r="D46" s="232"/>
      <c r="E46" s="92"/>
    </row>
    <row r="47" spans="1:5" s="52" customFormat="1" ht="12" customHeight="1">
      <c r="A47" s="150" t="s">
        <v>147</v>
      </c>
      <c r="B47" s="138" t="s">
        <v>280</v>
      </c>
      <c r="C47" s="128"/>
      <c r="D47" s="233"/>
      <c r="E47" s="93">
        <v>264048</v>
      </c>
    </row>
    <row r="48" spans="1:5" s="52" customFormat="1" ht="12" customHeight="1" thickBot="1">
      <c r="A48" s="150" t="s">
        <v>279</v>
      </c>
      <c r="B48" s="138" t="s">
        <v>157</v>
      </c>
      <c r="C48" s="128"/>
      <c r="D48" s="233"/>
      <c r="E48" s="93"/>
    </row>
    <row r="49" spans="1:5" s="52" customFormat="1" ht="12" customHeight="1" thickBot="1">
      <c r="A49" s="25" t="s">
        <v>10</v>
      </c>
      <c r="B49" s="19" t="s">
        <v>158</v>
      </c>
      <c r="C49" s="123">
        <f>SUM(C50:C54)</f>
        <v>0</v>
      </c>
      <c r="D49" s="204">
        <f>SUM(D50:D54)</f>
        <v>0</v>
      </c>
      <c r="E49" s="88">
        <f>SUM(E50:E54)</f>
        <v>0</v>
      </c>
    </row>
    <row r="50" spans="1:5" s="52" customFormat="1" ht="12" customHeight="1">
      <c r="A50" s="148" t="s">
        <v>57</v>
      </c>
      <c r="B50" s="136" t="s">
        <v>162</v>
      </c>
      <c r="C50" s="171"/>
      <c r="D50" s="234"/>
      <c r="E50" s="94"/>
    </row>
    <row r="51" spans="1:5" s="52" customFormat="1" ht="12" customHeight="1">
      <c r="A51" s="149" t="s">
        <v>58</v>
      </c>
      <c r="B51" s="137" t="s">
        <v>163</v>
      </c>
      <c r="C51" s="127"/>
      <c r="D51" s="232"/>
      <c r="E51" s="92"/>
    </row>
    <row r="52" spans="1:5" s="52" customFormat="1" ht="12" customHeight="1">
      <c r="A52" s="149" t="s">
        <v>159</v>
      </c>
      <c r="B52" s="137" t="s">
        <v>164</v>
      </c>
      <c r="C52" s="127"/>
      <c r="D52" s="232"/>
      <c r="E52" s="92"/>
    </row>
    <row r="53" spans="1:5" s="52" customFormat="1" ht="12" customHeight="1">
      <c r="A53" s="149" t="s">
        <v>160</v>
      </c>
      <c r="B53" s="137" t="s">
        <v>165</v>
      </c>
      <c r="C53" s="127"/>
      <c r="D53" s="232"/>
      <c r="E53" s="92"/>
    </row>
    <row r="54" spans="1:5" s="52" customFormat="1" ht="12" customHeight="1" thickBot="1">
      <c r="A54" s="150" t="s">
        <v>161</v>
      </c>
      <c r="B54" s="138" t="s">
        <v>166</v>
      </c>
      <c r="C54" s="128"/>
      <c r="D54" s="233"/>
      <c r="E54" s="93"/>
    </row>
    <row r="55" spans="1:5" s="52" customFormat="1" ht="12" customHeight="1" thickBot="1">
      <c r="A55" s="25" t="s">
        <v>109</v>
      </c>
      <c r="B55" s="19" t="s">
        <v>167</v>
      </c>
      <c r="C55" s="123">
        <f>SUM(C56:C58)</f>
        <v>0</v>
      </c>
      <c r="D55" s="204">
        <f>SUM(D56:D58)</f>
        <v>0</v>
      </c>
      <c r="E55" s="88">
        <f>SUM(E56:E58)</f>
        <v>0</v>
      </c>
    </row>
    <row r="56" spans="1:5" s="52" customFormat="1" ht="12" customHeight="1">
      <c r="A56" s="148" t="s">
        <v>59</v>
      </c>
      <c r="B56" s="136" t="s">
        <v>168</v>
      </c>
      <c r="C56" s="125"/>
      <c r="D56" s="205"/>
      <c r="E56" s="90"/>
    </row>
    <row r="57" spans="1:5" s="52" customFormat="1" ht="12" customHeight="1">
      <c r="A57" s="149" t="s">
        <v>60</v>
      </c>
      <c r="B57" s="137" t="s">
        <v>273</v>
      </c>
      <c r="C57" s="124"/>
      <c r="D57" s="206"/>
      <c r="E57" s="89"/>
    </row>
    <row r="58" spans="1:5" s="52" customFormat="1" ht="12" customHeight="1">
      <c r="A58" s="149" t="s">
        <v>171</v>
      </c>
      <c r="B58" s="137" t="s">
        <v>169</v>
      </c>
      <c r="C58" s="124"/>
      <c r="D58" s="206"/>
      <c r="E58" s="89"/>
    </row>
    <row r="59" spans="1:5" s="52" customFormat="1" ht="12" customHeight="1" thickBot="1">
      <c r="A59" s="150" t="s">
        <v>172</v>
      </c>
      <c r="B59" s="138" t="s">
        <v>170</v>
      </c>
      <c r="C59" s="126"/>
      <c r="D59" s="207"/>
      <c r="E59" s="91"/>
    </row>
    <row r="60" spans="1:5" s="52" customFormat="1" ht="12" customHeight="1" thickBot="1">
      <c r="A60" s="25" t="s">
        <v>12</v>
      </c>
      <c r="B60" s="95" t="s">
        <v>173</v>
      </c>
      <c r="C60" s="123">
        <f>SUM(C61:C63)</f>
        <v>0</v>
      </c>
      <c r="D60" s="204">
        <f>SUM(D61:D63)</f>
        <v>0</v>
      </c>
      <c r="E60" s="88">
        <f>SUM(E61:E63)</f>
        <v>0</v>
      </c>
    </row>
    <row r="61" spans="1:5" s="52" customFormat="1" ht="12" customHeight="1">
      <c r="A61" s="148" t="s">
        <v>110</v>
      </c>
      <c r="B61" s="136" t="s">
        <v>175</v>
      </c>
      <c r="C61" s="127"/>
      <c r="D61" s="232"/>
      <c r="E61" s="92"/>
    </row>
    <row r="62" spans="1:5" s="52" customFormat="1" ht="12" customHeight="1">
      <c r="A62" s="149" t="s">
        <v>111</v>
      </c>
      <c r="B62" s="137" t="s">
        <v>274</v>
      </c>
      <c r="C62" s="127"/>
      <c r="D62" s="232"/>
      <c r="E62" s="92"/>
    </row>
    <row r="63" spans="1:5" s="52" customFormat="1" ht="12" customHeight="1">
      <c r="A63" s="149" t="s">
        <v>123</v>
      </c>
      <c r="B63" s="137" t="s">
        <v>176</v>
      </c>
      <c r="C63" s="127"/>
      <c r="D63" s="232"/>
      <c r="E63" s="92"/>
    </row>
    <row r="64" spans="1:5" s="52" customFormat="1" ht="12" customHeight="1" thickBot="1">
      <c r="A64" s="150" t="s">
        <v>174</v>
      </c>
      <c r="B64" s="138" t="s">
        <v>177</v>
      </c>
      <c r="C64" s="127"/>
      <c r="D64" s="232"/>
      <c r="E64" s="92"/>
    </row>
    <row r="65" spans="1:5" s="52" customFormat="1" ht="12" customHeight="1" thickBot="1">
      <c r="A65" s="25" t="s">
        <v>13</v>
      </c>
      <c r="B65" s="19" t="s">
        <v>178</v>
      </c>
      <c r="C65" s="129">
        <f>+C8+C15+C22+C29+C37+C49+C55+C60</f>
        <v>148219000</v>
      </c>
      <c r="D65" s="208">
        <f>+D8+D15+D22+D29+D37+D49+D55+D60</f>
        <v>147949885</v>
      </c>
      <c r="E65" s="160">
        <f>+E8+E15+E22+E29+E37+E49+E55+E60</f>
        <v>194880133</v>
      </c>
    </row>
    <row r="66" spans="1:5" s="52" customFormat="1" ht="12" customHeight="1" thickBot="1">
      <c r="A66" s="151" t="s">
        <v>247</v>
      </c>
      <c r="B66" s="95" t="s">
        <v>180</v>
      </c>
      <c r="C66" s="123">
        <f>SUM(C67:C69)</f>
        <v>0</v>
      </c>
      <c r="D66" s="204">
        <f>SUM(D67:D69)</f>
        <v>0</v>
      </c>
      <c r="E66" s="88">
        <f>SUM(E67:E69)</f>
        <v>0</v>
      </c>
    </row>
    <row r="67" spans="1:5" s="52" customFormat="1" ht="12" customHeight="1">
      <c r="A67" s="148" t="s">
        <v>208</v>
      </c>
      <c r="B67" s="136" t="s">
        <v>181</v>
      </c>
      <c r="C67" s="127"/>
      <c r="D67" s="232"/>
      <c r="E67" s="92"/>
    </row>
    <row r="68" spans="1:5" s="52" customFormat="1" ht="12" customHeight="1">
      <c r="A68" s="149" t="s">
        <v>217</v>
      </c>
      <c r="B68" s="137" t="s">
        <v>182</v>
      </c>
      <c r="C68" s="127"/>
      <c r="D68" s="232"/>
      <c r="E68" s="92"/>
    </row>
    <row r="69" spans="1:5" s="52" customFormat="1" ht="12" customHeight="1" thickBot="1">
      <c r="A69" s="150" t="s">
        <v>218</v>
      </c>
      <c r="B69" s="139" t="s">
        <v>183</v>
      </c>
      <c r="C69" s="127"/>
      <c r="D69" s="235"/>
      <c r="E69" s="92"/>
    </row>
    <row r="70" spans="1:5" s="52" customFormat="1" ht="12" customHeight="1" thickBot="1">
      <c r="A70" s="151" t="s">
        <v>184</v>
      </c>
      <c r="B70" s="95" t="s">
        <v>185</v>
      </c>
      <c r="C70" s="123">
        <f>SUM(C71:C74)</f>
        <v>0</v>
      </c>
      <c r="D70" s="123">
        <f>SUM(D71:D74)</f>
        <v>0</v>
      </c>
      <c r="E70" s="88">
        <f>SUM(E71:E74)</f>
        <v>0</v>
      </c>
    </row>
    <row r="71" spans="1:5" s="52" customFormat="1" ht="12" customHeight="1">
      <c r="A71" s="148" t="s">
        <v>95</v>
      </c>
      <c r="B71" s="251" t="s">
        <v>186</v>
      </c>
      <c r="C71" s="127"/>
      <c r="D71" s="127"/>
      <c r="E71" s="92"/>
    </row>
    <row r="72" spans="1:5" s="52" customFormat="1" ht="12" customHeight="1">
      <c r="A72" s="149" t="s">
        <v>96</v>
      </c>
      <c r="B72" s="251" t="s">
        <v>419</v>
      </c>
      <c r="C72" s="127"/>
      <c r="D72" s="127"/>
      <c r="E72" s="92"/>
    </row>
    <row r="73" spans="1:5" s="52" customFormat="1" ht="12" customHeight="1">
      <c r="A73" s="149" t="s">
        <v>209</v>
      </c>
      <c r="B73" s="251" t="s">
        <v>187</v>
      </c>
      <c r="C73" s="127"/>
      <c r="D73" s="127"/>
      <c r="E73" s="92"/>
    </row>
    <row r="74" spans="1:5" s="52" customFormat="1" ht="12" customHeight="1" thickBot="1">
      <c r="A74" s="150" t="s">
        <v>210</v>
      </c>
      <c r="B74" s="252" t="s">
        <v>420</v>
      </c>
      <c r="C74" s="127"/>
      <c r="D74" s="127"/>
      <c r="E74" s="92"/>
    </row>
    <row r="75" spans="1:5" s="52" customFormat="1" ht="12" customHeight="1" thickBot="1">
      <c r="A75" s="151" t="s">
        <v>188</v>
      </c>
      <c r="B75" s="95" t="s">
        <v>189</v>
      </c>
      <c r="C75" s="123">
        <f>SUM(C76:C77)</f>
        <v>0</v>
      </c>
      <c r="D75" s="123">
        <f>SUM(D76:D77)</f>
        <v>0</v>
      </c>
      <c r="E75" s="88">
        <f>SUM(E76:E77)</f>
        <v>0</v>
      </c>
    </row>
    <row r="76" spans="1:5" s="52" customFormat="1" ht="12" customHeight="1">
      <c r="A76" s="148" t="s">
        <v>211</v>
      </c>
      <c r="B76" s="136" t="s">
        <v>190</v>
      </c>
      <c r="C76" s="127"/>
      <c r="D76" s="127"/>
      <c r="E76" s="92"/>
    </row>
    <row r="77" spans="1:5" s="52" customFormat="1" ht="12" customHeight="1" thickBot="1">
      <c r="A77" s="150" t="s">
        <v>212</v>
      </c>
      <c r="B77" s="138" t="s">
        <v>191</v>
      </c>
      <c r="C77" s="127"/>
      <c r="D77" s="127"/>
      <c r="E77" s="92"/>
    </row>
    <row r="78" spans="1:5" s="51" customFormat="1" ht="12" customHeight="1" thickBot="1">
      <c r="A78" s="151" t="s">
        <v>192</v>
      </c>
      <c r="B78" s="95" t="s">
        <v>193</v>
      </c>
      <c r="C78" s="123">
        <f>SUM(C79:C81)</f>
        <v>0</v>
      </c>
      <c r="D78" s="123">
        <f>SUM(D79:D81)</f>
        <v>0</v>
      </c>
      <c r="E78" s="88">
        <f>SUM(E79:E81)</f>
        <v>0</v>
      </c>
    </row>
    <row r="79" spans="1:5" s="52" customFormat="1" ht="12" customHeight="1">
      <c r="A79" s="148" t="s">
        <v>213</v>
      </c>
      <c r="B79" s="136" t="s">
        <v>194</v>
      </c>
      <c r="C79" s="127"/>
      <c r="D79" s="127"/>
      <c r="E79" s="92"/>
    </row>
    <row r="80" spans="1:5" s="52" customFormat="1" ht="12" customHeight="1">
      <c r="A80" s="149" t="s">
        <v>214</v>
      </c>
      <c r="B80" s="137" t="s">
        <v>195</v>
      </c>
      <c r="C80" s="127"/>
      <c r="D80" s="127"/>
      <c r="E80" s="92"/>
    </row>
    <row r="81" spans="1:5" s="52" customFormat="1" ht="12" customHeight="1" thickBot="1">
      <c r="A81" s="150" t="s">
        <v>215</v>
      </c>
      <c r="B81" s="138" t="s">
        <v>421</v>
      </c>
      <c r="C81" s="127"/>
      <c r="D81" s="127"/>
      <c r="E81" s="92"/>
    </row>
    <row r="82" spans="1:5" s="52" customFormat="1" ht="12" customHeight="1" thickBot="1">
      <c r="A82" s="151" t="s">
        <v>196</v>
      </c>
      <c r="B82" s="95" t="s">
        <v>216</v>
      </c>
      <c r="C82" s="123">
        <f>SUM(C83:C86)</f>
        <v>0</v>
      </c>
      <c r="D82" s="123">
        <f>SUM(D83:D86)</f>
        <v>0</v>
      </c>
      <c r="E82" s="88">
        <f>SUM(E83:E86)</f>
        <v>0</v>
      </c>
    </row>
    <row r="83" spans="1:5" s="52" customFormat="1" ht="12" customHeight="1">
      <c r="A83" s="152" t="s">
        <v>197</v>
      </c>
      <c r="B83" s="136" t="s">
        <v>198</v>
      </c>
      <c r="C83" s="127"/>
      <c r="D83" s="127"/>
      <c r="E83" s="92"/>
    </row>
    <row r="84" spans="1:5" s="52" customFormat="1" ht="12" customHeight="1">
      <c r="A84" s="153" t="s">
        <v>199</v>
      </c>
      <c r="B84" s="137" t="s">
        <v>200</v>
      </c>
      <c r="C84" s="127"/>
      <c r="D84" s="127"/>
      <c r="E84" s="92"/>
    </row>
    <row r="85" spans="1:5" s="52" customFormat="1" ht="12" customHeight="1">
      <c r="A85" s="153" t="s">
        <v>201</v>
      </c>
      <c r="B85" s="137" t="s">
        <v>202</v>
      </c>
      <c r="C85" s="127"/>
      <c r="D85" s="127"/>
      <c r="E85" s="92"/>
    </row>
    <row r="86" spans="1:5" s="51" customFormat="1" ht="12" customHeight="1" thickBot="1">
      <c r="A86" s="154" t="s">
        <v>203</v>
      </c>
      <c r="B86" s="138" t="s">
        <v>204</v>
      </c>
      <c r="C86" s="127"/>
      <c r="D86" s="127"/>
      <c r="E86" s="92"/>
    </row>
    <row r="87" spans="1:5" s="51" customFormat="1" ht="12" customHeight="1" thickBot="1">
      <c r="A87" s="151" t="s">
        <v>205</v>
      </c>
      <c r="B87" s="95" t="s">
        <v>319</v>
      </c>
      <c r="C87" s="174"/>
      <c r="D87" s="174"/>
      <c r="E87" s="175"/>
    </row>
    <row r="88" spans="1:5" s="51" customFormat="1" ht="12" customHeight="1" thickBot="1">
      <c r="A88" s="151" t="s">
        <v>334</v>
      </c>
      <c r="B88" s="95" t="s">
        <v>206</v>
      </c>
      <c r="C88" s="174"/>
      <c r="D88" s="174"/>
      <c r="E88" s="175"/>
    </row>
    <row r="89" spans="1:5" s="51" customFormat="1" ht="12" customHeight="1" thickBot="1">
      <c r="A89" s="151" t="s">
        <v>335</v>
      </c>
      <c r="B89" s="143" t="s">
        <v>322</v>
      </c>
      <c r="C89" s="129">
        <f>+C66+C70+C75+C78+C82+C88+C87</f>
        <v>0</v>
      </c>
      <c r="D89" s="129">
        <f>+D66+D70+D75+D78+D82+D88+D87</f>
        <v>0</v>
      </c>
      <c r="E89" s="160">
        <f>+E66+E70+E75+E78+E82+E88+E87</f>
        <v>0</v>
      </c>
    </row>
    <row r="90" spans="1:5" s="51" customFormat="1" ht="12" customHeight="1" thickBot="1">
      <c r="A90" s="155" t="s">
        <v>336</v>
      </c>
      <c r="B90" s="144" t="s">
        <v>337</v>
      </c>
      <c r="C90" s="129">
        <f>+C65+C89</f>
        <v>148219000</v>
      </c>
      <c r="D90" s="129">
        <f>+D65+D89</f>
        <v>147949885</v>
      </c>
      <c r="E90" s="160">
        <f>+E65+E89</f>
        <v>194880133</v>
      </c>
    </row>
    <row r="91" spans="1:3" s="52" customFormat="1" ht="15" customHeight="1" thickBot="1">
      <c r="A91" s="78"/>
      <c r="B91" s="79"/>
      <c r="C91" s="108"/>
    </row>
    <row r="92" spans="1:5" s="46" customFormat="1" ht="16.5" customHeight="1" thickBot="1">
      <c r="A92" s="625" t="s">
        <v>39</v>
      </c>
      <c r="B92" s="626"/>
      <c r="C92" s="626"/>
      <c r="D92" s="626"/>
      <c r="E92" s="627"/>
    </row>
    <row r="93" spans="1:5" s="53" customFormat="1" ht="12" customHeight="1" thickBot="1">
      <c r="A93" s="130" t="s">
        <v>5</v>
      </c>
      <c r="B93" s="24" t="s">
        <v>341</v>
      </c>
      <c r="C93" s="122">
        <f>+C94+C95+C96+C97+C98</f>
        <v>117806231</v>
      </c>
      <c r="D93" s="122">
        <f>+D94+D95+D96+D97+D98</f>
        <v>133468103</v>
      </c>
      <c r="E93" s="187">
        <f>+E94+E95+E96+E97+E98+E111</f>
        <v>92682533</v>
      </c>
    </row>
    <row r="94" spans="1:5" ht="12" customHeight="1">
      <c r="A94" s="156" t="s">
        <v>61</v>
      </c>
      <c r="B94" s="8" t="s">
        <v>34</v>
      </c>
      <c r="C94" s="194">
        <v>13931440</v>
      </c>
      <c r="D94" s="194">
        <v>10302555</v>
      </c>
      <c r="E94" s="188">
        <v>10066204</v>
      </c>
    </row>
    <row r="95" spans="1:5" ht="12" customHeight="1">
      <c r="A95" s="149" t="s">
        <v>62</v>
      </c>
      <c r="B95" s="6" t="s">
        <v>112</v>
      </c>
      <c r="C95" s="124">
        <v>2786034</v>
      </c>
      <c r="D95" s="124">
        <v>2471871</v>
      </c>
      <c r="E95" s="89">
        <v>1964878</v>
      </c>
    </row>
    <row r="96" spans="1:5" ht="12" customHeight="1">
      <c r="A96" s="149" t="s">
        <v>63</v>
      </c>
      <c r="B96" s="6" t="s">
        <v>87</v>
      </c>
      <c r="C96" s="126">
        <v>43386378</v>
      </c>
      <c r="D96" s="124">
        <v>67010137</v>
      </c>
      <c r="E96" s="91">
        <v>56117732</v>
      </c>
    </row>
    <row r="97" spans="1:5" ht="12" customHeight="1">
      <c r="A97" s="149" t="s">
        <v>64</v>
      </c>
      <c r="B97" s="9" t="s">
        <v>113</v>
      </c>
      <c r="C97" s="126">
        <v>3700000</v>
      </c>
      <c r="D97" s="207">
        <v>2951000</v>
      </c>
      <c r="E97" s="91">
        <v>1667282</v>
      </c>
    </row>
    <row r="98" spans="1:5" ht="12" customHeight="1">
      <c r="A98" s="149" t="s">
        <v>73</v>
      </c>
      <c r="B98" s="17" t="s">
        <v>114</v>
      </c>
      <c r="C98" s="126">
        <v>54002379</v>
      </c>
      <c r="D98" s="207">
        <v>50732540</v>
      </c>
      <c r="E98" s="91">
        <v>22866437</v>
      </c>
    </row>
    <row r="99" spans="1:5" ht="12" customHeight="1">
      <c r="A99" s="149" t="s">
        <v>65</v>
      </c>
      <c r="B99" s="6" t="s">
        <v>338</v>
      </c>
      <c r="C99" s="126"/>
      <c r="D99" s="207"/>
      <c r="E99" s="91"/>
    </row>
    <row r="100" spans="1:5" ht="12" customHeight="1">
      <c r="A100" s="149" t="s">
        <v>66</v>
      </c>
      <c r="B100" s="61" t="s">
        <v>285</v>
      </c>
      <c r="C100" s="126"/>
      <c r="D100" s="207"/>
      <c r="E100" s="91"/>
    </row>
    <row r="101" spans="1:5" ht="12" customHeight="1">
      <c r="A101" s="149" t="s">
        <v>74</v>
      </c>
      <c r="B101" s="61" t="s">
        <v>284</v>
      </c>
      <c r="C101" s="126"/>
      <c r="D101" s="207"/>
      <c r="E101" s="91"/>
    </row>
    <row r="102" spans="1:5" ht="12" customHeight="1">
      <c r="A102" s="149" t="s">
        <v>75</v>
      </c>
      <c r="B102" s="61" t="s">
        <v>222</v>
      </c>
      <c r="C102" s="126"/>
      <c r="D102" s="207"/>
      <c r="E102" s="91"/>
    </row>
    <row r="103" spans="1:5" ht="12" customHeight="1">
      <c r="A103" s="149" t="s">
        <v>76</v>
      </c>
      <c r="B103" s="62" t="s">
        <v>223</v>
      </c>
      <c r="C103" s="126"/>
      <c r="D103" s="207"/>
      <c r="E103" s="91"/>
    </row>
    <row r="104" spans="1:5" ht="12" customHeight="1">
      <c r="A104" s="149" t="s">
        <v>77</v>
      </c>
      <c r="B104" s="62" t="s">
        <v>224</v>
      </c>
      <c r="C104" s="126"/>
      <c r="D104" s="207"/>
      <c r="E104" s="91"/>
    </row>
    <row r="105" spans="1:5" ht="12" customHeight="1">
      <c r="A105" s="149" t="s">
        <v>79</v>
      </c>
      <c r="B105" s="61" t="s">
        <v>225</v>
      </c>
      <c r="C105" s="126">
        <v>14000000</v>
      </c>
      <c r="D105" s="207">
        <v>14000000</v>
      </c>
      <c r="E105" s="91">
        <v>13988795</v>
      </c>
    </row>
    <row r="106" spans="1:5" ht="12" customHeight="1">
      <c r="A106" s="149" t="s">
        <v>115</v>
      </c>
      <c r="B106" s="61" t="s">
        <v>226</v>
      </c>
      <c r="C106" s="126"/>
      <c r="D106" s="207"/>
      <c r="E106" s="91"/>
    </row>
    <row r="107" spans="1:5" ht="12" customHeight="1">
      <c r="A107" s="149" t="s">
        <v>220</v>
      </c>
      <c r="B107" s="62" t="s">
        <v>227</v>
      </c>
      <c r="C107" s="124"/>
      <c r="D107" s="207"/>
      <c r="E107" s="91"/>
    </row>
    <row r="108" spans="1:5" ht="12" customHeight="1">
      <c r="A108" s="157" t="s">
        <v>221</v>
      </c>
      <c r="B108" s="63" t="s">
        <v>228</v>
      </c>
      <c r="C108" s="126"/>
      <c r="D108" s="207"/>
      <c r="E108" s="91"/>
    </row>
    <row r="109" spans="1:5" ht="12" customHeight="1">
      <c r="A109" s="149" t="s">
        <v>282</v>
      </c>
      <c r="B109" s="63" t="s">
        <v>229</v>
      </c>
      <c r="C109" s="126"/>
      <c r="D109" s="207"/>
      <c r="E109" s="91"/>
    </row>
    <row r="110" spans="1:5" ht="12" customHeight="1">
      <c r="A110" s="149" t="s">
        <v>283</v>
      </c>
      <c r="B110" s="62" t="s">
        <v>230</v>
      </c>
      <c r="C110" s="124">
        <v>9296492</v>
      </c>
      <c r="D110" s="206">
        <v>9296492</v>
      </c>
      <c r="E110" s="89">
        <v>8646330</v>
      </c>
    </row>
    <row r="111" spans="1:5" ht="12" customHeight="1">
      <c r="A111" s="149" t="s">
        <v>287</v>
      </c>
      <c r="B111" s="9" t="s">
        <v>710</v>
      </c>
      <c r="C111" s="124">
        <v>27205887</v>
      </c>
      <c r="D111" s="206">
        <v>27205887</v>
      </c>
      <c r="E111" s="89"/>
    </row>
    <row r="112" spans="1:5" ht="12" customHeight="1">
      <c r="A112" s="150" t="s">
        <v>288</v>
      </c>
      <c r="B112" s="6" t="s">
        <v>767</v>
      </c>
      <c r="C112" s="126">
        <v>27205887</v>
      </c>
      <c r="D112" s="207">
        <v>27205887</v>
      </c>
      <c r="E112" s="91"/>
    </row>
    <row r="113" spans="1:5" ht="12" customHeight="1" thickBot="1">
      <c r="A113" s="158" t="s">
        <v>289</v>
      </c>
      <c r="B113" s="64" t="s">
        <v>768</v>
      </c>
      <c r="C113" s="195"/>
      <c r="D113" s="238"/>
      <c r="E113" s="189"/>
    </row>
    <row r="114" spans="1:5" ht="12" customHeight="1" thickBot="1">
      <c r="A114" s="25" t="s">
        <v>6</v>
      </c>
      <c r="B114" s="23" t="s">
        <v>231</v>
      </c>
      <c r="C114" s="123">
        <f>+C115+C117+C119</f>
        <v>548312855</v>
      </c>
      <c r="D114" s="204">
        <f>+D115+D117+D119</f>
        <v>545799915</v>
      </c>
      <c r="E114" s="88">
        <f>+E115+E117+E119</f>
        <v>382611347</v>
      </c>
    </row>
    <row r="115" spans="1:5" ht="12" customHeight="1">
      <c r="A115" s="148" t="s">
        <v>67</v>
      </c>
      <c r="B115" s="6" t="s">
        <v>122</v>
      </c>
      <c r="C115" s="125">
        <v>27790890</v>
      </c>
      <c r="D115" s="205">
        <v>30948729</v>
      </c>
      <c r="E115" s="90">
        <v>30948255</v>
      </c>
    </row>
    <row r="116" spans="1:5" ht="12" customHeight="1">
      <c r="A116" s="148" t="s">
        <v>68</v>
      </c>
      <c r="B116" s="10" t="s">
        <v>235</v>
      </c>
      <c r="C116" s="125"/>
      <c r="D116" s="205"/>
      <c r="E116" s="90"/>
    </row>
    <row r="117" spans="1:5" ht="12" customHeight="1">
      <c r="A117" s="148" t="s">
        <v>69</v>
      </c>
      <c r="B117" s="10" t="s">
        <v>116</v>
      </c>
      <c r="C117" s="124">
        <v>516921965</v>
      </c>
      <c r="D117" s="206">
        <v>511251186</v>
      </c>
      <c r="E117" s="89">
        <v>351663092</v>
      </c>
    </row>
    <row r="118" spans="1:5" ht="12" customHeight="1">
      <c r="A118" s="148" t="s">
        <v>70</v>
      </c>
      <c r="B118" s="10" t="s">
        <v>236</v>
      </c>
      <c r="C118" s="124">
        <v>272166519</v>
      </c>
      <c r="D118" s="206">
        <v>272166519</v>
      </c>
      <c r="E118" s="89"/>
    </row>
    <row r="119" spans="1:5" ht="12" customHeight="1">
      <c r="A119" s="148" t="s">
        <v>71</v>
      </c>
      <c r="B119" s="97" t="s">
        <v>124</v>
      </c>
      <c r="C119" s="124">
        <v>3600000</v>
      </c>
      <c r="D119" s="206">
        <v>3600000</v>
      </c>
      <c r="E119" s="89"/>
    </row>
    <row r="120" spans="1:5" ht="12" customHeight="1">
      <c r="A120" s="148" t="s">
        <v>78</v>
      </c>
      <c r="B120" s="96" t="s">
        <v>275</v>
      </c>
      <c r="C120" s="124"/>
      <c r="D120" s="206"/>
      <c r="E120" s="89"/>
    </row>
    <row r="121" spans="1:5" ht="12" customHeight="1">
      <c r="A121" s="148" t="s">
        <v>80</v>
      </c>
      <c r="B121" s="132" t="s">
        <v>241</v>
      </c>
      <c r="C121" s="124"/>
      <c r="D121" s="206"/>
      <c r="E121" s="89"/>
    </row>
    <row r="122" spans="1:5" ht="12" customHeight="1">
      <c r="A122" s="148" t="s">
        <v>117</v>
      </c>
      <c r="B122" s="62" t="s">
        <v>224</v>
      </c>
      <c r="C122" s="124"/>
      <c r="D122" s="206"/>
      <c r="E122" s="89"/>
    </row>
    <row r="123" spans="1:5" ht="12" customHeight="1">
      <c r="A123" s="148" t="s">
        <v>118</v>
      </c>
      <c r="B123" s="62" t="s">
        <v>240</v>
      </c>
      <c r="C123" s="124"/>
      <c r="D123" s="206"/>
      <c r="E123" s="89"/>
    </row>
    <row r="124" spans="1:5" ht="12" customHeight="1">
      <c r="A124" s="148" t="s">
        <v>119</v>
      </c>
      <c r="B124" s="62" t="s">
        <v>239</v>
      </c>
      <c r="C124" s="124"/>
      <c r="D124" s="206"/>
      <c r="E124" s="89"/>
    </row>
    <row r="125" spans="1:5" ht="12" customHeight="1">
      <c r="A125" s="148" t="s">
        <v>232</v>
      </c>
      <c r="B125" s="62" t="s">
        <v>227</v>
      </c>
      <c r="C125" s="124"/>
      <c r="D125" s="206"/>
      <c r="E125" s="89"/>
    </row>
    <row r="126" spans="1:5" ht="12" customHeight="1">
      <c r="A126" s="148" t="s">
        <v>233</v>
      </c>
      <c r="B126" s="62" t="s">
        <v>238</v>
      </c>
      <c r="C126" s="124"/>
      <c r="D126" s="206"/>
      <c r="E126" s="89"/>
    </row>
    <row r="127" spans="1:5" ht="12" customHeight="1" thickBot="1">
      <c r="A127" s="157" t="s">
        <v>234</v>
      </c>
      <c r="B127" s="62" t="s">
        <v>237</v>
      </c>
      <c r="C127" s="126">
        <v>3600000</v>
      </c>
      <c r="D127" s="207">
        <v>3600000</v>
      </c>
      <c r="E127" s="91"/>
    </row>
    <row r="128" spans="1:5" ht="12" customHeight="1" thickBot="1">
      <c r="A128" s="25" t="s">
        <v>7</v>
      </c>
      <c r="B128" s="56" t="s">
        <v>292</v>
      </c>
      <c r="C128" s="123">
        <f>+C93+C114</f>
        <v>666119086</v>
      </c>
      <c r="D128" s="204">
        <f>+D93+D114</f>
        <v>679268018</v>
      </c>
      <c r="E128" s="88">
        <f>+E93+E114</f>
        <v>475293880</v>
      </c>
    </row>
    <row r="129" spans="1:5" ht="12" customHeight="1" thickBot="1">
      <c r="A129" s="25" t="s">
        <v>8</v>
      </c>
      <c r="B129" s="56" t="s">
        <v>293</v>
      </c>
      <c r="C129" s="123">
        <f>+C130+C131+C132</f>
        <v>0</v>
      </c>
      <c r="D129" s="204">
        <f>+D130+D131+D132</f>
        <v>0</v>
      </c>
      <c r="E129" s="88">
        <f>+E130+E131+E132</f>
        <v>0</v>
      </c>
    </row>
    <row r="130" spans="1:5" s="53" customFormat="1" ht="12" customHeight="1">
      <c r="A130" s="148" t="s">
        <v>141</v>
      </c>
      <c r="B130" s="7" t="s">
        <v>344</v>
      </c>
      <c r="C130" s="124"/>
      <c r="D130" s="206"/>
      <c r="E130" s="89"/>
    </row>
    <row r="131" spans="1:5" ht="12" customHeight="1">
      <c r="A131" s="148" t="s">
        <v>142</v>
      </c>
      <c r="B131" s="7" t="s">
        <v>301</v>
      </c>
      <c r="C131" s="124"/>
      <c r="D131" s="206"/>
      <c r="E131" s="89"/>
    </row>
    <row r="132" spans="1:5" ht="12" customHeight="1" thickBot="1">
      <c r="A132" s="157" t="s">
        <v>143</v>
      </c>
      <c r="B132" s="5" t="s">
        <v>343</v>
      </c>
      <c r="C132" s="124"/>
      <c r="D132" s="206"/>
      <c r="E132" s="89"/>
    </row>
    <row r="133" spans="1:5" ht="12" customHeight="1" thickBot="1">
      <c r="A133" s="25" t="s">
        <v>9</v>
      </c>
      <c r="B133" s="56" t="s">
        <v>294</v>
      </c>
      <c r="C133" s="123">
        <f>+C134+C135+C136+C137+C138+C139</f>
        <v>0</v>
      </c>
      <c r="D133" s="204">
        <f>+D134+D135+D136+D137+D138+D139</f>
        <v>0</v>
      </c>
      <c r="E133" s="88">
        <f>+E134+E135+E136+E137+E138+E139</f>
        <v>0</v>
      </c>
    </row>
    <row r="134" spans="1:5" ht="12" customHeight="1">
      <c r="A134" s="148" t="s">
        <v>54</v>
      </c>
      <c r="B134" s="7" t="s">
        <v>303</v>
      </c>
      <c r="C134" s="124"/>
      <c r="D134" s="206"/>
      <c r="E134" s="89"/>
    </row>
    <row r="135" spans="1:5" ht="12" customHeight="1">
      <c r="A135" s="148" t="s">
        <v>55</v>
      </c>
      <c r="B135" s="7" t="s">
        <v>295</v>
      </c>
      <c r="C135" s="124"/>
      <c r="D135" s="206"/>
      <c r="E135" s="89"/>
    </row>
    <row r="136" spans="1:5" ht="12" customHeight="1">
      <c r="A136" s="148" t="s">
        <v>56</v>
      </c>
      <c r="B136" s="7" t="s">
        <v>296</v>
      </c>
      <c r="C136" s="124"/>
      <c r="D136" s="206"/>
      <c r="E136" s="89"/>
    </row>
    <row r="137" spans="1:5" ht="12" customHeight="1">
      <c r="A137" s="148" t="s">
        <v>104</v>
      </c>
      <c r="B137" s="7" t="s">
        <v>342</v>
      </c>
      <c r="C137" s="124"/>
      <c r="D137" s="206"/>
      <c r="E137" s="89"/>
    </row>
    <row r="138" spans="1:5" ht="12" customHeight="1">
      <c r="A138" s="148" t="s">
        <v>105</v>
      </c>
      <c r="B138" s="7" t="s">
        <v>298</v>
      </c>
      <c r="C138" s="124"/>
      <c r="D138" s="206"/>
      <c r="E138" s="89"/>
    </row>
    <row r="139" spans="1:5" s="53" customFormat="1" ht="12" customHeight="1" thickBot="1">
      <c r="A139" s="157" t="s">
        <v>106</v>
      </c>
      <c r="B139" s="5" t="s">
        <v>299</v>
      </c>
      <c r="C139" s="124"/>
      <c r="D139" s="206"/>
      <c r="E139" s="89"/>
    </row>
    <row r="140" spans="1:11" ht="12" customHeight="1" thickBot="1">
      <c r="A140" s="25" t="s">
        <v>10</v>
      </c>
      <c r="B140" s="56" t="s">
        <v>357</v>
      </c>
      <c r="C140" s="129">
        <f>+C141+C142+C144+C145+C143</f>
        <v>0</v>
      </c>
      <c r="D140" s="208">
        <f>+D141+D142+D144+D145+D143</f>
        <v>0</v>
      </c>
      <c r="E140" s="160">
        <f>+E141+E142+E144+E145+E143</f>
        <v>0</v>
      </c>
      <c r="K140" s="87"/>
    </row>
    <row r="141" spans="1:5" ht="12.75">
      <c r="A141" s="148" t="s">
        <v>57</v>
      </c>
      <c r="B141" s="7" t="s">
        <v>242</v>
      </c>
      <c r="C141" s="124"/>
      <c r="D141" s="206"/>
      <c r="E141" s="89"/>
    </row>
    <row r="142" spans="1:5" ht="12" customHeight="1">
      <c r="A142" s="148" t="s">
        <v>58</v>
      </c>
      <c r="B142" s="7" t="s">
        <v>243</v>
      </c>
      <c r="C142" s="124"/>
      <c r="D142" s="206"/>
      <c r="E142" s="89"/>
    </row>
    <row r="143" spans="1:5" ht="12" customHeight="1">
      <c r="A143" s="148" t="s">
        <v>159</v>
      </c>
      <c r="B143" s="7" t="s">
        <v>356</v>
      </c>
      <c r="C143" s="124"/>
      <c r="D143" s="206"/>
      <c r="E143" s="89"/>
    </row>
    <row r="144" spans="1:5" s="53" customFormat="1" ht="12" customHeight="1">
      <c r="A144" s="148" t="s">
        <v>160</v>
      </c>
      <c r="B144" s="7" t="s">
        <v>308</v>
      </c>
      <c r="C144" s="124"/>
      <c r="D144" s="206"/>
      <c r="E144" s="89"/>
    </row>
    <row r="145" spans="1:5" s="53" customFormat="1" ht="12" customHeight="1" thickBot="1">
      <c r="A145" s="157" t="s">
        <v>161</v>
      </c>
      <c r="B145" s="5" t="s">
        <v>246</v>
      </c>
      <c r="C145" s="124"/>
      <c r="D145" s="206"/>
      <c r="E145" s="89"/>
    </row>
    <row r="146" spans="1:5" s="53" customFormat="1" ht="12" customHeight="1" thickBot="1">
      <c r="A146" s="25" t="s">
        <v>11</v>
      </c>
      <c r="B146" s="56" t="s">
        <v>309</v>
      </c>
      <c r="C146" s="197">
        <f>+C147+C148+C149+C150+C151</f>
        <v>0</v>
      </c>
      <c r="D146" s="209">
        <f>+D147+D148+D149+D150+D151</f>
        <v>0</v>
      </c>
      <c r="E146" s="191">
        <f>+E147+E148+E149+E150+E151</f>
        <v>0</v>
      </c>
    </row>
    <row r="147" spans="1:5" s="53" customFormat="1" ht="12" customHeight="1">
      <c r="A147" s="148" t="s">
        <v>59</v>
      </c>
      <c r="B147" s="7" t="s">
        <v>304</v>
      </c>
      <c r="C147" s="124"/>
      <c r="D147" s="206"/>
      <c r="E147" s="89"/>
    </row>
    <row r="148" spans="1:5" s="53" customFormat="1" ht="12" customHeight="1">
      <c r="A148" s="148" t="s">
        <v>60</v>
      </c>
      <c r="B148" s="7" t="s">
        <v>311</v>
      </c>
      <c r="C148" s="124"/>
      <c r="D148" s="206"/>
      <c r="E148" s="89"/>
    </row>
    <row r="149" spans="1:5" s="53" customFormat="1" ht="12" customHeight="1">
      <c r="A149" s="148" t="s">
        <v>171</v>
      </c>
      <c r="B149" s="7" t="s">
        <v>306</v>
      </c>
      <c r="C149" s="124"/>
      <c r="D149" s="206"/>
      <c r="E149" s="89"/>
    </row>
    <row r="150" spans="1:5" s="53" customFormat="1" ht="12" customHeight="1">
      <c r="A150" s="148" t="s">
        <v>172</v>
      </c>
      <c r="B150" s="7" t="s">
        <v>345</v>
      </c>
      <c r="C150" s="124"/>
      <c r="D150" s="206"/>
      <c r="E150" s="89"/>
    </row>
    <row r="151" spans="1:5" ht="12.75" customHeight="1" thickBot="1">
      <c r="A151" s="157" t="s">
        <v>310</v>
      </c>
      <c r="B151" s="5" t="s">
        <v>313</v>
      </c>
      <c r="C151" s="126"/>
      <c r="D151" s="207"/>
      <c r="E151" s="91"/>
    </row>
    <row r="152" spans="1:5" ht="12.75" customHeight="1" thickBot="1">
      <c r="A152" s="186" t="s">
        <v>12</v>
      </c>
      <c r="B152" s="56" t="s">
        <v>314</v>
      </c>
      <c r="C152" s="197"/>
      <c r="D152" s="209"/>
      <c r="E152" s="191"/>
    </row>
    <row r="153" spans="1:5" ht="12.75" customHeight="1" thickBot="1">
      <c r="A153" s="186" t="s">
        <v>13</v>
      </c>
      <c r="B153" s="56" t="s">
        <v>315</v>
      </c>
      <c r="C153" s="197"/>
      <c r="D153" s="209"/>
      <c r="E153" s="191"/>
    </row>
    <row r="154" spans="1:5" ht="12" customHeight="1" thickBot="1">
      <c r="A154" s="25" t="s">
        <v>14</v>
      </c>
      <c r="B154" s="56" t="s">
        <v>317</v>
      </c>
      <c r="C154" s="199">
        <f>+C129+C133+C140+C146+C152+C153</f>
        <v>0</v>
      </c>
      <c r="D154" s="211">
        <f>+D129+D133+D140+D146+D152+D153</f>
        <v>0</v>
      </c>
      <c r="E154" s="193">
        <f>+E129+E133+E140+E146+E152+E153</f>
        <v>0</v>
      </c>
    </row>
    <row r="155" spans="1:5" ht="15" customHeight="1" thickBot="1">
      <c r="A155" s="159" t="s">
        <v>15</v>
      </c>
      <c r="B155" s="113" t="s">
        <v>316</v>
      </c>
      <c r="C155" s="199">
        <f>+C128+C154</f>
        <v>666119086</v>
      </c>
      <c r="D155" s="211">
        <f>+D128+D154</f>
        <v>679268018</v>
      </c>
      <c r="E155" s="193">
        <f>+E128+E154</f>
        <v>475293880</v>
      </c>
    </row>
    <row r="156" spans="1:5" ht="13.5" thickBot="1">
      <c r="A156" s="116"/>
      <c r="B156" s="117"/>
      <c r="C156" s="458">
        <f>C90-C155</f>
        <v>-517900086</v>
      </c>
      <c r="D156" s="458">
        <f>D90-D155</f>
        <v>-531318133</v>
      </c>
      <c r="E156" s="118"/>
    </row>
    <row r="157" spans="1:5" ht="15" customHeight="1" thickBot="1">
      <c r="A157" s="247" t="s">
        <v>416</v>
      </c>
      <c r="B157" s="248"/>
      <c r="C157" s="237"/>
      <c r="D157" s="237"/>
      <c r="E157" s="236"/>
    </row>
    <row r="158" spans="1:5" ht="14.25" customHeight="1" thickBot="1">
      <c r="A158" s="249" t="s">
        <v>417</v>
      </c>
      <c r="B158" s="250"/>
      <c r="C158" s="237"/>
      <c r="D158" s="237"/>
      <c r="E158" s="236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8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158"/>
  <sheetViews>
    <sheetView zoomScale="120" zoomScaleNormal="120" zoomScaleSheetLayoutView="100" workbookViewId="0" topLeftCell="A1">
      <selection activeCell="K143" sqref="K143"/>
    </sheetView>
  </sheetViews>
  <sheetFormatPr defaultColWidth="9.00390625" defaultRowHeight="12.75"/>
  <cols>
    <col min="1" max="1" width="16.125" style="119" customWidth="1"/>
    <col min="2" max="2" width="62.00390625" style="120" customWidth="1"/>
    <col min="3" max="3" width="14.125" style="12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265"/>
      <c r="B1" s="629" t="str">
        <f>CONCATENATE("6.1.3. melléklet ",Z_ALAPADATOK!A7," ",Z_ALAPADATOK!B7," ",Z_ALAPADATOK!C7," ",Z_ALAPADATOK!D7," ",Z_ALAPADATOK!E7," ",Z_ALAPADATOK!F7," ",Z_ALAPADATOK!G7," ",Z_ALAPADATOK!H7)</f>
        <v>6.1.3. melléklet a 12 / 2020. ( VI.11. ) önkormányzati rendelethez</v>
      </c>
      <c r="C1" s="630"/>
      <c r="D1" s="630"/>
      <c r="E1" s="630"/>
    </row>
    <row r="2" spans="1:5" s="49" customFormat="1" ht="21" customHeight="1" thickBot="1">
      <c r="A2" s="274" t="s">
        <v>43</v>
      </c>
      <c r="B2" s="628" t="str">
        <f>CONCATENATE(Z_ALAPADATOK!A3)</f>
        <v>Karácsond Községi Önkormányzat</v>
      </c>
      <c r="C2" s="628"/>
      <c r="D2" s="628"/>
      <c r="E2" s="275" t="s">
        <v>37</v>
      </c>
    </row>
    <row r="3" spans="1:5" s="49" customFormat="1" ht="24.75" thickBot="1">
      <c r="A3" s="274" t="s">
        <v>120</v>
      </c>
      <c r="B3" s="628" t="s">
        <v>355</v>
      </c>
      <c r="C3" s="628"/>
      <c r="D3" s="628"/>
      <c r="E3" s="276" t="s">
        <v>41</v>
      </c>
    </row>
    <row r="4" spans="1:5" s="50" customFormat="1" ht="15.75" customHeight="1" thickBot="1">
      <c r="A4" s="268"/>
      <c r="B4" s="268"/>
      <c r="C4" s="269"/>
      <c r="D4" s="270"/>
      <c r="E4" s="269" t="str">
        <f>'ÖNK Önként váll.'!E4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CONCATENATE('ÖNK Önként váll.'!E5)</f>
        <v>Teljesítés
2019. XII. 31.</v>
      </c>
    </row>
    <row r="6" spans="1:5" s="46" customFormat="1" ht="12.75" customHeight="1" thickBot="1">
      <c r="A6" s="68" t="s">
        <v>325</v>
      </c>
      <c r="B6" s="69" t="s">
        <v>326</v>
      </c>
      <c r="C6" s="69" t="s">
        <v>327</v>
      </c>
      <c r="D6" s="231" t="s">
        <v>329</v>
      </c>
      <c r="E6" s="70" t="s">
        <v>328</v>
      </c>
    </row>
    <row r="7" spans="1:5" s="46" customFormat="1" ht="15.75" customHeight="1" thickBot="1">
      <c r="A7" s="625" t="s">
        <v>38</v>
      </c>
      <c r="B7" s="626"/>
      <c r="C7" s="626"/>
      <c r="D7" s="626"/>
      <c r="E7" s="627"/>
    </row>
    <row r="8" spans="1:5" s="46" customFormat="1" ht="12" customHeight="1" thickBot="1">
      <c r="A8" s="25" t="s">
        <v>5</v>
      </c>
      <c r="B8" s="19" t="s">
        <v>126</v>
      </c>
      <c r="C8" s="123">
        <f>+C9+C10+C11+C12+C13+C14</f>
        <v>0</v>
      </c>
      <c r="D8" s="204">
        <f>+D9+D10+D11+D12+D13+D14</f>
        <v>0</v>
      </c>
      <c r="E8" s="88">
        <f>+E9+E10+E11+E12+E13+E14</f>
        <v>0</v>
      </c>
    </row>
    <row r="9" spans="1:5" s="51" customFormat="1" ht="12" customHeight="1">
      <c r="A9" s="148" t="s">
        <v>61</v>
      </c>
      <c r="B9" s="136" t="s">
        <v>127</v>
      </c>
      <c r="C9" s="125"/>
      <c r="D9" s="205"/>
      <c r="E9" s="90"/>
    </row>
    <row r="10" spans="1:5" s="52" customFormat="1" ht="12" customHeight="1">
      <c r="A10" s="149" t="s">
        <v>62</v>
      </c>
      <c r="B10" s="137" t="s">
        <v>128</v>
      </c>
      <c r="C10" s="124"/>
      <c r="D10" s="206"/>
      <c r="E10" s="89"/>
    </row>
    <row r="11" spans="1:5" s="52" customFormat="1" ht="12" customHeight="1">
      <c r="A11" s="149" t="s">
        <v>63</v>
      </c>
      <c r="B11" s="137" t="s">
        <v>129</v>
      </c>
      <c r="C11" s="124"/>
      <c r="D11" s="206"/>
      <c r="E11" s="89"/>
    </row>
    <row r="12" spans="1:5" s="52" customFormat="1" ht="12" customHeight="1">
      <c r="A12" s="149" t="s">
        <v>64</v>
      </c>
      <c r="B12" s="137" t="s">
        <v>130</v>
      </c>
      <c r="C12" s="124"/>
      <c r="D12" s="206"/>
      <c r="E12" s="89"/>
    </row>
    <row r="13" spans="1:5" s="52" customFormat="1" ht="12" customHeight="1">
      <c r="A13" s="149" t="s">
        <v>94</v>
      </c>
      <c r="B13" s="137" t="s">
        <v>333</v>
      </c>
      <c r="C13" s="124"/>
      <c r="D13" s="206"/>
      <c r="E13" s="89"/>
    </row>
    <row r="14" spans="1:5" s="51" customFormat="1" ht="12" customHeight="1" thickBot="1">
      <c r="A14" s="150" t="s">
        <v>65</v>
      </c>
      <c r="B14" s="138" t="s">
        <v>277</v>
      </c>
      <c r="C14" s="124"/>
      <c r="D14" s="206"/>
      <c r="E14" s="89"/>
    </row>
    <row r="15" spans="1:5" s="51" customFormat="1" ht="12" customHeight="1" thickBot="1">
      <c r="A15" s="25" t="s">
        <v>6</v>
      </c>
      <c r="B15" s="95" t="s">
        <v>131</v>
      </c>
      <c r="C15" s="123">
        <f>+C16+C17+C18+C19+C20</f>
        <v>0</v>
      </c>
      <c r="D15" s="204">
        <f>+D16+D17+D18+D19+D20</f>
        <v>0</v>
      </c>
      <c r="E15" s="88">
        <f>+E16+E17+E18+E19+E20</f>
        <v>0</v>
      </c>
    </row>
    <row r="16" spans="1:5" s="51" customFormat="1" ht="12" customHeight="1">
      <c r="A16" s="148" t="s">
        <v>67</v>
      </c>
      <c r="B16" s="136" t="s">
        <v>132</v>
      </c>
      <c r="C16" s="125"/>
      <c r="D16" s="205"/>
      <c r="E16" s="90"/>
    </row>
    <row r="17" spans="1:5" s="51" customFormat="1" ht="12" customHeight="1">
      <c r="A17" s="149" t="s">
        <v>68</v>
      </c>
      <c r="B17" s="137" t="s">
        <v>133</v>
      </c>
      <c r="C17" s="124"/>
      <c r="D17" s="206"/>
      <c r="E17" s="89"/>
    </row>
    <row r="18" spans="1:5" s="51" customFormat="1" ht="12" customHeight="1">
      <c r="A18" s="149" t="s">
        <v>69</v>
      </c>
      <c r="B18" s="137" t="s">
        <v>269</v>
      </c>
      <c r="C18" s="124"/>
      <c r="D18" s="206"/>
      <c r="E18" s="89"/>
    </row>
    <row r="19" spans="1:5" s="51" customFormat="1" ht="12" customHeight="1">
      <c r="A19" s="149" t="s">
        <v>70</v>
      </c>
      <c r="B19" s="137" t="s">
        <v>270</v>
      </c>
      <c r="C19" s="124"/>
      <c r="D19" s="206"/>
      <c r="E19" s="89"/>
    </row>
    <row r="20" spans="1:5" s="51" customFormat="1" ht="12" customHeight="1">
      <c r="A20" s="149" t="s">
        <v>71</v>
      </c>
      <c r="B20" s="137" t="s">
        <v>134</v>
      </c>
      <c r="C20" s="124"/>
      <c r="D20" s="206"/>
      <c r="E20" s="89"/>
    </row>
    <row r="21" spans="1:5" s="52" customFormat="1" ht="12" customHeight="1" thickBot="1">
      <c r="A21" s="150" t="s">
        <v>78</v>
      </c>
      <c r="B21" s="138" t="s">
        <v>135</v>
      </c>
      <c r="C21" s="126"/>
      <c r="D21" s="207"/>
      <c r="E21" s="91"/>
    </row>
    <row r="22" spans="1:5" s="52" customFormat="1" ht="12" customHeight="1" thickBot="1">
      <c r="A22" s="25" t="s">
        <v>7</v>
      </c>
      <c r="B22" s="19" t="s">
        <v>136</v>
      </c>
      <c r="C22" s="123">
        <f>+C23+C24+C25+C26+C27</f>
        <v>0</v>
      </c>
      <c r="D22" s="204">
        <f>+D23+D24+D25+D26+D27</f>
        <v>0</v>
      </c>
      <c r="E22" s="88">
        <f>+E23+E24+E25+E26+E27</f>
        <v>0</v>
      </c>
    </row>
    <row r="23" spans="1:5" s="52" customFormat="1" ht="12" customHeight="1">
      <c r="A23" s="148" t="s">
        <v>50</v>
      </c>
      <c r="B23" s="136" t="s">
        <v>137</v>
      </c>
      <c r="C23" s="125"/>
      <c r="D23" s="205"/>
      <c r="E23" s="90"/>
    </row>
    <row r="24" spans="1:5" s="51" customFormat="1" ht="12" customHeight="1">
      <c r="A24" s="149" t="s">
        <v>51</v>
      </c>
      <c r="B24" s="137" t="s">
        <v>138</v>
      </c>
      <c r="C24" s="124"/>
      <c r="D24" s="206"/>
      <c r="E24" s="89"/>
    </row>
    <row r="25" spans="1:5" s="52" customFormat="1" ht="12" customHeight="1">
      <c r="A25" s="149" t="s">
        <v>52</v>
      </c>
      <c r="B25" s="137" t="s">
        <v>271</v>
      </c>
      <c r="C25" s="124"/>
      <c r="D25" s="206"/>
      <c r="E25" s="89"/>
    </row>
    <row r="26" spans="1:5" s="52" customFormat="1" ht="12" customHeight="1">
      <c r="A26" s="149" t="s">
        <v>53</v>
      </c>
      <c r="B26" s="137" t="s">
        <v>272</v>
      </c>
      <c r="C26" s="124"/>
      <c r="D26" s="206"/>
      <c r="E26" s="89"/>
    </row>
    <row r="27" spans="1:5" s="52" customFormat="1" ht="12" customHeight="1">
      <c r="A27" s="149" t="s">
        <v>100</v>
      </c>
      <c r="B27" s="137" t="s">
        <v>139</v>
      </c>
      <c r="C27" s="124"/>
      <c r="D27" s="206"/>
      <c r="E27" s="89"/>
    </row>
    <row r="28" spans="1:5" s="52" customFormat="1" ht="12" customHeight="1" thickBot="1">
      <c r="A28" s="150" t="s">
        <v>101</v>
      </c>
      <c r="B28" s="138" t="s">
        <v>140</v>
      </c>
      <c r="C28" s="126"/>
      <c r="D28" s="207"/>
      <c r="E28" s="91"/>
    </row>
    <row r="29" spans="1:5" s="52" customFormat="1" ht="12" customHeight="1" thickBot="1">
      <c r="A29" s="25" t="s">
        <v>102</v>
      </c>
      <c r="B29" s="19" t="s">
        <v>409</v>
      </c>
      <c r="C29" s="129">
        <f>SUM(C30:C36)</f>
        <v>0</v>
      </c>
      <c r="D29" s="129">
        <f>SUM(D30:D36)</f>
        <v>0</v>
      </c>
      <c r="E29" s="160">
        <f>SUM(E30:E36)</f>
        <v>0</v>
      </c>
    </row>
    <row r="30" spans="1:5" s="52" customFormat="1" ht="12" customHeight="1">
      <c r="A30" s="148" t="s">
        <v>141</v>
      </c>
      <c r="B30" s="136" t="str">
        <f>'ÖSSZ.ÖNK'!B33</f>
        <v>Kommunális adó</v>
      </c>
      <c r="C30" s="125"/>
      <c r="D30" s="125"/>
      <c r="E30" s="90"/>
    </row>
    <row r="31" spans="1:5" s="52" customFormat="1" ht="12" customHeight="1">
      <c r="A31" s="149" t="s">
        <v>142</v>
      </c>
      <c r="B31" s="136" t="str">
        <f>'ÖSSZ.ÖNK'!B34</f>
        <v>Iparűzési adó</v>
      </c>
      <c r="C31" s="124"/>
      <c r="D31" s="124"/>
      <c r="E31" s="89"/>
    </row>
    <row r="32" spans="1:5" s="52" customFormat="1" ht="12" customHeight="1">
      <c r="A32" s="149" t="s">
        <v>143</v>
      </c>
      <c r="B32" s="136" t="str">
        <f>'ÖSSZ.ÖNK'!B35</f>
        <v>Gépjárműadó</v>
      </c>
      <c r="C32" s="124"/>
      <c r="D32" s="124"/>
      <c r="E32" s="89"/>
    </row>
    <row r="33" spans="1:5" s="52" customFormat="1" ht="12" customHeight="1">
      <c r="A33" s="149" t="s">
        <v>144</v>
      </c>
      <c r="B33" s="136" t="str">
        <f>'ÖSSZ.ÖNK'!B36</f>
        <v>Idegenforgalmi adó</v>
      </c>
      <c r="C33" s="124"/>
      <c r="D33" s="124"/>
      <c r="E33" s="89"/>
    </row>
    <row r="34" spans="1:5" s="52" customFormat="1" ht="12" customHeight="1">
      <c r="A34" s="149" t="s">
        <v>411</v>
      </c>
      <c r="B34" s="136" t="str">
        <f>'ÖSSZ.ÖNK'!B37</f>
        <v>Egyéb közhatalmi bevételek</v>
      </c>
      <c r="C34" s="124"/>
      <c r="D34" s="124"/>
      <c r="E34" s="89"/>
    </row>
    <row r="35" spans="1:5" s="52" customFormat="1" ht="12" customHeight="1">
      <c r="A35" s="149" t="s">
        <v>412</v>
      </c>
      <c r="B35" s="136" t="str">
        <f>'ÖSSZ.ÖNK'!B38</f>
        <v>     -ebből: igazgatási szolgáltatási díjak</v>
      </c>
      <c r="C35" s="124"/>
      <c r="D35" s="124"/>
      <c r="E35" s="89"/>
    </row>
    <row r="36" spans="1:5" s="52" customFormat="1" ht="12" customHeight="1" thickBot="1">
      <c r="A36" s="150" t="s">
        <v>413</v>
      </c>
      <c r="B36" s="136" t="str">
        <f>'ÖSSZ.ÖNK'!B39</f>
        <v>     -ebből: egyéb bírság</v>
      </c>
      <c r="C36" s="126"/>
      <c r="D36" s="126"/>
      <c r="E36" s="91"/>
    </row>
    <row r="37" spans="1:5" s="52" customFormat="1" ht="12" customHeight="1" thickBot="1">
      <c r="A37" s="25" t="s">
        <v>9</v>
      </c>
      <c r="B37" s="19" t="s">
        <v>278</v>
      </c>
      <c r="C37" s="123">
        <f>SUM(C38:C48)</f>
        <v>0</v>
      </c>
      <c r="D37" s="204">
        <f>SUM(D38:D48)</f>
        <v>0</v>
      </c>
      <c r="E37" s="88">
        <f>SUM(E38:E48)</f>
        <v>0</v>
      </c>
    </row>
    <row r="38" spans="1:5" s="52" customFormat="1" ht="12" customHeight="1">
      <c r="A38" s="148" t="s">
        <v>54</v>
      </c>
      <c r="B38" s="136" t="s">
        <v>148</v>
      </c>
      <c r="C38" s="125"/>
      <c r="D38" s="205"/>
      <c r="E38" s="90"/>
    </row>
    <row r="39" spans="1:5" s="52" customFormat="1" ht="12" customHeight="1">
      <c r="A39" s="149" t="s">
        <v>55</v>
      </c>
      <c r="B39" s="137" t="s">
        <v>149</v>
      </c>
      <c r="C39" s="124"/>
      <c r="D39" s="206"/>
      <c r="E39" s="89"/>
    </row>
    <row r="40" spans="1:5" s="52" customFormat="1" ht="12" customHeight="1">
      <c r="A40" s="149" t="s">
        <v>56</v>
      </c>
      <c r="B40" s="137" t="s">
        <v>150</v>
      </c>
      <c r="C40" s="124"/>
      <c r="D40" s="206"/>
      <c r="E40" s="89"/>
    </row>
    <row r="41" spans="1:5" s="52" customFormat="1" ht="12" customHeight="1">
      <c r="A41" s="149" t="s">
        <v>104</v>
      </c>
      <c r="B41" s="137" t="s">
        <v>151</v>
      </c>
      <c r="C41" s="124"/>
      <c r="D41" s="206"/>
      <c r="E41" s="89"/>
    </row>
    <row r="42" spans="1:5" s="52" customFormat="1" ht="12" customHeight="1">
      <c r="A42" s="149" t="s">
        <v>105</v>
      </c>
      <c r="B42" s="137" t="s">
        <v>152</v>
      </c>
      <c r="C42" s="124"/>
      <c r="D42" s="206"/>
      <c r="E42" s="89"/>
    </row>
    <row r="43" spans="1:5" s="52" customFormat="1" ht="12" customHeight="1">
      <c r="A43" s="149" t="s">
        <v>106</v>
      </c>
      <c r="B43" s="137" t="s">
        <v>153</v>
      </c>
      <c r="C43" s="124"/>
      <c r="D43" s="206"/>
      <c r="E43" s="89"/>
    </row>
    <row r="44" spans="1:5" s="52" customFormat="1" ht="12" customHeight="1">
      <c r="A44" s="149" t="s">
        <v>107</v>
      </c>
      <c r="B44" s="137" t="s">
        <v>154</v>
      </c>
      <c r="C44" s="124"/>
      <c r="D44" s="206"/>
      <c r="E44" s="89"/>
    </row>
    <row r="45" spans="1:5" s="52" customFormat="1" ht="12" customHeight="1">
      <c r="A45" s="149" t="s">
        <v>108</v>
      </c>
      <c r="B45" s="137" t="s">
        <v>414</v>
      </c>
      <c r="C45" s="124"/>
      <c r="D45" s="206"/>
      <c r="E45" s="89"/>
    </row>
    <row r="46" spans="1:5" s="52" customFormat="1" ht="12" customHeight="1">
      <c r="A46" s="149" t="s">
        <v>146</v>
      </c>
      <c r="B46" s="137" t="s">
        <v>156</v>
      </c>
      <c r="C46" s="127"/>
      <c r="D46" s="232"/>
      <c r="E46" s="92"/>
    </row>
    <row r="47" spans="1:5" s="52" customFormat="1" ht="12" customHeight="1">
      <c r="A47" s="150" t="s">
        <v>147</v>
      </c>
      <c r="B47" s="138" t="s">
        <v>280</v>
      </c>
      <c r="C47" s="128"/>
      <c r="D47" s="233"/>
      <c r="E47" s="93"/>
    </row>
    <row r="48" spans="1:5" s="52" customFormat="1" ht="12" customHeight="1" thickBot="1">
      <c r="A48" s="150" t="s">
        <v>279</v>
      </c>
      <c r="B48" s="138" t="s">
        <v>157</v>
      </c>
      <c r="C48" s="128"/>
      <c r="D48" s="233"/>
      <c r="E48" s="93"/>
    </row>
    <row r="49" spans="1:5" s="52" customFormat="1" ht="12" customHeight="1" thickBot="1">
      <c r="A49" s="25" t="s">
        <v>10</v>
      </c>
      <c r="B49" s="19" t="s">
        <v>158</v>
      </c>
      <c r="C49" s="123">
        <f>SUM(C50:C54)</f>
        <v>0</v>
      </c>
      <c r="D49" s="204">
        <f>SUM(D50:D54)</f>
        <v>0</v>
      </c>
      <c r="E49" s="88">
        <f>SUM(E50:E54)</f>
        <v>0</v>
      </c>
    </row>
    <row r="50" spans="1:5" s="52" customFormat="1" ht="12" customHeight="1">
      <c r="A50" s="148" t="s">
        <v>57</v>
      </c>
      <c r="B50" s="136" t="s">
        <v>162</v>
      </c>
      <c r="C50" s="171"/>
      <c r="D50" s="234"/>
      <c r="E50" s="94"/>
    </row>
    <row r="51" spans="1:5" s="52" customFormat="1" ht="12" customHeight="1">
      <c r="A51" s="149" t="s">
        <v>58</v>
      </c>
      <c r="B51" s="137" t="s">
        <v>163</v>
      </c>
      <c r="C51" s="127"/>
      <c r="D51" s="232"/>
      <c r="E51" s="92"/>
    </row>
    <row r="52" spans="1:5" s="52" customFormat="1" ht="12" customHeight="1">
      <c r="A52" s="149" t="s">
        <v>159</v>
      </c>
      <c r="B52" s="137" t="s">
        <v>164</v>
      </c>
      <c r="C52" s="127"/>
      <c r="D52" s="232"/>
      <c r="E52" s="92"/>
    </row>
    <row r="53" spans="1:5" s="52" customFormat="1" ht="12" customHeight="1">
      <c r="A53" s="149" t="s">
        <v>160</v>
      </c>
      <c r="B53" s="137" t="s">
        <v>165</v>
      </c>
      <c r="C53" s="127"/>
      <c r="D53" s="232"/>
      <c r="E53" s="92"/>
    </row>
    <row r="54" spans="1:5" s="52" customFormat="1" ht="12" customHeight="1" thickBot="1">
      <c r="A54" s="150" t="s">
        <v>161</v>
      </c>
      <c r="B54" s="138" t="s">
        <v>166</v>
      </c>
      <c r="C54" s="128"/>
      <c r="D54" s="233"/>
      <c r="E54" s="93"/>
    </row>
    <row r="55" spans="1:5" s="52" customFormat="1" ht="12" customHeight="1" thickBot="1">
      <c r="A55" s="25" t="s">
        <v>109</v>
      </c>
      <c r="B55" s="19" t="s">
        <v>167</v>
      </c>
      <c r="C55" s="123">
        <f>SUM(C56:C58)</f>
        <v>0</v>
      </c>
      <c r="D55" s="204">
        <f>SUM(D56:D58)</f>
        <v>0</v>
      </c>
      <c r="E55" s="88">
        <f>SUM(E56:E58)</f>
        <v>0</v>
      </c>
    </row>
    <row r="56" spans="1:5" s="52" customFormat="1" ht="12" customHeight="1">
      <c r="A56" s="148" t="s">
        <v>59</v>
      </c>
      <c r="B56" s="136" t="s">
        <v>168</v>
      </c>
      <c r="C56" s="125"/>
      <c r="D56" s="205"/>
      <c r="E56" s="90"/>
    </row>
    <row r="57" spans="1:5" s="52" customFormat="1" ht="12" customHeight="1">
      <c r="A57" s="149" t="s">
        <v>60</v>
      </c>
      <c r="B57" s="137" t="s">
        <v>273</v>
      </c>
      <c r="C57" s="124"/>
      <c r="D57" s="206"/>
      <c r="E57" s="89"/>
    </row>
    <row r="58" spans="1:5" s="52" customFormat="1" ht="12" customHeight="1">
      <c r="A58" s="149" t="s">
        <v>171</v>
      </c>
      <c r="B58" s="137" t="s">
        <v>169</v>
      </c>
      <c r="C58" s="124"/>
      <c r="D58" s="206"/>
      <c r="E58" s="89"/>
    </row>
    <row r="59" spans="1:5" s="52" customFormat="1" ht="12" customHeight="1" thickBot="1">
      <c r="A59" s="150" t="s">
        <v>172</v>
      </c>
      <c r="B59" s="138" t="s">
        <v>170</v>
      </c>
      <c r="C59" s="126"/>
      <c r="D59" s="207"/>
      <c r="E59" s="91"/>
    </row>
    <row r="60" spans="1:5" s="52" customFormat="1" ht="12" customHeight="1" thickBot="1">
      <c r="A60" s="25" t="s">
        <v>12</v>
      </c>
      <c r="B60" s="95" t="s">
        <v>173</v>
      </c>
      <c r="C60" s="123">
        <f>SUM(C61:C63)</f>
        <v>0</v>
      </c>
      <c r="D60" s="204">
        <f>SUM(D61:D63)</f>
        <v>0</v>
      </c>
      <c r="E60" s="88">
        <f>SUM(E61:E63)</f>
        <v>0</v>
      </c>
    </row>
    <row r="61" spans="1:5" s="52" customFormat="1" ht="12" customHeight="1">
      <c r="A61" s="148" t="s">
        <v>110</v>
      </c>
      <c r="B61" s="136" t="s">
        <v>175</v>
      </c>
      <c r="C61" s="127"/>
      <c r="D61" s="232"/>
      <c r="E61" s="92"/>
    </row>
    <row r="62" spans="1:5" s="52" customFormat="1" ht="12" customHeight="1">
      <c r="A62" s="149" t="s">
        <v>111</v>
      </c>
      <c r="B62" s="137" t="s">
        <v>274</v>
      </c>
      <c r="C62" s="127"/>
      <c r="D62" s="232"/>
      <c r="E62" s="92"/>
    </row>
    <row r="63" spans="1:5" s="52" customFormat="1" ht="12" customHeight="1">
      <c r="A63" s="149" t="s">
        <v>123</v>
      </c>
      <c r="B63" s="137" t="s">
        <v>176</v>
      </c>
      <c r="C63" s="127"/>
      <c r="D63" s="232"/>
      <c r="E63" s="92"/>
    </row>
    <row r="64" spans="1:5" s="52" customFormat="1" ht="12" customHeight="1" thickBot="1">
      <c r="A64" s="150" t="s">
        <v>174</v>
      </c>
      <c r="B64" s="138" t="s">
        <v>177</v>
      </c>
      <c r="C64" s="127"/>
      <c r="D64" s="232"/>
      <c r="E64" s="92"/>
    </row>
    <row r="65" spans="1:5" s="52" customFormat="1" ht="12" customHeight="1" thickBot="1">
      <c r="A65" s="25" t="s">
        <v>13</v>
      </c>
      <c r="B65" s="19" t="s">
        <v>178</v>
      </c>
      <c r="C65" s="129">
        <f>+C8+C15+C22+C29+C37+C49+C55+C60</f>
        <v>0</v>
      </c>
      <c r="D65" s="208">
        <f>+D8+D15+D22+D29+D37+D49+D55+D60</f>
        <v>0</v>
      </c>
      <c r="E65" s="160">
        <f>+E8+E15+E22+E29+E37+E49+E55+E60</f>
        <v>0</v>
      </c>
    </row>
    <row r="66" spans="1:5" s="52" customFormat="1" ht="12" customHeight="1" thickBot="1">
      <c r="A66" s="151" t="s">
        <v>247</v>
      </c>
      <c r="B66" s="95" t="s">
        <v>180</v>
      </c>
      <c r="C66" s="123">
        <f>SUM(C67:C69)</f>
        <v>0</v>
      </c>
      <c r="D66" s="204">
        <f>SUM(D67:D69)</f>
        <v>0</v>
      </c>
      <c r="E66" s="88">
        <f>SUM(E67:E69)</f>
        <v>0</v>
      </c>
    </row>
    <row r="67" spans="1:5" s="52" customFormat="1" ht="12" customHeight="1">
      <c r="A67" s="148" t="s">
        <v>208</v>
      </c>
      <c r="B67" s="136" t="s">
        <v>181</v>
      </c>
      <c r="C67" s="127"/>
      <c r="D67" s="232"/>
      <c r="E67" s="92"/>
    </row>
    <row r="68" spans="1:5" s="52" customFormat="1" ht="12" customHeight="1">
      <c r="A68" s="149" t="s">
        <v>217</v>
      </c>
      <c r="B68" s="137" t="s">
        <v>182</v>
      </c>
      <c r="C68" s="127"/>
      <c r="D68" s="232"/>
      <c r="E68" s="92"/>
    </row>
    <row r="69" spans="1:5" s="52" customFormat="1" ht="12" customHeight="1" thickBot="1">
      <c r="A69" s="150" t="s">
        <v>218</v>
      </c>
      <c r="B69" s="139" t="s">
        <v>183</v>
      </c>
      <c r="C69" s="127"/>
      <c r="D69" s="235"/>
      <c r="E69" s="92"/>
    </row>
    <row r="70" spans="1:5" s="52" customFormat="1" ht="12" customHeight="1" thickBot="1">
      <c r="A70" s="151" t="s">
        <v>184</v>
      </c>
      <c r="B70" s="95" t="s">
        <v>185</v>
      </c>
      <c r="C70" s="123">
        <f>SUM(C71:C74)</f>
        <v>0</v>
      </c>
      <c r="D70" s="123">
        <f>SUM(D71:D74)</f>
        <v>0</v>
      </c>
      <c r="E70" s="88">
        <f>SUM(E71:E74)</f>
        <v>0</v>
      </c>
    </row>
    <row r="71" spans="1:5" s="52" customFormat="1" ht="12" customHeight="1">
      <c r="A71" s="148" t="s">
        <v>95</v>
      </c>
      <c r="B71" s="251" t="s">
        <v>186</v>
      </c>
      <c r="C71" s="127"/>
      <c r="D71" s="127"/>
      <c r="E71" s="92"/>
    </row>
    <row r="72" spans="1:5" s="52" customFormat="1" ht="12" customHeight="1">
      <c r="A72" s="149" t="s">
        <v>96</v>
      </c>
      <c r="B72" s="251" t="s">
        <v>419</v>
      </c>
      <c r="C72" s="127"/>
      <c r="D72" s="127"/>
      <c r="E72" s="92"/>
    </row>
    <row r="73" spans="1:5" s="52" customFormat="1" ht="12" customHeight="1">
      <c r="A73" s="149" t="s">
        <v>209</v>
      </c>
      <c r="B73" s="251" t="s">
        <v>187</v>
      </c>
      <c r="C73" s="127"/>
      <c r="D73" s="127"/>
      <c r="E73" s="92"/>
    </row>
    <row r="74" spans="1:5" s="52" customFormat="1" ht="12" customHeight="1" thickBot="1">
      <c r="A74" s="150" t="s">
        <v>210</v>
      </c>
      <c r="B74" s="252" t="s">
        <v>420</v>
      </c>
      <c r="C74" s="127"/>
      <c r="D74" s="127"/>
      <c r="E74" s="92"/>
    </row>
    <row r="75" spans="1:5" s="52" customFormat="1" ht="12" customHeight="1" thickBot="1">
      <c r="A75" s="151" t="s">
        <v>188</v>
      </c>
      <c r="B75" s="95" t="s">
        <v>189</v>
      </c>
      <c r="C75" s="123">
        <f>SUM(C76:C77)</f>
        <v>0</v>
      </c>
      <c r="D75" s="123">
        <f>SUM(D76:D77)</f>
        <v>0</v>
      </c>
      <c r="E75" s="88">
        <f>SUM(E76:E77)</f>
        <v>0</v>
      </c>
    </row>
    <row r="76" spans="1:5" s="52" customFormat="1" ht="12" customHeight="1">
      <c r="A76" s="148" t="s">
        <v>211</v>
      </c>
      <c r="B76" s="136" t="s">
        <v>190</v>
      </c>
      <c r="C76" s="127"/>
      <c r="D76" s="127"/>
      <c r="E76" s="92"/>
    </row>
    <row r="77" spans="1:5" s="52" customFormat="1" ht="12" customHeight="1" thickBot="1">
      <c r="A77" s="150" t="s">
        <v>212</v>
      </c>
      <c r="B77" s="138" t="s">
        <v>191</v>
      </c>
      <c r="C77" s="127"/>
      <c r="D77" s="127"/>
      <c r="E77" s="92"/>
    </row>
    <row r="78" spans="1:5" s="51" customFormat="1" ht="12" customHeight="1" thickBot="1">
      <c r="A78" s="151" t="s">
        <v>192</v>
      </c>
      <c r="B78" s="95" t="s">
        <v>193</v>
      </c>
      <c r="C78" s="123">
        <f>SUM(C79:C81)</f>
        <v>0</v>
      </c>
      <c r="D78" s="123">
        <f>SUM(D79:D81)</f>
        <v>0</v>
      </c>
      <c r="E78" s="88">
        <f>SUM(E79:E81)</f>
        <v>0</v>
      </c>
    </row>
    <row r="79" spans="1:5" s="52" customFormat="1" ht="12" customHeight="1">
      <c r="A79" s="148" t="s">
        <v>213</v>
      </c>
      <c r="B79" s="136" t="s">
        <v>194</v>
      </c>
      <c r="C79" s="127"/>
      <c r="D79" s="127"/>
      <c r="E79" s="92"/>
    </row>
    <row r="80" spans="1:5" s="52" customFormat="1" ht="12" customHeight="1">
      <c r="A80" s="149" t="s">
        <v>214</v>
      </c>
      <c r="B80" s="137" t="s">
        <v>195</v>
      </c>
      <c r="C80" s="127"/>
      <c r="D80" s="127"/>
      <c r="E80" s="92"/>
    </row>
    <row r="81" spans="1:5" s="52" customFormat="1" ht="12" customHeight="1" thickBot="1">
      <c r="A81" s="150" t="s">
        <v>215</v>
      </c>
      <c r="B81" s="138" t="s">
        <v>421</v>
      </c>
      <c r="C81" s="127"/>
      <c r="D81" s="127"/>
      <c r="E81" s="92"/>
    </row>
    <row r="82" spans="1:5" s="52" customFormat="1" ht="12" customHeight="1" thickBot="1">
      <c r="A82" s="151" t="s">
        <v>196</v>
      </c>
      <c r="B82" s="95" t="s">
        <v>216</v>
      </c>
      <c r="C82" s="123">
        <f>SUM(C83:C86)</f>
        <v>0</v>
      </c>
      <c r="D82" s="123">
        <f>SUM(D83:D86)</f>
        <v>0</v>
      </c>
      <c r="E82" s="88">
        <f>SUM(E83:E86)</f>
        <v>0</v>
      </c>
    </row>
    <row r="83" spans="1:5" s="52" customFormat="1" ht="12" customHeight="1">
      <c r="A83" s="152" t="s">
        <v>197</v>
      </c>
      <c r="B83" s="136" t="s">
        <v>198</v>
      </c>
      <c r="C83" s="127"/>
      <c r="D83" s="127"/>
      <c r="E83" s="92"/>
    </row>
    <row r="84" spans="1:5" s="52" customFormat="1" ht="12" customHeight="1">
      <c r="A84" s="153" t="s">
        <v>199</v>
      </c>
      <c r="B84" s="137" t="s">
        <v>200</v>
      </c>
      <c r="C84" s="127"/>
      <c r="D84" s="127"/>
      <c r="E84" s="92"/>
    </row>
    <row r="85" spans="1:5" s="52" customFormat="1" ht="12" customHeight="1">
      <c r="A85" s="153" t="s">
        <v>201</v>
      </c>
      <c r="B85" s="137" t="s">
        <v>202</v>
      </c>
      <c r="C85" s="127"/>
      <c r="D85" s="127"/>
      <c r="E85" s="92"/>
    </row>
    <row r="86" spans="1:5" s="51" customFormat="1" ht="12" customHeight="1" thickBot="1">
      <c r="A86" s="154" t="s">
        <v>203</v>
      </c>
      <c r="B86" s="138" t="s">
        <v>204</v>
      </c>
      <c r="C86" s="127"/>
      <c r="D86" s="127"/>
      <c r="E86" s="92"/>
    </row>
    <row r="87" spans="1:5" s="51" customFormat="1" ht="12" customHeight="1" thickBot="1">
      <c r="A87" s="151" t="s">
        <v>205</v>
      </c>
      <c r="B87" s="95" t="s">
        <v>319</v>
      </c>
      <c r="C87" s="174"/>
      <c r="D87" s="174"/>
      <c r="E87" s="175"/>
    </row>
    <row r="88" spans="1:5" s="51" customFormat="1" ht="12" customHeight="1" thickBot="1">
      <c r="A88" s="151" t="s">
        <v>334</v>
      </c>
      <c r="B88" s="95" t="s">
        <v>206</v>
      </c>
      <c r="C88" s="174"/>
      <c r="D88" s="174"/>
      <c r="E88" s="175"/>
    </row>
    <row r="89" spans="1:5" s="51" customFormat="1" ht="12" customHeight="1" thickBot="1">
      <c r="A89" s="151" t="s">
        <v>335</v>
      </c>
      <c r="B89" s="143" t="s">
        <v>322</v>
      </c>
      <c r="C89" s="129">
        <f>+C66+C70+C75+C78+C82+C88+C87</f>
        <v>0</v>
      </c>
      <c r="D89" s="129">
        <f>+D66+D70+D75+D78+D82+D88+D87</f>
        <v>0</v>
      </c>
      <c r="E89" s="160">
        <f>+E66+E70+E75+E78+E82+E88+E87</f>
        <v>0</v>
      </c>
    </row>
    <row r="90" spans="1:5" s="51" customFormat="1" ht="12" customHeight="1" thickBot="1">
      <c r="A90" s="155" t="s">
        <v>336</v>
      </c>
      <c r="B90" s="144" t="s">
        <v>337</v>
      </c>
      <c r="C90" s="129">
        <f>+C65+C89</f>
        <v>0</v>
      </c>
      <c r="D90" s="129">
        <f>+D65+D89</f>
        <v>0</v>
      </c>
      <c r="E90" s="160">
        <f>+E65+E89</f>
        <v>0</v>
      </c>
    </row>
    <row r="91" spans="1:3" s="52" customFormat="1" ht="15" customHeight="1" thickBot="1">
      <c r="A91" s="78"/>
      <c r="B91" s="79"/>
      <c r="C91" s="108"/>
    </row>
    <row r="92" spans="1:5" s="46" customFormat="1" ht="16.5" customHeight="1" thickBot="1">
      <c r="A92" s="625" t="s">
        <v>39</v>
      </c>
      <c r="B92" s="626"/>
      <c r="C92" s="626"/>
      <c r="D92" s="626"/>
      <c r="E92" s="627"/>
    </row>
    <row r="93" spans="1:5" s="53" customFormat="1" ht="12" customHeight="1" thickBot="1">
      <c r="A93" s="130" t="s">
        <v>5</v>
      </c>
      <c r="B93" s="24" t="s">
        <v>341</v>
      </c>
      <c r="C93" s="122">
        <f>+C94+C95+C96+C97+C98+C111</f>
        <v>15028320</v>
      </c>
      <c r="D93" s="122">
        <f>+D94+D95+D96+D97+D98+D111</f>
        <v>20476000</v>
      </c>
      <c r="E93" s="187">
        <f>+E94+E95+E96+E97+E98+E111</f>
        <v>20063252</v>
      </c>
    </row>
    <row r="94" spans="1:5" ht="12" customHeight="1">
      <c r="A94" s="156" t="s">
        <v>61</v>
      </c>
      <c r="B94" s="8" t="s">
        <v>34</v>
      </c>
      <c r="C94" s="194">
        <v>12576000</v>
      </c>
      <c r="D94" s="194">
        <v>17476000</v>
      </c>
      <c r="E94" s="188">
        <v>17112416</v>
      </c>
    </row>
    <row r="95" spans="1:5" ht="12" customHeight="1">
      <c r="A95" s="149" t="s">
        <v>62</v>
      </c>
      <c r="B95" s="6" t="s">
        <v>112</v>
      </c>
      <c r="C95" s="124">
        <v>2452320</v>
      </c>
      <c r="D95" s="124">
        <v>3000000</v>
      </c>
      <c r="E95" s="89">
        <v>2950836</v>
      </c>
    </row>
    <row r="96" spans="1:5" ht="12" customHeight="1">
      <c r="A96" s="149" t="s">
        <v>63</v>
      </c>
      <c r="B96" s="6" t="s">
        <v>87</v>
      </c>
      <c r="C96" s="126"/>
      <c r="D96" s="124"/>
      <c r="E96" s="91"/>
    </row>
    <row r="97" spans="1:5" ht="12" customHeight="1">
      <c r="A97" s="149" t="s">
        <v>64</v>
      </c>
      <c r="B97" s="9" t="s">
        <v>113</v>
      </c>
      <c r="C97" s="126"/>
      <c r="D97" s="207"/>
      <c r="E97" s="91"/>
    </row>
    <row r="98" spans="1:5" ht="12" customHeight="1">
      <c r="A98" s="149" t="s">
        <v>73</v>
      </c>
      <c r="B98" s="17" t="s">
        <v>114</v>
      </c>
      <c r="C98" s="126"/>
      <c r="D98" s="207"/>
      <c r="E98" s="91"/>
    </row>
    <row r="99" spans="1:5" ht="12" customHeight="1">
      <c r="A99" s="149" t="s">
        <v>65</v>
      </c>
      <c r="B99" s="6" t="s">
        <v>338</v>
      </c>
      <c r="C99" s="126"/>
      <c r="D99" s="207"/>
      <c r="E99" s="91"/>
    </row>
    <row r="100" spans="1:5" ht="12" customHeight="1">
      <c r="A100" s="149" t="s">
        <v>66</v>
      </c>
      <c r="B100" s="61" t="s">
        <v>285</v>
      </c>
      <c r="C100" s="126"/>
      <c r="D100" s="207"/>
      <c r="E100" s="91"/>
    </row>
    <row r="101" spans="1:5" ht="12" customHeight="1">
      <c r="A101" s="149" t="s">
        <v>74</v>
      </c>
      <c r="B101" s="61" t="s">
        <v>284</v>
      </c>
      <c r="C101" s="126"/>
      <c r="D101" s="207"/>
      <c r="E101" s="91"/>
    </row>
    <row r="102" spans="1:5" ht="12" customHeight="1">
      <c r="A102" s="149" t="s">
        <v>75</v>
      </c>
      <c r="B102" s="61" t="s">
        <v>222</v>
      </c>
      <c r="C102" s="126"/>
      <c r="D102" s="207"/>
      <c r="E102" s="91"/>
    </row>
    <row r="103" spans="1:5" ht="12" customHeight="1">
      <c r="A103" s="149" t="s">
        <v>76</v>
      </c>
      <c r="B103" s="62" t="s">
        <v>223</v>
      </c>
      <c r="C103" s="126"/>
      <c r="D103" s="207"/>
      <c r="E103" s="91"/>
    </row>
    <row r="104" spans="1:5" ht="12" customHeight="1">
      <c r="A104" s="149" t="s">
        <v>77</v>
      </c>
      <c r="B104" s="62" t="s">
        <v>224</v>
      </c>
      <c r="C104" s="126"/>
      <c r="D104" s="207"/>
      <c r="E104" s="91"/>
    </row>
    <row r="105" spans="1:5" ht="12" customHeight="1">
      <c r="A105" s="149" t="s">
        <v>79</v>
      </c>
      <c r="B105" s="61" t="s">
        <v>225</v>
      </c>
      <c r="C105" s="126"/>
      <c r="D105" s="207"/>
      <c r="E105" s="91"/>
    </row>
    <row r="106" spans="1:5" ht="12" customHeight="1">
      <c r="A106" s="149" t="s">
        <v>115</v>
      </c>
      <c r="B106" s="61" t="s">
        <v>226</v>
      </c>
      <c r="C106" s="126"/>
      <c r="D106" s="207"/>
      <c r="E106" s="91"/>
    </row>
    <row r="107" spans="1:5" ht="12" customHeight="1">
      <c r="A107" s="149" t="s">
        <v>220</v>
      </c>
      <c r="B107" s="62" t="s">
        <v>227</v>
      </c>
      <c r="C107" s="124"/>
      <c r="D107" s="207"/>
      <c r="E107" s="91"/>
    </row>
    <row r="108" spans="1:5" ht="12" customHeight="1">
      <c r="A108" s="157" t="s">
        <v>221</v>
      </c>
      <c r="B108" s="63" t="s">
        <v>228</v>
      </c>
      <c r="C108" s="126"/>
      <c r="D108" s="207"/>
      <c r="E108" s="91"/>
    </row>
    <row r="109" spans="1:5" ht="12" customHeight="1">
      <c r="A109" s="149" t="s">
        <v>282</v>
      </c>
      <c r="B109" s="63" t="s">
        <v>229</v>
      </c>
      <c r="C109" s="126"/>
      <c r="D109" s="207"/>
      <c r="E109" s="91"/>
    </row>
    <row r="110" spans="1:5" ht="12" customHeight="1">
      <c r="A110" s="149" t="s">
        <v>283</v>
      </c>
      <c r="B110" s="62" t="s">
        <v>230</v>
      </c>
      <c r="C110" s="124"/>
      <c r="D110" s="206"/>
      <c r="E110" s="89"/>
    </row>
    <row r="111" spans="1:5" ht="12" customHeight="1">
      <c r="A111" s="149" t="s">
        <v>287</v>
      </c>
      <c r="B111" s="9" t="s">
        <v>35</v>
      </c>
      <c r="C111" s="124"/>
      <c r="D111" s="206"/>
      <c r="E111" s="89"/>
    </row>
    <row r="112" spans="1:5" ht="12" customHeight="1">
      <c r="A112" s="150" t="s">
        <v>288</v>
      </c>
      <c r="B112" s="6" t="s">
        <v>339</v>
      </c>
      <c r="C112" s="126"/>
      <c r="D112" s="207"/>
      <c r="E112" s="91"/>
    </row>
    <row r="113" spans="1:5" ht="12" customHeight="1" thickBot="1">
      <c r="A113" s="158" t="s">
        <v>289</v>
      </c>
      <c r="B113" s="64" t="s">
        <v>340</v>
      </c>
      <c r="C113" s="195"/>
      <c r="D113" s="238"/>
      <c r="E113" s="189"/>
    </row>
    <row r="114" spans="1:5" ht="12" customHeight="1" thickBot="1">
      <c r="A114" s="25" t="s">
        <v>6</v>
      </c>
      <c r="B114" s="23" t="s">
        <v>231</v>
      </c>
      <c r="C114" s="123">
        <f>+C115+C117+C119</f>
        <v>0</v>
      </c>
      <c r="D114" s="204">
        <f>+D115+D117+D119</f>
        <v>0</v>
      </c>
      <c r="E114" s="88">
        <f>+E115+E117+E119</f>
        <v>0</v>
      </c>
    </row>
    <row r="115" spans="1:5" ht="12" customHeight="1">
      <c r="A115" s="148" t="s">
        <v>67</v>
      </c>
      <c r="B115" s="6" t="s">
        <v>122</v>
      </c>
      <c r="C115" s="125"/>
      <c r="D115" s="205"/>
      <c r="E115" s="90"/>
    </row>
    <row r="116" spans="1:5" ht="12" customHeight="1">
      <c r="A116" s="148" t="s">
        <v>68</v>
      </c>
      <c r="B116" s="10" t="s">
        <v>235</v>
      </c>
      <c r="C116" s="125"/>
      <c r="D116" s="205"/>
      <c r="E116" s="90"/>
    </row>
    <row r="117" spans="1:5" ht="12" customHeight="1">
      <c r="A117" s="148" t="s">
        <v>69</v>
      </c>
      <c r="B117" s="10" t="s">
        <v>116</v>
      </c>
      <c r="C117" s="124"/>
      <c r="D117" s="206"/>
      <c r="E117" s="89"/>
    </row>
    <row r="118" spans="1:5" ht="12" customHeight="1">
      <c r="A118" s="148" t="s">
        <v>70</v>
      </c>
      <c r="B118" s="10" t="s">
        <v>236</v>
      </c>
      <c r="C118" s="124"/>
      <c r="D118" s="206"/>
      <c r="E118" s="89"/>
    </row>
    <row r="119" spans="1:5" ht="12" customHeight="1">
      <c r="A119" s="148" t="s">
        <v>71</v>
      </c>
      <c r="B119" s="97" t="s">
        <v>124</v>
      </c>
      <c r="C119" s="124"/>
      <c r="D119" s="206"/>
      <c r="E119" s="89"/>
    </row>
    <row r="120" spans="1:5" ht="12" customHeight="1">
      <c r="A120" s="148" t="s">
        <v>78</v>
      </c>
      <c r="B120" s="96" t="s">
        <v>275</v>
      </c>
      <c r="C120" s="124"/>
      <c r="D120" s="206"/>
      <c r="E120" s="89"/>
    </row>
    <row r="121" spans="1:5" ht="12" customHeight="1">
      <c r="A121" s="148" t="s">
        <v>80</v>
      </c>
      <c r="B121" s="132" t="s">
        <v>241</v>
      </c>
      <c r="C121" s="124"/>
      <c r="D121" s="206"/>
      <c r="E121" s="89"/>
    </row>
    <row r="122" spans="1:5" ht="12" customHeight="1">
      <c r="A122" s="148" t="s">
        <v>117</v>
      </c>
      <c r="B122" s="62" t="s">
        <v>224</v>
      </c>
      <c r="C122" s="124"/>
      <c r="D122" s="206"/>
      <c r="E122" s="89"/>
    </row>
    <row r="123" spans="1:5" ht="12" customHeight="1">
      <c r="A123" s="148" t="s">
        <v>118</v>
      </c>
      <c r="B123" s="62" t="s">
        <v>240</v>
      </c>
      <c r="C123" s="124"/>
      <c r="D123" s="206"/>
      <c r="E123" s="89"/>
    </row>
    <row r="124" spans="1:5" ht="12" customHeight="1">
      <c r="A124" s="148" t="s">
        <v>119</v>
      </c>
      <c r="B124" s="62" t="s">
        <v>239</v>
      </c>
      <c r="C124" s="124"/>
      <c r="D124" s="206"/>
      <c r="E124" s="89"/>
    </row>
    <row r="125" spans="1:5" ht="12" customHeight="1">
      <c r="A125" s="148" t="s">
        <v>232</v>
      </c>
      <c r="B125" s="62" t="s">
        <v>227</v>
      </c>
      <c r="C125" s="124"/>
      <c r="D125" s="206"/>
      <c r="E125" s="89"/>
    </row>
    <row r="126" spans="1:5" ht="12" customHeight="1">
      <c r="A126" s="148" t="s">
        <v>233</v>
      </c>
      <c r="B126" s="62" t="s">
        <v>238</v>
      </c>
      <c r="C126" s="124"/>
      <c r="D126" s="206"/>
      <c r="E126" s="89"/>
    </row>
    <row r="127" spans="1:5" ht="12" customHeight="1" thickBot="1">
      <c r="A127" s="157" t="s">
        <v>234</v>
      </c>
      <c r="B127" s="62" t="s">
        <v>237</v>
      </c>
      <c r="C127" s="126"/>
      <c r="D127" s="207"/>
      <c r="E127" s="91"/>
    </row>
    <row r="128" spans="1:5" ht="12" customHeight="1" thickBot="1">
      <c r="A128" s="25" t="s">
        <v>7</v>
      </c>
      <c r="B128" s="56" t="s">
        <v>292</v>
      </c>
      <c r="C128" s="123">
        <f>+C93+C114</f>
        <v>15028320</v>
      </c>
      <c r="D128" s="204">
        <f>+D93+D114</f>
        <v>20476000</v>
      </c>
      <c r="E128" s="88">
        <f>+E93+E114</f>
        <v>20063252</v>
      </c>
    </row>
    <row r="129" spans="1:5" ht="12" customHeight="1" thickBot="1">
      <c r="A129" s="25" t="s">
        <v>8</v>
      </c>
      <c r="B129" s="56" t="s">
        <v>293</v>
      </c>
      <c r="C129" s="123">
        <f>+C130+C131+C132</f>
        <v>0</v>
      </c>
      <c r="D129" s="204">
        <f>+D130+D131+D132</f>
        <v>0</v>
      </c>
      <c r="E129" s="88">
        <f>+E130+E131+E132</f>
        <v>0</v>
      </c>
    </row>
    <row r="130" spans="1:5" s="53" customFormat="1" ht="12" customHeight="1">
      <c r="A130" s="148" t="s">
        <v>141</v>
      </c>
      <c r="B130" s="7" t="s">
        <v>344</v>
      </c>
      <c r="C130" s="124"/>
      <c r="D130" s="206"/>
      <c r="E130" s="89"/>
    </row>
    <row r="131" spans="1:5" ht="12" customHeight="1">
      <c r="A131" s="148" t="s">
        <v>142</v>
      </c>
      <c r="B131" s="7" t="s">
        <v>301</v>
      </c>
      <c r="C131" s="124"/>
      <c r="D131" s="206"/>
      <c r="E131" s="89"/>
    </row>
    <row r="132" spans="1:5" ht="12" customHeight="1" thickBot="1">
      <c r="A132" s="157" t="s">
        <v>143</v>
      </c>
      <c r="B132" s="5" t="s">
        <v>343</v>
      </c>
      <c r="C132" s="124"/>
      <c r="D132" s="206"/>
      <c r="E132" s="89"/>
    </row>
    <row r="133" spans="1:5" ht="12" customHeight="1" thickBot="1">
      <c r="A133" s="25" t="s">
        <v>9</v>
      </c>
      <c r="B133" s="56" t="s">
        <v>294</v>
      </c>
      <c r="C133" s="123">
        <f>+C134+C135+C136+C137+C138+C139</f>
        <v>0</v>
      </c>
      <c r="D133" s="204">
        <f>+D134+D135+D136+D137+D138+D139</f>
        <v>0</v>
      </c>
      <c r="E133" s="88">
        <f>+E134+E135+E136+E137+E138+E139</f>
        <v>0</v>
      </c>
    </row>
    <row r="134" spans="1:5" ht="12" customHeight="1">
      <c r="A134" s="148" t="s">
        <v>54</v>
      </c>
      <c r="B134" s="7" t="s">
        <v>303</v>
      </c>
      <c r="C134" s="124"/>
      <c r="D134" s="206"/>
      <c r="E134" s="89"/>
    </row>
    <row r="135" spans="1:5" ht="12" customHeight="1">
      <c r="A135" s="148" t="s">
        <v>55</v>
      </c>
      <c r="B135" s="7" t="s">
        <v>295</v>
      </c>
      <c r="C135" s="124"/>
      <c r="D135" s="206"/>
      <c r="E135" s="89"/>
    </row>
    <row r="136" spans="1:5" ht="12" customHeight="1">
      <c r="A136" s="148" t="s">
        <v>56</v>
      </c>
      <c r="B136" s="7" t="s">
        <v>296</v>
      </c>
      <c r="C136" s="124"/>
      <c r="D136" s="206"/>
      <c r="E136" s="89"/>
    </row>
    <row r="137" spans="1:5" ht="12" customHeight="1">
      <c r="A137" s="148" t="s">
        <v>104</v>
      </c>
      <c r="B137" s="7" t="s">
        <v>342</v>
      </c>
      <c r="C137" s="124"/>
      <c r="D137" s="206"/>
      <c r="E137" s="89"/>
    </row>
    <row r="138" spans="1:5" ht="12" customHeight="1">
      <c r="A138" s="148" t="s">
        <v>105</v>
      </c>
      <c r="B138" s="7" t="s">
        <v>298</v>
      </c>
      <c r="C138" s="124"/>
      <c r="D138" s="206"/>
      <c r="E138" s="89"/>
    </row>
    <row r="139" spans="1:5" s="53" customFormat="1" ht="12" customHeight="1" thickBot="1">
      <c r="A139" s="157" t="s">
        <v>106</v>
      </c>
      <c r="B139" s="5" t="s">
        <v>299</v>
      </c>
      <c r="C139" s="124"/>
      <c r="D139" s="206"/>
      <c r="E139" s="89"/>
    </row>
    <row r="140" spans="1:11" ht="12" customHeight="1" thickBot="1">
      <c r="A140" s="25" t="s">
        <v>10</v>
      </c>
      <c r="B140" s="56" t="s">
        <v>357</v>
      </c>
      <c r="C140" s="129">
        <f>+C141+C142+C144+C145+C143</f>
        <v>0</v>
      </c>
      <c r="D140" s="208">
        <f>+D141+D142+D144+D145+D143</f>
        <v>0</v>
      </c>
      <c r="E140" s="160">
        <f>+E141+E142+E144+E145+E143</f>
        <v>0</v>
      </c>
      <c r="K140" s="87"/>
    </row>
    <row r="141" spans="1:5" ht="12.75">
      <c r="A141" s="148" t="s">
        <v>57</v>
      </c>
      <c r="B141" s="7" t="s">
        <v>242</v>
      </c>
      <c r="C141" s="124"/>
      <c r="D141" s="206"/>
      <c r="E141" s="89"/>
    </row>
    <row r="142" spans="1:5" ht="12" customHeight="1">
      <c r="A142" s="148" t="s">
        <v>58</v>
      </c>
      <c r="B142" s="7" t="s">
        <v>243</v>
      </c>
      <c r="C142" s="124"/>
      <c r="D142" s="206"/>
      <c r="E142" s="89"/>
    </row>
    <row r="143" spans="1:5" ht="12" customHeight="1">
      <c r="A143" s="148" t="s">
        <v>159</v>
      </c>
      <c r="B143" s="7" t="s">
        <v>356</v>
      </c>
      <c r="C143" s="124"/>
      <c r="D143" s="206"/>
      <c r="E143" s="89"/>
    </row>
    <row r="144" spans="1:5" s="53" customFormat="1" ht="12" customHeight="1">
      <c r="A144" s="148" t="s">
        <v>160</v>
      </c>
      <c r="B144" s="7" t="s">
        <v>308</v>
      </c>
      <c r="C144" s="124"/>
      <c r="D144" s="206"/>
      <c r="E144" s="89"/>
    </row>
    <row r="145" spans="1:5" s="53" customFormat="1" ht="12" customHeight="1" thickBot="1">
      <c r="A145" s="157" t="s">
        <v>161</v>
      </c>
      <c r="B145" s="5" t="s">
        <v>246</v>
      </c>
      <c r="C145" s="124"/>
      <c r="D145" s="206"/>
      <c r="E145" s="89"/>
    </row>
    <row r="146" spans="1:5" s="53" customFormat="1" ht="12" customHeight="1" thickBot="1">
      <c r="A146" s="25" t="s">
        <v>11</v>
      </c>
      <c r="B146" s="56" t="s">
        <v>309</v>
      </c>
      <c r="C146" s="197">
        <f>+C147+C148+C149+C150+C151</f>
        <v>0</v>
      </c>
      <c r="D146" s="209">
        <f>+D147+D148+D149+D150+D151</f>
        <v>0</v>
      </c>
      <c r="E146" s="191">
        <f>+E147+E148+E149+E150+E151</f>
        <v>0</v>
      </c>
    </row>
    <row r="147" spans="1:5" s="53" customFormat="1" ht="12" customHeight="1">
      <c r="A147" s="148" t="s">
        <v>59</v>
      </c>
      <c r="B147" s="7" t="s">
        <v>304</v>
      </c>
      <c r="C147" s="124"/>
      <c r="D147" s="206"/>
      <c r="E147" s="89"/>
    </row>
    <row r="148" spans="1:5" s="53" customFormat="1" ht="12" customHeight="1">
      <c r="A148" s="148" t="s">
        <v>60</v>
      </c>
      <c r="B148" s="7" t="s">
        <v>311</v>
      </c>
      <c r="C148" s="124"/>
      <c r="D148" s="206"/>
      <c r="E148" s="89"/>
    </row>
    <row r="149" spans="1:5" s="53" customFormat="1" ht="12" customHeight="1">
      <c r="A149" s="148" t="s">
        <v>171</v>
      </c>
      <c r="B149" s="7" t="s">
        <v>306</v>
      </c>
      <c r="C149" s="124"/>
      <c r="D149" s="206"/>
      <c r="E149" s="89"/>
    </row>
    <row r="150" spans="1:5" s="53" customFormat="1" ht="12" customHeight="1">
      <c r="A150" s="148" t="s">
        <v>172</v>
      </c>
      <c r="B150" s="7" t="s">
        <v>345</v>
      </c>
      <c r="C150" s="124"/>
      <c r="D150" s="206"/>
      <c r="E150" s="89"/>
    </row>
    <row r="151" spans="1:5" ht="12.75" customHeight="1" thickBot="1">
      <c r="A151" s="157" t="s">
        <v>310</v>
      </c>
      <c r="B151" s="5" t="s">
        <v>313</v>
      </c>
      <c r="C151" s="126"/>
      <c r="D151" s="207"/>
      <c r="E151" s="91"/>
    </row>
    <row r="152" spans="1:5" ht="12.75" customHeight="1" thickBot="1">
      <c r="A152" s="186" t="s">
        <v>12</v>
      </c>
      <c r="B152" s="56" t="s">
        <v>314</v>
      </c>
      <c r="C152" s="197"/>
      <c r="D152" s="209"/>
      <c r="E152" s="191"/>
    </row>
    <row r="153" spans="1:5" ht="12.75" customHeight="1" thickBot="1">
      <c r="A153" s="186" t="s">
        <v>13</v>
      </c>
      <c r="B153" s="56" t="s">
        <v>315</v>
      </c>
      <c r="C153" s="197"/>
      <c r="D153" s="209"/>
      <c r="E153" s="191"/>
    </row>
    <row r="154" spans="1:5" ht="12" customHeight="1" thickBot="1">
      <c r="A154" s="25" t="s">
        <v>14</v>
      </c>
      <c r="B154" s="56" t="s">
        <v>317</v>
      </c>
      <c r="C154" s="199">
        <f>+C129+C133+C140+C146+C152+C153</f>
        <v>0</v>
      </c>
      <c r="D154" s="211">
        <f>+D129+D133+D140+D146+D152+D153</f>
        <v>0</v>
      </c>
      <c r="E154" s="193">
        <f>+E129+E133+E140+E146+E152+E153</f>
        <v>0</v>
      </c>
    </row>
    <row r="155" spans="1:5" ht="15" customHeight="1" thickBot="1">
      <c r="A155" s="159" t="s">
        <v>15</v>
      </c>
      <c r="B155" s="113" t="s">
        <v>316</v>
      </c>
      <c r="C155" s="199">
        <f>+C128+C154</f>
        <v>15028320</v>
      </c>
      <c r="D155" s="211">
        <f>+D128+D154</f>
        <v>20476000</v>
      </c>
      <c r="E155" s="193">
        <f>+E128+E154</f>
        <v>20063252</v>
      </c>
    </row>
    <row r="156" spans="1:5" ht="13.5" thickBot="1">
      <c r="A156" s="116"/>
      <c r="B156" s="117"/>
      <c r="C156" s="458">
        <f>C90-C155</f>
        <v>-15028320</v>
      </c>
      <c r="D156" s="458">
        <f>D90-D155</f>
        <v>-20476000</v>
      </c>
      <c r="E156" s="118"/>
    </row>
    <row r="157" spans="1:5" ht="15" customHeight="1" thickBot="1">
      <c r="A157" s="247" t="s">
        <v>416</v>
      </c>
      <c r="B157" s="248"/>
      <c r="C157" s="237"/>
      <c r="D157" s="237"/>
      <c r="E157" s="236"/>
    </row>
    <row r="158" spans="1:5" ht="14.25" customHeight="1" thickBot="1">
      <c r="A158" s="249" t="s">
        <v>417</v>
      </c>
      <c r="B158" s="250"/>
      <c r="C158" s="237"/>
      <c r="D158" s="237"/>
      <c r="E158" s="236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9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61"/>
  <sheetViews>
    <sheetView zoomScale="120" zoomScaleNormal="120" workbookViewId="0" topLeftCell="A49">
      <selection activeCell="E69" sqref="E69"/>
    </sheetView>
  </sheetViews>
  <sheetFormatPr defaultColWidth="9.00390625" defaultRowHeight="12.75"/>
  <cols>
    <col min="1" max="1" width="13.00390625" style="83" customWidth="1"/>
    <col min="2" max="2" width="59.00390625" style="84" customWidth="1"/>
    <col min="3" max="5" width="15.875" style="84" customWidth="1"/>
    <col min="6" max="16384" width="9.375" style="84" customWidth="1"/>
  </cols>
  <sheetData>
    <row r="1" spans="1:5" s="74" customFormat="1" ht="16.5" thickBot="1">
      <c r="A1" s="265"/>
      <c r="B1" s="629" t="str">
        <f>CONCATENATE("6.2. melléklet ",Z_ALAPADATOK!A7," ",Z_ALAPADATOK!B7," ",Z_ALAPADATOK!C7," ",Z_ALAPADATOK!D7," ",Z_ALAPADATOK!E7," ",Z_ALAPADATOK!F7," ",Z_ALAPADATOK!G7," ",Z_ALAPADATOK!H7)</f>
        <v>6.2. melléklet a 12 / 2020. ( VI.11. ) önkormányzati rendelethez</v>
      </c>
      <c r="C1" s="630"/>
      <c r="D1" s="630"/>
      <c r="E1" s="630"/>
    </row>
    <row r="2" spans="1:5" s="166" customFormat="1" ht="24.75" thickBot="1">
      <c r="A2" s="266" t="s">
        <v>390</v>
      </c>
      <c r="B2" s="631" t="s">
        <v>709</v>
      </c>
      <c r="C2" s="632"/>
      <c r="D2" s="633"/>
      <c r="E2" s="267" t="s">
        <v>41</v>
      </c>
    </row>
    <row r="3" spans="1:5" s="166" customFormat="1" ht="24.75" thickBot="1">
      <c r="A3" s="266" t="s">
        <v>120</v>
      </c>
      <c r="B3" s="631" t="s">
        <v>248</v>
      </c>
      <c r="C3" s="632"/>
      <c r="D3" s="633"/>
      <c r="E3" s="267" t="s">
        <v>37</v>
      </c>
    </row>
    <row r="4" spans="1:5" s="167" customFormat="1" ht="15.75" customHeight="1" thickBot="1">
      <c r="A4" s="268"/>
      <c r="B4" s="268"/>
      <c r="C4" s="269"/>
      <c r="D4" s="270"/>
      <c r="E4" s="269" t="str">
        <f>'ÖNK Államig.'!E4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CONCATENATE('ÖNK Államig.'!E5)</f>
        <v>Teljesítés
2019. XII. 31.</v>
      </c>
    </row>
    <row r="6" spans="1:5" s="168" customFormat="1" ht="12.75" customHeight="1" thickBot="1">
      <c r="A6" s="287" t="s">
        <v>325</v>
      </c>
      <c r="B6" s="288" t="s">
        <v>326</v>
      </c>
      <c r="C6" s="288" t="s">
        <v>327</v>
      </c>
      <c r="D6" s="289" t="s">
        <v>329</v>
      </c>
      <c r="E6" s="290" t="s">
        <v>328</v>
      </c>
    </row>
    <row r="7" spans="1:5" s="168" customFormat="1" ht="15.75" customHeight="1" thickBot="1">
      <c r="A7" s="625" t="s">
        <v>38</v>
      </c>
      <c r="B7" s="626"/>
      <c r="C7" s="626"/>
      <c r="D7" s="626"/>
      <c r="E7" s="627"/>
    </row>
    <row r="8" spans="1:5" s="112" customFormat="1" ht="12" customHeight="1" thickBot="1">
      <c r="A8" s="68" t="s">
        <v>5</v>
      </c>
      <c r="B8" s="75" t="s">
        <v>346</v>
      </c>
      <c r="C8" s="103">
        <f>SUM(C9:C19)</f>
        <v>0</v>
      </c>
      <c r="D8" s="103">
        <f>SUM(D9:D19)</f>
        <v>0</v>
      </c>
      <c r="E8" s="107">
        <f>SUM(E9:E19)</f>
        <v>93002</v>
      </c>
    </row>
    <row r="9" spans="1:5" s="112" customFormat="1" ht="12" customHeight="1">
      <c r="A9" s="161" t="s">
        <v>61</v>
      </c>
      <c r="B9" s="8" t="s">
        <v>148</v>
      </c>
      <c r="C9" s="225"/>
      <c r="D9" s="225"/>
      <c r="E9" s="240"/>
    </row>
    <row r="10" spans="1:5" s="112" customFormat="1" ht="12" customHeight="1">
      <c r="A10" s="162" t="s">
        <v>62</v>
      </c>
      <c r="B10" s="6" t="s">
        <v>149</v>
      </c>
      <c r="C10" s="101"/>
      <c r="D10" s="101"/>
      <c r="E10" s="217"/>
    </row>
    <row r="11" spans="1:5" s="112" customFormat="1" ht="12" customHeight="1">
      <c r="A11" s="162" t="s">
        <v>63</v>
      </c>
      <c r="B11" s="6" t="s">
        <v>150</v>
      </c>
      <c r="C11" s="101"/>
      <c r="D11" s="101"/>
      <c r="E11" s="217"/>
    </row>
    <row r="12" spans="1:5" s="112" customFormat="1" ht="12" customHeight="1">
      <c r="A12" s="162" t="s">
        <v>64</v>
      </c>
      <c r="B12" s="6" t="s">
        <v>151</v>
      </c>
      <c r="C12" s="101"/>
      <c r="D12" s="101"/>
      <c r="E12" s="217"/>
    </row>
    <row r="13" spans="1:5" s="112" customFormat="1" ht="12" customHeight="1">
      <c r="A13" s="162" t="s">
        <v>94</v>
      </c>
      <c r="B13" s="6" t="s">
        <v>152</v>
      </c>
      <c r="C13" s="101"/>
      <c r="D13" s="101"/>
      <c r="E13" s="217"/>
    </row>
    <row r="14" spans="1:5" s="112" customFormat="1" ht="12" customHeight="1">
      <c r="A14" s="162" t="s">
        <v>65</v>
      </c>
      <c r="B14" s="6" t="s">
        <v>249</v>
      </c>
      <c r="C14" s="101"/>
      <c r="D14" s="101"/>
      <c r="E14" s="217"/>
    </row>
    <row r="15" spans="1:5" s="112" customFormat="1" ht="12" customHeight="1">
      <c r="A15" s="162" t="s">
        <v>66</v>
      </c>
      <c r="B15" s="5" t="s">
        <v>250</v>
      </c>
      <c r="C15" s="101"/>
      <c r="D15" s="101"/>
      <c r="E15" s="217"/>
    </row>
    <row r="16" spans="1:5" s="112" customFormat="1" ht="12" customHeight="1">
      <c r="A16" s="162" t="s">
        <v>74</v>
      </c>
      <c r="B16" s="6" t="s">
        <v>155</v>
      </c>
      <c r="C16" s="223"/>
      <c r="D16" s="223"/>
      <c r="E16" s="221"/>
    </row>
    <row r="17" spans="1:5" s="169" customFormat="1" ht="12" customHeight="1">
      <c r="A17" s="162" t="s">
        <v>75</v>
      </c>
      <c r="B17" s="6" t="s">
        <v>156</v>
      </c>
      <c r="C17" s="101"/>
      <c r="D17" s="101"/>
      <c r="E17" s="217"/>
    </row>
    <row r="18" spans="1:5" s="169" customFormat="1" ht="12" customHeight="1">
      <c r="A18" s="162" t="s">
        <v>76</v>
      </c>
      <c r="B18" s="6" t="s">
        <v>280</v>
      </c>
      <c r="C18" s="102"/>
      <c r="D18" s="102"/>
      <c r="E18" s="218"/>
    </row>
    <row r="19" spans="1:5" s="169" customFormat="1" ht="12" customHeight="1" thickBot="1">
      <c r="A19" s="162" t="s">
        <v>77</v>
      </c>
      <c r="B19" s="5" t="s">
        <v>157</v>
      </c>
      <c r="C19" s="102"/>
      <c r="D19" s="102"/>
      <c r="E19" s="218">
        <v>93002</v>
      </c>
    </row>
    <row r="20" spans="1:5" s="112" customFormat="1" ht="12" customHeight="1" thickBot="1">
      <c r="A20" s="68" t="s">
        <v>6</v>
      </c>
      <c r="B20" s="75" t="s">
        <v>251</v>
      </c>
      <c r="C20" s="103">
        <f>SUM(C21:C23)</f>
        <v>0</v>
      </c>
      <c r="D20" s="103">
        <f>SUM(D21:D23)</f>
        <v>2356849</v>
      </c>
      <c r="E20" s="107">
        <f>SUM(E21:E23)</f>
        <v>2405119</v>
      </c>
    </row>
    <row r="21" spans="1:5" s="169" customFormat="1" ht="12" customHeight="1">
      <c r="A21" s="162" t="s">
        <v>67</v>
      </c>
      <c r="B21" s="7" t="s">
        <v>132</v>
      </c>
      <c r="C21" s="101"/>
      <c r="D21" s="101"/>
      <c r="E21" s="217"/>
    </row>
    <row r="22" spans="1:5" s="169" customFormat="1" ht="12" customHeight="1">
      <c r="A22" s="162" t="s">
        <v>68</v>
      </c>
      <c r="B22" s="6" t="s">
        <v>252</v>
      </c>
      <c r="C22" s="101"/>
      <c r="D22" s="101"/>
      <c r="E22" s="217"/>
    </row>
    <row r="23" spans="1:5" s="169" customFormat="1" ht="12" customHeight="1">
      <c r="A23" s="162" t="s">
        <v>69</v>
      </c>
      <c r="B23" s="6" t="s">
        <v>253</v>
      </c>
      <c r="C23" s="101"/>
      <c r="D23" s="101">
        <v>2356849</v>
      </c>
      <c r="E23" s="217">
        <v>2405119</v>
      </c>
    </row>
    <row r="24" spans="1:5" s="169" customFormat="1" ht="12" customHeight="1" thickBot="1">
      <c r="A24" s="162" t="s">
        <v>70</v>
      </c>
      <c r="B24" s="6" t="s">
        <v>347</v>
      </c>
      <c r="C24" s="101"/>
      <c r="D24" s="101"/>
      <c r="E24" s="217"/>
    </row>
    <row r="25" spans="1:5" s="169" customFormat="1" ht="12" customHeight="1" thickBot="1">
      <c r="A25" s="71" t="s">
        <v>7</v>
      </c>
      <c r="B25" s="56" t="s">
        <v>103</v>
      </c>
      <c r="C25" s="242"/>
      <c r="D25" s="242"/>
      <c r="E25" s="106"/>
    </row>
    <row r="26" spans="1:5" s="169" customFormat="1" ht="12" customHeight="1" thickBot="1">
      <c r="A26" s="71" t="s">
        <v>8</v>
      </c>
      <c r="B26" s="56" t="s">
        <v>348</v>
      </c>
      <c r="C26" s="103">
        <f>+C27+C28+C29</f>
        <v>0</v>
      </c>
      <c r="D26" s="103">
        <f>+D27+D28+D29</f>
        <v>0</v>
      </c>
      <c r="E26" s="107">
        <f>+E27+E28+E29</f>
        <v>0</v>
      </c>
    </row>
    <row r="27" spans="1:5" s="169" customFormat="1" ht="12" customHeight="1">
      <c r="A27" s="163" t="s">
        <v>141</v>
      </c>
      <c r="B27" s="164" t="s">
        <v>137</v>
      </c>
      <c r="C27" s="224"/>
      <c r="D27" s="224"/>
      <c r="E27" s="222"/>
    </row>
    <row r="28" spans="1:5" s="169" customFormat="1" ht="12" customHeight="1">
      <c r="A28" s="163" t="s">
        <v>142</v>
      </c>
      <c r="B28" s="164" t="s">
        <v>252</v>
      </c>
      <c r="C28" s="101"/>
      <c r="D28" s="101"/>
      <c r="E28" s="217"/>
    </row>
    <row r="29" spans="1:5" s="169" customFormat="1" ht="12" customHeight="1">
      <c r="A29" s="163" t="s">
        <v>143</v>
      </c>
      <c r="B29" s="165" t="s">
        <v>255</v>
      </c>
      <c r="C29" s="101"/>
      <c r="D29" s="101"/>
      <c r="E29" s="217"/>
    </row>
    <row r="30" spans="1:5" s="169" customFormat="1" ht="12" customHeight="1" thickBot="1">
      <c r="A30" s="162" t="s">
        <v>144</v>
      </c>
      <c r="B30" s="60" t="s">
        <v>349</v>
      </c>
      <c r="C30" s="48"/>
      <c r="D30" s="48"/>
      <c r="E30" s="241"/>
    </row>
    <row r="31" spans="1:5" s="169" customFormat="1" ht="12" customHeight="1" thickBot="1">
      <c r="A31" s="71" t="s">
        <v>9</v>
      </c>
      <c r="B31" s="56" t="s">
        <v>256</v>
      </c>
      <c r="C31" s="103">
        <f>+C32+C33+C34</f>
        <v>0</v>
      </c>
      <c r="D31" s="103">
        <f>+D32+D33+D34</f>
        <v>0</v>
      </c>
      <c r="E31" s="107">
        <f>+E32+E33+E34</f>
        <v>0</v>
      </c>
    </row>
    <row r="32" spans="1:5" s="169" customFormat="1" ht="12" customHeight="1">
      <c r="A32" s="163" t="s">
        <v>54</v>
      </c>
      <c r="B32" s="164" t="s">
        <v>162</v>
      </c>
      <c r="C32" s="224"/>
      <c r="D32" s="224"/>
      <c r="E32" s="222"/>
    </row>
    <row r="33" spans="1:5" s="169" customFormat="1" ht="12" customHeight="1">
      <c r="A33" s="163" t="s">
        <v>55</v>
      </c>
      <c r="B33" s="165" t="s">
        <v>163</v>
      </c>
      <c r="C33" s="104"/>
      <c r="D33" s="104"/>
      <c r="E33" s="219"/>
    </row>
    <row r="34" spans="1:5" s="169" customFormat="1" ht="12" customHeight="1" thickBot="1">
      <c r="A34" s="162" t="s">
        <v>56</v>
      </c>
      <c r="B34" s="60" t="s">
        <v>164</v>
      </c>
      <c r="C34" s="48"/>
      <c r="D34" s="48"/>
      <c r="E34" s="241"/>
    </row>
    <row r="35" spans="1:5" s="112" customFormat="1" ht="12" customHeight="1" thickBot="1">
      <c r="A35" s="71" t="s">
        <v>10</v>
      </c>
      <c r="B35" s="56" t="s">
        <v>245</v>
      </c>
      <c r="C35" s="242"/>
      <c r="D35" s="242"/>
      <c r="E35" s="106"/>
    </row>
    <row r="36" spans="1:5" s="112" customFormat="1" ht="12" customHeight="1" thickBot="1">
      <c r="A36" s="71" t="s">
        <v>11</v>
      </c>
      <c r="B36" s="56" t="s">
        <v>257</v>
      </c>
      <c r="C36" s="242"/>
      <c r="D36" s="242"/>
      <c r="E36" s="106"/>
    </row>
    <row r="37" spans="1:5" s="112" customFormat="1" ht="12" customHeight="1" thickBot="1">
      <c r="A37" s="68" t="s">
        <v>12</v>
      </c>
      <c r="B37" s="56" t="s">
        <v>258</v>
      </c>
      <c r="C37" s="103">
        <f>+C8+C20+C25+C26+C31+C35+C36</f>
        <v>0</v>
      </c>
      <c r="D37" s="103">
        <f>+D8+D20+D25+D26+D31+D35+D36</f>
        <v>2356849</v>
      </c>
      <c r="E37" s="107">
        <f>+E8+E20+E25+E26+E31+E35+E36</f>
        <v>2498121</v>
      </c>
    </row>
    <row r="38" spans="1:5" s="112" customFormat="1" ht="12" customHeight="1" thickBot="1">
      <c r="A38" s="76" t="s">
        <v>13</v>
      </c>
      <c r="B38" s="56" t="s">
        <v>259</v>
      </c>
      <c r="C38" s="103">
        <f>+C39+C40+C41</f>
        <v>50690744</v>
      </c>
      <c r="D38" s="103">
        <f>+D39+D40+D41</f>
        <v>58737775</v>
      </c>
      <c r="E38" s="107">
        <f>+E39+E40+E41</f>
        <v>47678327</v>
      </c>
    </row>
    <row r="39" spans="1:5" s="112" customFormat="1" ht="12" customHeight="1">
      <c r="A39" s="163" t="s">
        <v>260</v>
      </c>
      <c r="B39" s="164" t="s">
        <v>125</v>
      </c>
      <c r="C39" s="224">
        <v>899227</v>
      </c>
      <c r="D39" s="224">
        <v>899227</v>
      </c>
      <c r="E39" s="222">
        <v>925141</v>
      </c>
    </row>
    <row r="40" spans="1:5" s="112" customFormat="1" ht="12" customHeight="1">
      <c r="A40" s="163" t="s">
        <v>261</v>
      </c>
      <c r="B40" s="165" t="s">
        <v>0</v>
      </c>
      <c r="C40" s="104"/>
      <c r="D40" s="104"/>
      <c r="E40" s="219"/>
    </row>
    <row r="41" spans="1:5" s="169" customFormat="1" ht="12" customHeight="1" thickBot="1">
      <c r="A41" s="162" t="s">
        <v>262</v>
      </c>
      <c r="B41" s="60" t="s">
        <v>263</v>
      </c>
      <c r="C41" s="48">
        <v>49791517</v>
      </c>
      <c r="D41" s="48">
        <v>57838548</v>
      </c>
      <c r="E41" s="241">
        <v>46753186</v>
      </c>
    </row>
    <row r="42" spans="1:5" s="169" customFormat="1" ht="15" customHeight="1" thickBot="1">
      <c r="A42" s="76" t="s">
        <v>14</v>
      </c>
      <c r="B42" s="77" t="s">
        <v>264</v>
      </c>
      <c r="C42" s="243">
        <f>+C37+C38</f>
        <v>50690744</v>
      </c>
      <c r="D42" s="243">
        <f>+D37+D38</f>
        <v>61094624</v>
      </c>
      <c r="E42" s="110">
        <f>+E37+E38</f>
        <v>50176448</v>
      </c>
    </row>
    <row r="43" spans="1:3" s="169" customFormat="1" ht="15" customHeight="1">
      <c r="A43" s="78"/>
      <c r="B43" s="79"/>
      <c r="C43" s="108"/>
    </row>
    <row r="44" spans="1:3" ht="13.5" thickBot="1">
      <c r="A44" s="80"/>
      <c r="B44" s="81"/>
      <c r="C44" s="109"/>
    </row>
    <row r="45" spans="1:5" s="168" customFormat="1" ht="16.5" customHeight="1" thickBot="1">
      <c r="A45" s="625" t="s">
        <v>39</v>
      </c>
      <c r="B45" s="626"/>
      <c r="C45" s="626"/>
      <c r="D45" s="626"/>
      <c r="E45" s="627"/>
    </row>
    <row r="46" spans="1:5" s="170" customFormat="1" ht="12" customHeight="1" thickBot="1">
      <c r="A46" s="71" t="s">
        <v>5</v>
      </c>
      <c r="B46" s="56" t="s">
        <v>265</v>
      </c>
      <c r="C46" s="103">
        <f>SUM(C47:C51)</f>
        <v>50190744</v>
      </c>
      <c r="D46" s="103">
        <f>SUM(D47:D51)</f>
        <v>60816124</v>
      </c>
      <c r="E46" s="107">
        <f>SUM(E47:E51)</f>
        <v>49986234</v>
      </c>
    </row>
    <row r="47" spans="1:5" ht="12" customHeight="1">
      <c r="A47" s="162" t="s">
        <v>61</v>
      </c>
      <c r="B47" s="7" t="s">
        <v>34</v>
      </c>
      <c r="C47" s="224">
        <v>37851000</v>
      </c>
      <c r="D47" s="224">
        <v>46160112</v>
      </c>
      <c r="E47" s="222">
        <v>37843691</v>
      </c>
    </row>
    <row r="48" spans="1:5" ht="12" customHeight="1">
      <c r="A48" s="162" t="s">
        <v>62</v>
      </c>
      <c r="B48" s="6" t="s">
        <v>112</v>
      </c>
      <c r="C48" s="47">
        <v>7582284</v>
      </c>
      <c r="D48" s="47">
        <v>7959443</v>
      </c>
      <c r="E48" s="220">
        <v>7227830</v>
      </c>
    </row>
    <row r="49" spans="1:5" ht="12" customHeight="1">
      <c r="A49" s="162" t="s">
        <v>63</v>
      </c>
      <c r="B49" s="6" t="s">
        <v>87</v>
      </c>
      <c r="C49" s="47">
        <v>4757460</v>
      </c>
      <c r="D49" s="47">
        <v>6696569</v>
      </c>
      <c r="E49" s="220">
        <v>4914713</v>
      </c>
    </row>
    <row r="50" spans="1:5" ht="12" customHeight="1">
      <c r="A50" s="162" t="s">
        <v>64</v>
      </c>
      <c r="B50" s="6" t="s">
        <v>113</v>
      </c>
      <c r="C50" s="47"/>
      <c r="D50" s="47"/>
      <c r="E50" s="220"/>
    </row>
    <row r="51" spans="1:5" ht="12" customHeight="1" thickBot="1">
      <c r="A51" s="162" t="s">
        <v>94</v>
      </c>
      <c r="B51" s="6" t="s">
        <v>114</v>
      </c>
      <c r="C51" s="47"/>
      <c r="D51" s="47"/>
      <c r="E51" s="220"/>
    </row>
    <row r="52" spans="1:5" ht="12" customHeight="1" thickBot="1">
      <c r="A52" s="71" t="s">
        <v>6</v>
      </c>
      <c r="B52" s="56" t="s">
        <v>266</v>
      </c>
      <c r="C52" s="103">
        <f>SUM(C53:C55)</f>
        <v>500000</v>
      </c>
      <c r="D52" s="103">
        <f>SUM(D53:D55)</f>
        <v>278500</v>
      </c>
      <c r="E52" s="107">
        <f>SUM(E53:E55)</f>
        <v>237582</v>
      </c>
    </row>
    <row r="53" spans="1:5" s="170" customFormat="1" ht="12" customHeight="1">
      <c r="A53" s="162" t="s">
        <v>67</v>
      </c>
      <c r="B53" s="7" t="s">
        <v>122</v>
      </c>
      <c r="C53" s="224">
        <v>500000</v>
      </c>
      <c r="D53" s="224">
        <v>278500</v>
      </c>
      <c r="E53" s="222">
        <v>237582</v>
      </c>
    </row>
    <row r="54" spans="1:5" ht="12" customHeight="1">
      <c r="A54" s="162" t="s">
        <v>68</v>
      </c>
      <c r="B54" s="6" t="s">
        <v>116</v>
      </c>
      <c r="C54" s="47"/>
      <c r="D54" s="47"/>
      <c r="E54" s="220"/>
    </row>
    <row r="55" spans="1:5" ht="12" customHeight="1">
      <c r="A55" s="162" t="s">
        <v>69</v>
      </c>
      <c r="B55" s="6" t="s">
        <v>40</v>
      </c>
      <c r="C55" s="47"/>
      <c r="D55" s="47"/>
      <c r="E55" s="220"/>
    </row>
    <row r="56" spans="1:5" ht="12" customHeight="1" thickBot="1">
      <c r="A56" s="162" t="s">
        <v>70</v>
      </c>
      <c r="B56" s="6" t="s">
        <v>350</v>
      </c>
      <c r="C56" s="47"/>
      <c r="D56" s="47"/>
      <c r="E56" s="220"/>
    </row>
    <row r="57" spans="1:5" ht="12" customHeight="1" thickBot="1">
      <c r="A57" s="71" t="s">
        <v>7</v>
      </c>
      <c r="B57" s="56" t="s">
        <v>1</v>
      </c>
      <c r="C57" s="242"/>
      <c r="D57" s="242"/>
      <c r="E57" s="106"/>
    </row>
    <row r="58" spans="1:5" ht="15" customHeight="1" thickBot="1">
      <c r="A58" s="71" t="s">
        <v>8</v>
      </c>
      <c r="B58" s="82" t="s">
        <v>354</v>
      </c>
      <c r="C58" s="243">
        <f>+C46+C52+C57</f>
        <v>50690744</v>
      </c>
      <c r="D58" s="243">
        <f>+D46+D52+D57</f>
        <v>61094624</v>
      </c>
      <c r="E58" s="110">
        <f>+E46+E52+E57</f>
        <v>50223816</v>
      </c>
    </row>
    <row r="59" spans="3:5" ht="13.5" thickBot="1">
      <c r="C59" s="458">
        <f>C42-C58</f>
        <v>0</v>
      </c>
      <c r="D59" s="458">
        <f>D42-D58</f>
        <v>0</v>
      </c>
      <c r="E59" s="111"/>
    </row>
    <row r="60" spans="1:5" ht="15" customHeight="1" thickBot="1">
      <c r="A60" s="247" t="s">
        <v>416</v>
      </c>
      <c r="B60" s="248"/>
      <c r="C60" s="237">
        <v>10</v>
      </c>
      <c r="D60" s="237"/>
      <c r="E60" s="236">
        <v>9</v>
      </c>
    </row>
    <row r="61" spans="1:5" ht="14.25" customHeight="1" thickBot="1">
      <c r="A61" s="249" t="s">
        <v>417</v>
      </c>
      <c r="B61" s="250"/>
      <c r="C61" s="237"/>
      <c r="D61" s="237"/>
      <c r="E61" s="23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61"/>
  <sheetViews>
    <sheetView zoomScale="120" zoomScaleNormal="120" workbookViewId="0" topLeftCell="A1">
      <selection activeCell="I19" sqref="I19"/>
    </sheetView>
  </sheetViews>
  <sheetFormatPr defaultColWidth="9.00390625" defaultRowHeight="12.75"/>
  <cols>
    <col min="1" max="1" width="13.00390625" style="83" customWidth="1"/>
    <col min="2" max="2" width="59.00390625" style="84" customWidth="1"/>
    <col min="3" max="5" width="15.875" style="84" customWidth="1"/>
    <col min="6" max="16384" width="9.375" style="84" customWidth="1"/>
  </cols>
  <sheetData>
    <row r="1" spans="1:5" s="74" customFormat="1" ht="16.5" thickBot="1">
      <c r="A1" s="265"/>
      <c r="B1" s="629" t="str">
        <f>CONCATENATE("6.2.1. melléklet ",Z_ALAPADATOK!A7," ",Z_ALAPADATOK!B7," ",Z_ALAPADATOK!C7," ",Z_ALAPADATOK!D7," ",Z_ALAPADATOK!E7," ",Z_ALAPADATOK!F7," ",Z_ALAPADATOK!G7," ",Z_ALAPADATOK!H7)</f>
        <v>6.2.1. melléklet a 12 / 2020. ( VI.11. ) önkormányzati rendelethez</v>
      </c>
      <c r="C1" s="630"/>
      <c r="D1" s="630"/>
      <c r="E1" s="630"/>
    </row>
    <row r="2" spans="1:5" s="166" customFormat="1" ht="24.75" thickBot="1">
      <c r="A2" s="266" t="s">
        <v>390</v>
      </c>
      <c r="B2" s="631" t="str">
        <f>CONCATENATE('PH össz.'!B2:D2)</f>
        <v>Karácsondi Polgármesteri hivatal</v>
      </c>
      <c r="C2" s="632"/>
      <c r="D2" s="633"/>
      <c r="E2" s="267" t="s">
        <v>41</v>
      </c>
    </row>
    <row r="3" spans="1:5" s="166" customFormat="1" ht="24.75" thickBot="1">
      <c r="A3" s="266" t="s">
        <v>120</v>
      </c>
      <c r="B3" s="631" t="s">
        <v>267</v>
      </c>
      <c r="C3" s="632"/>
      <c r="D3" s="633"/>
      <c r="E3" s="267" t="s">
        <v>41</v>
      </c>
    </row>
    <row r="4" spans="1:5" s="167" customFormat="1" ht="15.75" customHeight="1" thickBot="1">
      <c r="A4" s="268"/>
      <c r="B4" s="268"/>
      <c r="C4" s="269"/>
      <c r="D4" s="270"/>
      <c r="E4" s="269" t="s">
        <v>669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CONCATENATE('PH össz.'!E5)</f>
        <v>Teljesítés
2019. XII. 31.</v>
      </c>
    </row>
    <row r="6" spans="1:5" s="168" customFormat="1" ht="12.75" customHeight="1" thickBot="1">
      <c r="A6" s="287" t="s">
        <v>325</v>
      </c>
      <c r="B6" s="288" t="s">
        <v>326</v>
      </c>
      <c r="C6" s="288" t="s">
        <v>327</v>
      </c>
      <c r="D6" s="289" t="s">
        <v>329</v>
      </c>
      <c r="E6" s="290" t="s">
        <v>328</v>
      </c>
    </row>
    <row r="7" spans="1:5" s="168" customFormat="1" ht="15.75" customHeight="1" thickBot="1">
      <c r="A7" s="625" t="s">
        <v>38</v>
      </c>
      <c r="B7" s="626"/>
      <c r="C7" s="626"/>
      <c r="D7" s="626"/>
      <c r="E7" s="627"/>
    </row>
    <row r="8" spans="1:5" s="112" customFormat="1" ht="12" customHeight="1" thickBot="1">
      <c r="A8" s="68" t="s">
        <v>5</v>
      </c>
      <c r="B8" s="75" t="s">
        <v>346</v>
      </c>
      <c r="C8" s="103">
        <f>SUM(C9:C19)</f>
        <v>0</v>
      </c>
      <c r="D8" s="103">
        <f>SUM(D9:D19)</f>
        <v>0</v>
      </c>
      <c r="E8" s="107">
        <f>SUM(E9:E19)</f>
        <v>93002</v>
      </c>
    </row>
    <row r="9" spans="1:5" s="112" customFormat="1" ht="12" customHeight="1">
      <c r="A9" s="161" t="s">
        <v>61</v>
      </c>
      <c r="B9" s="8" t="s">
        <v>148</v>
      </c>
      <c r="C9" s="225"/>
      <c r="D9" s="225"/>
      <c r="E9" s="240"/>
    </row>
    <row r="10" spans="1:5" s="112" customFormat="1" ht="12" customHeight="1">
      <c r="A10" s="162" t="s">
        <v>62</v>
      </c>
      <c r="B10" s="6" t="s">
        <v>149</v>
      </c>
      <c r="C10" s="101"/>
      <c r="D10" s="101"/>
      <c r="E10" s="217"/>
    </row>
    <row r="11" spans="1:5" s="112" customFormat="1" ht="12" customHeight="1">
      <c r="A11" s="162" t="s">
        <v>63</v>
      </c>
      <c r="B11" s="6" t="s">
        <v>150</v>
      </c>
      <c r="C11" s="101"/>
      <c r="D11" s="101"/>
      <c r="E11" s="217"/>
    </row>
    <row r="12" spans="1:5" s="112" customFormat="1" ht="12" customHeight="1">
      <c r="A12" s="162" t="s">
        <v>64</v>
      </c>
      <c r="B12" s="6" t="s">
        <v>151</v>
      </c>
      <c r="C12" s="101"/>
      <c r="D12" s="101"/>
      <c r="E12" s="217"/>
    </row>
    <row r="13" spans="1:5" s="112" customFormat="1" ht="12" customHeight="1">
      <c r="A13" s="162" t="s">
        <v>94</v>
      </c>
      <c r="B13" s="6" t="s">
        <v>152</v>
      </c>
      <c r="C13" s="101"/>
      <c r="D13" s="101"/>
      <c r="E13" s="217"/>
    </row>
    <row r="14" spans="1:5" s="112" customFormat="1" ht="12" customHeight="1">
      <c r="A14" s="162" t="s">
        <v>65</v>
      </c>
      <c r="B14" s="6" t="s">
        <v>249</v>
      </c>
      <c r="C14" s="101"/>
      <c r="D14" s="101"/>
      <c r="E14" s="217"/>
    </row>
    <row r="15" spans="1:5" s="112" customFormat="1" ht="12" customHeight="1">
      <c r="A15" s="162" t="s">
        <v>66</v>
      </c>
      <c r="B15" s="5" t="s">
        <v>250</v>
      </c>
      <c r="C15" s="101"/>
      <c r="D15" s="101"/>
      <c r="E15" s="217"/>
    </row>
    <row r="16" spans="1:5" s="112" customFormat="1" ht="12" customHeight="1">
      <c r="A16" s="162" t="s">
        <v>74</v>
      </c>
      <c r="B16" s="6" t="s">
        <v>155</v>
      </c>
      <c r="C16" s="223"/>
      <c r="D16" s="223"/>
      <c r="E16" s="221"/>
    </row>
    <row r="17" spans="1:5" s="169" customFormat="1" ht="12" customHeight="1">
      <c r="A17" s="162" t="s">
        <v>75</v>
      </c>
      <c r="B17" s="6" t="s">
        <v>156</v>
      </c>
      <c r="C17" s="101"/>
      <c r="D17" s="101"/>
      <c r="E17" s="217"/>
    </row>
    <row r="18" spans="1:5" s="169" customFormat="1" ht="12" customHeight="1">
      <c r="A18" s="162" t="s">
        <v>76</v>
      </c>
      <c r="B18" s="6" t="s">
        <v>280</v>
      </c>
      <c r="C18" s="102"/>
      <c r="D18" s="102"/>
      <c r="E18" s="218"/>
    </row>
    <row r="19" spans="1:5" s="169" customFormat="1" ht="12" customHeight="1" thickBot="1">
      <c r="A19" s="162" t="s">
        <v>77</v>
      </c>
      <c r="B19" s="5" t="s">
        <v>157</v>
      </c>
      <c r="C19" s="102"/>
      <c r="D19" s="102"/>
      <c r="E19" s="218">
        <v>93002</v>
      </c>
    </row>
    <row r="20" spans="1:5" s="112" customFormat="1" ht="12" customHeight="1" thickBot="1">
      <c r="A20" s="68" t="s">
        <v>6</v>
      </c>
      <c r="B20" s="75" t="s">
        <v>251</v>
      </c>
      <c r="C20" s="103">
        <f>SUM(C21:C23)</f>
        <v>0</v>
      </c>
      <c r="D20" s="103">
        <f>SUM(D21:D23)</f>
        <v>2356849</v>
      </c>
      <c r="E20" s="107">
        <f>SUM(E21:E23)</f>
        <v>2405119</v>
      </c>
    </row>
    <row r="21" spans="1:5" s="169" customFormat="1" ht="12" customHeight="1">
      <c r="A21" s="162" t="s">
        <v>67</v>
      </c>
      <c r="B21" s="7" t="s">
        <v>132</v>
      </c>
      <c r="C21" s="101"/>
      <c r="D21" s="101"/>
      <c r="E21" s="217"/>
    </row>
    <row r="22" spans="1:5" s="169" customFormat="1" ht="12" customHeight="1">
      <c r="A22" s="162" t="s">
        <v>68</v>
      </c>
      <c r="B22" s="6" t="s">
        <v>252</v>
      </c>
      <c r="C22" s="101"/>
      <c r="D22" s="101"/>
      <c r="E22" s="217"/>
    </row>
    <row r="23" spans="1:5" s="169" customFormat="1" ht="12" customHeight="1">
      <c r="A23" s="162" t="s">
        <v>69</v>
      </c>
      <c r="B23" s="6" t="s">
        <v>253</v>
      </c>
      <c r="C23" s="101"/>
      <c r="D23" s="101">
        <v>2356849</v>
      </c>
      <c r="E23" s="217">
        <v>2405119</v>
      </c>
    </row>
    <row r="24" spans="1:5" s="169" customFormat="1" ht="12" customHeight="1" thickBot="1">
      <c r="A24" s="162" t="s">
        <v>70</v>
      </c>
      <c r="B24" s="6" t="s">
        <v>347</v>
      </c>
      <c r="C24" s="101"/>
      <c r="D24" s="101"/>
      <c r="E24" s="217"/>
    </row>
    <row r="25" spans="1:5" s="169" customFormat="1" ht="12" customHeight="1" thickBot="1">
      <c r="A25" s="71" t="s">
        <v>7</v>
      </c>
      <c r="B25" s="56" t="s">
        <v>103</v>
      </c>
      <c r="C25" s="242"/>
      <c r="D25" s="242"/>
      <c r="E25" s="106"/>
    </row>
    <row r="26" spans="1:5" s="169" customFormat="1" ht="12" customHeight="1" thickBot="1">
      <c r="A26" s="71" t="s">
        <v>8</v>
      </c>
      <c r="B26" s="56" t="s">
        <v>348</v>
      </c>
      <c r="C26" s="103">
        <f>+C27+C28+C29</f>
        <v>0</v>
      </c>
      <c r="D26" s="103">
        <f>+D27+D28+D29</f>
        <v>0</v>
      </c>
      <c r="E26" s="107">
        <f>+E27+E28+E29</f>
        <v>0</v>
      </c>
    </row>
    <row r="27" spans="1:5" s="169" customFormat="1" ht="12" customHeight="1">
      <c r="A27" s="163" t="s">
        <v>141</v>
      </c>
      <c r="B27" s="164" t="s">
        <v>137</v>
      </c>
      <c r="C27" s="224"/>
      <c r="D27" s="224"/>
      <c r="E27" s="222"/>
    </row>
    <row r="28" spans="1:5" s="169" customFormat="1" ht="12" customHeight="1">
      <c r="A28" s="163" t="s">
        <v>142</v>
      </c>
      <c r="B28" s="164" t="s">
        <v>252</v>
      </c>
      <c r="C28" s="101"/>
      <c r="D28" s="101"/>
      <c r="E28" s="217"/>
    </row>
    <row r="29" spans="1:5" s="169" customFormat="1" ht="12" customHeight="1">
      <c r="A29" s="163" t="s">
        <v>143</v>
      </c>
      <c r="B29" s="165" t="s">
        <v>255</v>
      </c>
      <c r="C29" s="101"/>
      <c r="D29" s="101"/>
      <c r="E29" s="217"/>
    </row>
    <row r="30" spans="1:5" s="169" customFormat="1" ht="12" customHeight="1" thickBot="1">
      <c r="A30" s="162" t="s">
        <v>144</v>
      </c>
      <c r="B30" s="60" t="s">
        <v>349</v>
      </c>
      <c r="C30" s="48"/>
      <c r="D30" s="48"/>
      <c r="E30" s="241"/>
    </row>
    <row r="31" spans="1:5" s="169" customFormat="1" ht="12" customHeight="1" thickBot="1">
      <c r="A31" s="71" t="s">
        <v>9</v>
      </c>
      <c r="B31" s="56" t="s">
        <v>256</v>
      </c>
      <c r="C31" s="103">
        <f>+C32+C33+C34</f>
        <v>0</v>
      </c>
      <c r="D31" s="103">
        <f>+D32+D33+D34</f>
        <v>0</v>
      </c>
      <c r="E31" s="107">
        <f>+E32+E33+E34</f>
        <v>0</v>
      </c>
    </row>
    <row r="32" spans="1:5" s="169" customFormat="1" ht="12" customHeight="1">
      <c r="A32" s="163" t="s">
        <v>54</v>
      </c>
      <c r="B32" s="164" t="s">
        <v>162</v>
      </c>
      <c r="C32" s="224"/>
      <c r="D32" s="224"/>
      <c r="E32" s="222"/>
    </row>
    <row r="33" spans="1:5" s="169" customFormat="1" ht="12" customHeight="1">
      <c r="A33" s="163" t="s">
        <v>55</v>
      </c>
      <c r="B33" s="165" t="s">
        <v>163</v>
      </c>
      <c r="C33" s="104"/>
      <c r="D33" s="104"/>
      <c r="E33" s="219"/>
    </row>
    <row r="34" spans="1:5" s="169" customFormat="1" ht="12" customHeight="1" thickBot="1">
      <c r="A34" s="162" t="s">
        <v>56</v>
      </c>
      <c r="B34" s="60" t="s">
        <v>164</v>
      </c>
      <c r="C34" s="48"/>
      <c r="D34" s="48"/>
      <c r="E34" s="241"/>
    </row>
    <row r="35" spans="1:5" s="112" customFormat="1" ht="12" customHeight="1" thickBot="1">
      <c r="A35" s="71" t="s">
        <v>10</v>
      </c>
      <c r="B35" s="56" t="s">
        <v>245</v>
      </c>
      <c r="C35" s="242"/>
      <c r="D35" s="242"/>
      <c r="E35" s="106"/>
    </row>
    <row r="36" spans="1:5" s="112" customFormat="1" ht="12" customHeight="1" thickBot="1">
      <c r="A36" s="71" t="s">
        <v>11</v>
      </c>
      <c r="B36" s="56" t="s">
        <v>257</v>
      </c>
      <c r="C36" s="242"/>
      <c r="D36" s="242"/>
      <c r="E36" s="106"/>
    </row>
    <row r="37" spans="1:5" s="112" customFormat="1" ht="12" customHeight="1" thickBot="1">
      <c r="A37" s="68" t="s">
        <v>12</v>
      </c>
      <c r="B37" s="56" t="s">
        <v>258</v>
      </c>
      <c r="C37" s="103">
        <f>+C8+C20+C25+C26+C31+C35+C36</f>
        <v>0</v>
      </c>
      <c r="D37" s="103">
        <f>+D8+D20+D25+D26+D31+D35+D36</f>
        <v>2356849</v>
      </c>
      <c r="E37" s="107">
        <f>+E8+E20+E25+E26+E31+E35+E36</f>
        <v>2498121</v>
      </c>
    </row>
    <row r="38" spans="1:5" s="112" customFormat="1" ht="12" customHeight="1" thickBot="1">
      <c r="A38" s="76" t="s">
        <v>13</v>
      </c>
      <c r="B38" s="56" t="s">
        <v>259</v>
      </c>
      <c r="C38" s="103">
        <f>+C39+C40+C41</f>
        <v>5069074</v>
      </c>
      <c r="D38" s="103">
        <f>+D39+D40+D41</f>
        <v>5873778</v>
      </c>
      <c r="E38" s="107">
        <f>+E39+E40+E41</f>
        <v>4767833</v>
      </c>
    </row>
    <row r="39" spans="1:5" s="112" customFormat="1" ht="12" customHeight="1">
      <c r="A39" s="163" t="s">
        <v>260</v>
      </c>
      <c r="B39" s="164" t="s">
        <v>125</v>
      </c>
      <c r="C39" s="224">
        <v>89923</v>
      </c>
      <c r="D39" s="224">
        <v>89923</v>
      </c>
      <c r="E39" s="222">
        <v>92514</v>
      </c>
    </row>
    <row r="40" spans="1:5" s="112" customFormat="1" ht="12" customHeight="1">
      <c r="A40" s="163" t="s">
        <v>261</v>
      </c>
      <c r="B40" s="165" t="s">
        <v>0</v>
      </c>
      <c r="C40" s="104"/>
      <c r="D40" s="104"/>
      <c r="E40" s="219"/>
    </row>
    <row r="41" spans="1:5" s="169" customFormat="1" ht="12" customHeight="1" thickBot="1">
      <c r="A41" s="162" t="s">
        <v>262</v>
      </c>
      <c r="B41" s="60" t="s">
        <v>263</v>
      </c>
      <c r="C41" s="48">
        <v>4979151</v>
      </c>
      <c r="D41" s="48">
        <v>5783855</v>
      </c>
      <c r="E41" s="241">
        <v>4675319</v>
      </c>
    </row>
    <row r="42" spans="1:5" s="169" customFormat="1" ht="15" customHeight="1" thickBot="1">
      <c r="A42" s="76" t="s">
        <v>14</v>
      </c>
      <c r="B42" s="77" t="s">
        <v>264</v>
      </c>
      <c r="C42" s="243">
        <f>+C37+C38</f>
        <v>5069074</v>
      </c>
      <c r="D42" s="243">
        <f>+D37+D38</f>
        <v>8230627</v>
      </c>
      <c r="E42" s="110">
        <f>+E37+E38</f>
        <v>7265954</v>
      </c>
    </row>
    <row r="43" spans="1:3" s="169" customFormat="1" ht="15" customHeight="1">
      <c r="A43" s="78"/>
      <c r="B43" s="79"/>
      <c r="C43" s="108"/>
    </row>
    <row r="44" spans="1:3" ht="13.5" thickBot="1">
      <c r="A44" s="80"/>
      <c r="B44" s="81"/>
      <c r="C44" s="109"/>
    </row>
    <row r="45" spans="1:5" s="168" customFormat="1" ht="16.5" customHeight="1" thickBot="1">
      <c r="A45" s="625" t="s">
        <v>39</v>
      </c>
      <c r="B45" s="626"/>
      <c r="C45" s="626"/>
      <c r="D45" s="626"/>
      <c r="E45" s="627"/>
    </row>
    <row r="46" spans="1:5" s="170" customFormat="1" ht="12" customHeight="1" thickBot="1">
      <c r="A46" s="71" t="s">
        <v>5</v>
      </c>
      <c r="B46" s="56" t="s">
        <v>265</v>
      </c>
      <c r="C46" s="103">
        <f>SUM(C47:C51)</f>
        <v>5019074</v>
      </c>
      <c r="D46" s="103">
        <f>SUM(D47:D51)</f>
        <v>6081612</v>
      </c>
      <c r="E46" s="107">
        <f>SUM(E47:E51)</f>
        <v>4998223</v>
      </c>
    </row>
    <row r="47" spans="1:5" ht="12" customHeight="1">
      <c r="A47" s="162" t="s">
        <v>61</v>
      </c>
      <c r="B47" s="7" t="s">
        <v>34</v>
      </c>
      <c r="C47" s="224">
        <v>3785100</v>
      </c>
      <c r="D47" s="224">
        <v>4616011</v>
      </c>
      <c r="E47" s="222">
        <v>3784369</v>
      </c>
    </row>
    <row r="48" spans="1:5" ht="12" customHeight="1">
      <c r="A48" s="162" t="s">
        <v>62</v>
      </c>
      <c r="B48" s="6" t="s">
        <v>112</v>
      </c>
      <c r="C48" s="47">
        <v>758229</v>
      </c>
      <c r="D48" s="47">
        <v>795944</v>
      </c>
      <c r="E48" s="220">
        <v>722783</v>
      </c>
    </row>
    <row r="49" spans="1:5" ht="12" customHeight="1">
      <c r="A49" s="162" t="s">
        <v>63</v>
      </c>
      <c r="B49" s="6" t="s">
        <v>87</v>
      </c>
      <c r="C49" s="47">
        <v>475745</v>
      </c>
      <c r="D49" s="47">
        <v>669657</v>
      </c>
      <c r="E49" s="220">
        <v>491071</v>
      </c>
    </row>
    <row r="50" spans="1:5" ht="12" customHeight="1">
      <c r="A50" s="162" t="s">
        <v>64</v>
      </c>
      <c r="B50" s="6" t="s">
        <v>113</v>
      </c>
      <c r="C50" s="47"/>
      <c r="D50" s="47"/>
      <c r="E50" s="220"/>
    </row>
    <row r="51" spans="1:5" ht="12" customHeight="1" thickBot="1">
      <c r="A51" s="162" t="s">
        <v>94</v>
      </c>
      <c r="B51" s="6" t="s">
        <v>114</v>
      </c>
      <c r="C51" s="47"/>
      <c r="D51" s="47"/>
      <c r="E51" s="220"/>
    </row>
    <row r="52" spans="1:5" ht="12" customHeight="1" thickBot="1">
      <c r="A52" s="71" t="s">
        <v>6</v>
      </c>
      <c r="B52" s="56" t="s">
        <v>266</v>
      </c>
      <c r="C52" s="103">
        <f>SUM(C53:C55)</f>
        <v>50000</v>
      </c>
      <c r="D52" s="103">
        <f>SUM(D53:D55)</f>
        <v>0</v>
      </c>
      <c r="E52" s="107">
        <f>SUM(E53:E55)</f>
        <v>0</v>
      </c>
    </row>
    <row r="53" spans="1:5" s="170" customFormat="1" ht="12" customHeight="1">
      <c r="A53" s="162" t="s">
        <v>67</v>
      </c>
      <c r="B53" s="7" t="s">
        <v>122</v>
      </c>
      <c r="C53" s="224">
        <v>50000</v>
      </c>
      <c r="D53" s="224"/>
      <c r="E53" s="222"/>
    </row>
    <row r="54" spans="1:5" ht="12" customHeight="1">
      <c r="A54" s="162" t="s">
        <v>68</v>
      </c>
      <c r="B54" s="6" t="s">
        <v>116</v>
      </c>
      <c r="C54" s="47"/>
      <c r="D54" s="47"/>
      <c r="E54" s="220"/>
    </row>
    <row r="55" spans="1:5" ht="12" customHeight="1">
      <c r="A55" s="162" t="s">
        <v>69</v>
      </c>
      <c r="B55" s="6" t="s">
        <v>40</v>
      </c>
      <c r="C55" s="47"/>
      <c r="D55" s="47"/>
      <c r="E55" s="220"/>
    </row>
    <row r="56" spans="1:5" ht="12" customHeight="1" thickBot="1">
      <c r="A56" s="162" t="s">
        <v>70</v>
      </c>
      <c r="B56" s="6" t="s">
        <v>350</v>
      </c>
      <c r="C56" s="47"/>
      <c r="D56" s="47"/>
      <c r="E56" s="220"/>
    </row>
    <row r="57" spans="1:5" ht="12" customHeight="1" thickBot="1">
      <c r="A57" s="71" t="s">
        <v>7</v>
      </c>
      <c r="B57" s="56" t="s">
        <v>1</v>
      </c>
      <c r="C57" s="242"/>
      <c r="D57" s="242"/>
      <c r="E57" s="106"/>
    </row>
    <row r="58" spans="1:5" ht="15" customHeight="1" thickBot="1">
      <c r="A58" s="71" t="s">
        <v>8</v>
      </c>
      <c r="B58" s="82" t="s">
        <v>354</v>
      </c>
      <c r="C58" s="243">
        <f>+C46+C52+C57</f>
        <v>5069074</v>
      </c>
      <c r="D58" s="243">
        <f>+D46+D52+D57</f>
        <v>6081612</v>
      </c>
      <c r="E58" s="110">
        <f>+E46+E52+E57</f>
        <v>4998223</v>
      </c>
    </row>
    <row r="59" spans="3:5" ht="13.5" thickBot="1">
      <c r="C59" s="458">
        <f>C42-C58</f>
        <v>0</v>
      </c>
      <c r="D59" s="458">
        <f>D42-D58</f>
        <v>2149015</v>
      </c>
      <c r="E59" s="111"/>
    </row>
    <row r="60" spans="1:5" ht="15" customHeight="1" thickBot="1">
      <c r="A60" s="247" t="s">
        <v>416</v>
      </c>
      <c r="B60" s="248"/>
      <c r="C60" s="237">
        <v>27</v>
      </c>
      <c r="D60" s="237"/>
      <c r="E60" s="236"/>
    </row>
    <row r="61" spans="1:5" ht="14.25" customHeight="1" thickBot="1">
      <c r="A61" s="249" t="s">
        <v>417</v>
      </c>
      <c r="B61" s="250"/>
      <c r="C61" s="237">
        <v>15</v>
      </c>
      <c r="D61" s="237"/>
      <c r="E61" s="23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E61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13.00390625" style="83" customWidth="1"/>
    <col min="2" max="2" width="59.00390625" style="84" customWidth="1"/>
    <col min="3" max="5" width="15.875" style="84" customWidth="1"/>
    <col min="6" max="16384" width="9.375" style="84" customWidth="1"/>
  </cols>
  <sheetData>
    <row r="1" spans="1:5" s="74" customFormat="1" ht="16.5" thickBot="1">
      <c r="A1" s="265"/>
      <c r="B1" s="629" t="str">
        <f>CONCATENATE("6.2.2. melléklet ",Z_ALAPADATOK!A7," ",Z_ALAPADATOK!B7," ",Z_ALAPADATOK!C7," ",Z_ALAPADATOK!D7," ",Z_ALAPADATOK!E7," ",Z_ALAPADATOK!F7," ",Z_ALAPADATOK!G7," ",Z_ALAPADATOK!H7)</f>
        <v>6.2.2. melléklet a 12 / 2020. ( VI.11. ) önkormányzati rendelethez</v>
      </c>
      <c r="C1" s="630"/>
      <c r="D1" s="630"/>
      <c r="E1" s="630"/>
    </row>
    <row r="2" spans="1:5" s="166" customFormat="1" ht="24.75" thickBot="1">
      <c r="A2" s="266" t="s">
        <v>390</v>
      </c>
      <c r="B2" s="631" t="str">
        <f>CONCATENATE('PH Kötelező'!B2:D2)</f>
        <v>Karácsondi Polgármesteri hivatal</v>
      </c>
      <c r="C2" s="632"/>
      <c r="D2" s="633"/>
      <c r="E2" s="267" t="s">
        <v>41</v>
      </c>
    </row>
    <row r="3" spans="1:5" s="166" customFormat="1" ht="24.75" thickBot="1">
      <c r="A3" s="266" t="s">
        <v>120</v>
      </c>
      <c r="B3" s="631" t="s">
        <v>355</v>
      </c>
      <c r="C3" s="632"/>
      <c r="D3" s="633"/>
      <c r="E3" s="267" t="s">
        <v>42</v>
      </c>
    </row>
    <row r="4" spans="1:5" s="167" customFormat="1" ht="15.75" customHeight="1" thickBot="1">
      <c r="A4" s="268"/>
      <c r="B4" s="268"/>
      <c r="C4" s="269"/>
      <c r="D4" s="270"/>
      <c r="E4" s="269" t="str">
        <f>'PH Kötelező'!E4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CONCATENATE('PH Kötelező'!E5)</f>
        <v>Teljesítés
2019. XII. 31.</v>
      </c>
    </row>
    <row r="6" spans="1:5" s="168" customFormat="1" ht="12.75" customHeight="1" thickBot="1">
      <c r="A6" s="287" t="s">
        <v>325</v>
      </c>
      <c r="B6" s="288" t="s">
        <v>326</v>
      </c>
      <c r="C6" s="288" t="s">
        <v>327</v>
      </c>
      <c r="D6" s="289" t="s">
        <v>329</v>
      </c>
      <c r="E6" s="290" t="s">
        <v>328</v>
      </c>
    </row>
    <row r="7" spans="1:5" s="168" customFormat="1" ht="15.75" customHeight="1" thickBot="1">
      <c r="A7" s="625" t="s">
        <v>38</v>
      </c>
      <c r="B7" s="626"/>
      <c r="C7" s="626"/>
      <c r="D7" s="626"/>
      <c r="E7" s="627"/>
    </row>
    <row r="8" spans="1:5" s="112" customFormat="1" ht="12" customHeight="1" thickBot="1">
      <c r="A8" s="68" t="s">
        <v>5</v>
      </c>
      <c r="B8" s="75" t="s">
        <v>346</v>
      </c>
      <c r="C8" s="103">
        <f>SUM(C9:C19)</f>
        <v>0</v>
      </c>
      <c r="D8" s="103">
        <f>SUM(D9:D19)</f>
        <v>0</v>
      </c>
      <c r="E8" s="107">
        <f>SUM(E9:E19)</f>
        <v>0</v>
      </c>
    </row>
    <row r="9" spans="1:5" s="112" customFormat="1" ht="12" customHeight="1">
      <c r="A9" s="161" t="s">
        <v>61</v>
      </c>
      <c r="B9" s="8" t="s">
        <v>148</v>
      </c>
      <c r="C9" s="225"/>
      <c r="D9" s="225"/>
      <c r="E9" s="240"/>
    </row>
    <row r="10" spans="1:5" s="112" customFormat="1" ht="12" customHeight="1">
      <c r="A10" s="162" t="s">
        <v>62</v>
      </c>
      <c r="B10" s="6" t="s">
        <v>149</v>
      </c>
      <c r="C10" s="101"/>
      <c r="D10" s="101"/>
      <c r="E10" s="217"/>
    </row>
    <row r="11" spans="1:5" s="112" customFormat="1" ht="12" customHeight="1">
      <c r="A11" s="162" t="s">
        <v>63</v>
      </c>
      <c r="B11" s="6" t="s">
        <v>150</v>
      </c>
      <c r="C11" s="101"/>
      <c r="D11" s="101"/>
      <c r="E11" s="217"/>
    </row>
    <row r="12" spans="1:5" s="112" customFormat="1" ht="12" customHeight="1">
      <c r="A12" s="162" t="s">
        <v>64</v>
      </c>
      <c r="B12" s="6" t="s">
        <v>151</v>
      </c>
      <c r="C12" s="101"/>
      <c r="D12" s="101"/>
      <c r="E12" s="217"/>
    </row>
    <row r="13" spans="1:5" s="112" customFormat="1" ht="12" customHeight="1">
      <c r="A13" s="162" t="s">
        <v>94</v>
      </c>
      <c r="B13" s="6" t="s">
        <v>152</v>
      </c>
      <c r="C13" s="101"/>
      <c r="D13" s="101"/>
      <c r="E13" s="217"/>
    </row>
    <row r="14" spans="1:5" s="112" customFormat="1" ht="12" customHeight="1">
      <c r="A14" s="162" t="s">
        <v>65</v>
      </c>
      <c r="B14" s="6" t="s">
        <v>249</v>
      </c>
      <c r="C14" s="101"/>
      <c r="D14" s="101"/>
      <c r="E14" s="217"/>
    </row>
    <row r="15" spans="1:5" s="112" customFormat="1" ht="12" customHeight="1">
      <c r="A15" s="162" t="s">
        <v>66</v>
      </c>
      <c r="B15" s="5" t="s">
        <v>250</v>
      </c>
      <c r="C15" s="101"/>
      <c r="D15" s="101"/>
      <c r="E15" s="217"/>
    </row>
    <row r="16" spans="1:5" s="112" customFormat="1" ht="12" customHeight="1">
      <c r="A16" s="162" t="s">
        <v>74</v>
      </c>
      <c r="B16" s="6" t="s">
        <v>155</v>
      </c>
      <c r="C16" s="223"/>
      <c r="D16" s="223"/>
      <c r="E16" s="221"/>
    </row>
    <row r="17" spans="1:5" s="169" customFormat="1" ht="12" customHeight="1">
      <c r="A17" s="162" t="s">
        <v>75</v>
      </c>
      <c r="B17" s="6" t="s">
        <v>156</v>
      </c>
      <c r="C17" s="101"/>
      <c r="D17" s="101"/>
      <c r="E17" s="217"/>
    </row>
    <row r="18" spans="1:5" s="169" customFormat="1" ht="12" customHeight="1">
      <c r="A18" s="162" t="s">
        <v>76</v>
      </c>
      <c r="B18" s="6" t="s">
        <v>280</v>
      </c>
      <c r="C18" s="102"/>
      <c r="D18" s="102"/>
      <c r="E18" s="218"/>
    </row>
    <row r="19" spans="1:5" s="169" customFormat="1" ht="12" customHeight="1" thickBot="1">
      <c r="A19" s="162" t="s">
        <v>77</v>
      </c>
      <c r="B19" s="5" t="s">
        <v>157</v>
      </c>
      <c r="C19" s="102"/>
      <c r="D19" s="102"/>
      <c r="E19" s="218"/>
    </row>
    <row r="20" spans="1:5" s="112" customFormat="1" ht="12" customHeight="1" thickBot="1">
      <c r="A20" s="68" t="s">
        <v>6</v>
      </c>
      <c r="B20" s="75" t="s">
        <v>251</v>
      </c>
      <c r="C20" s="103">
        <f>SUM(C21:C23)</f>
        <v>0</v>
      </c>
      <c r="D20" s="103">
        <f>SUM(D21:D23)</f>
        <v>0</v>
      </c>
      <c r="E20" s="107">
        <f>SUM(E21:E23)</f>
        <v>0</v>
      </c>
    </row>
    <row r="21" spans="1:5" s="169" customFormat="1" ht="12" customHeight="1">
      <c r="A21" s="162" t="s">
        <v>67</v>
      </c>
      <c r="B21" s="7" t="s">
        <v>132</v>
      </c>
      <c r="C21" s="101"/>
      <c r="D21" s="101"/>
      <c r="E21" s="217"/>
    </row>
    <row r="22" spans="1:5" s="169" customFormat="1" ht="12" customHeight="1">
      <c r="A22" s="162" t="s">
        <v>68</v>
      </c>
      <c r="B22" s="6" t="s">
        <v>252</v>
      </c>
      <c r="C22" s="101"/>
      <c r="D22" s="101"/>
      <c r="E22" s="217"/>
    </row>
    <row r="23" spans="1:5" s="169" customFormat="1" ht="12" customHeight="1">
      <c r="A23" s="162" t="s">
        <v>69</v>
      </c>
      <c r="B23" s="6" t="s">
        <v>253</v>
      </c>
      <c r="C23" s="101"/>
      <c r="D23" s="101"/>
      <c r="E23" s="217"/>
    </row>
    <row r="24" spans="1:5" s="169" customFormat="1" ht="12" customHeight="1" thickBot="1">
      <c r="A24" s="162" t="s">
        <v>70</v>
      </c>
      <c r="B24" s="6" t="s">
        <v>347</v>
      </c>
      <c r="C24" s="101"/>
      <c r="D24" s="101"/>
      <c r="E24" s="217"/>
    </row>
    <row r="25" spans="1:5" s="169" customFormat="1" ht="12" customHeight="1" thickBot="1">
      <c r="A25" s="71" t="s">
        <v>7</v>
      </c>
      <c r="B25" s="56" t="s">
        <v>103</v>
      </c>
      <c r="C25" s="242"/>
      <c r="D25" s="242"/>
      <c r="E25" s="106"/>
    </row>
    <row r="26" spans="1:5" s="169" customFormat="1" ht="12" customHeight="1" thickBot="1">
      <c r="A26" s="71" t="s">
        <v>8</v>
      </c>
      <c r="B26" s="56" t="s">
        <v>348</v>
      </c>
      <c r="C26" s="103">
        <f>+C27+C28+C29</f>
        <v>0</v>
      </c>
      <c r="D26" s="103">
        <f>+D27+D28+D29</f>
        <v>0</v>
      </c>
      <c r="E26" s="107">
        <f>+E27+E28+E29</f>
        <v>0</v>
      </c>
    </row>
    <row r="27" spans="1:5" s="169" customFormat="1" ht="12" customHeight="1">
      <c r="A27" s="163" t="s">
        <v>141</v>
      </c>
      <c r="B27" s="164" t="s">
        <v>137</v>
      </c>
      <c r="C27" s="224"/>
      <c r="D27" s="224"/>
      <c r="E27" s="222"/>
    </row>
    <row r="28" spans="1:5" s="169" customFormat="1" ht="12" customHeight="1">
      <c r="A28" s="163" t="s">
        <v>142</v>
      </c>
      <c r="B28" s="164" t="s">
        <v>252</v>
      </c>
      <c r="C28" s="101"/>
      <c r="D28" s="101"/>
      <c r="E28" s="217"/>
    </row>
    <row r="29" spans="1:5" s="169" customFormat="1" ht="12" customHeight="1">
      <c r="A29" s="163" t="s">
        <v>143</v>
      </c>
      <c r="B29" s="165" t="s">
        <v>255</v>
      </c>
      <c r="C29" s="101"/>
      <c r="D29" s="101"/>
      <c r="E29" s="217"/>
    </row>
    <row r="30" spans="1:5" s="169" customFormat="1" ht="12" customHeight="1" thickBot="1">
      <c r="A30" s="162" t="s">
        <v>144</v>
      </c>
      <c r="B30" s="60" t="s">
        <v>349</v>
      </c>
      <c r="C30" s="48"/>
      <c r="D30" s="48"/>
      <c r="E30" s="241"/>
    </row>
    <row r="31" spans="1:5" s="169" customFormat="1" ht="12" customHeight="1" thickBot="1">
      <c r="A31" s="71" t="s">
        <v>9</v>
      </c>
      <c r="B31" s="56" t="s">
        <v>256</v>
      </c>
      <c r="C31" s="103">
        <f>+C32+C33+C34</f>
        <v>0</v>
      </c>
      <c r="D31" s="103">
        <f>+D32+D33+D34</f>
        <v>0</v>
      </c>
      <c r="E31" s="107">
        <f>+E32+E33+E34</f>
        <v>0</v>
      </c>
    </row>
    <row r="32" spans="1:5" s="169" customFormat="1" ht="12" customHeight="1">
      <c r="A32" s="163" t="s">
        <v>54</v>
      </c>
      <c r="B32" s="164" t="s">
        <v>162</v>
      </c>
      <c r="C32" s="224"/>
      <c r="D32" s="224"/>
      <c r="E32" s="222"/>
    </row>
    <row r="33" spans="1:5" s="169" customFormat="1" ht="12" customHeight="1">
      <c r="A33" s="163" t="s">
        <v>55</v>
      </c>
      <c r="B33" s="165" t="s">
        <v>163</v>
      </c>
      <c r="C33" s="104"/>
      <c r="D33" s="104"/>
      <c r="E33" s="219"/>
    </row>
    <row r="34" spans="1:5" s="169" customFormat="1" ht="12" customHeight="1" thickBot="1">
      <c r="A34" s="162" t="s">
        <v>56</v>
      </c>
      <c r="B34" s="60" t="s">
        <v>164</v>
      </c>
      <c r="C34" s="48"/>
      <c r="D34" s="48"/>
      <c r="E34" s="241"/>
    </row>
    <row r="35" spans="1:5" s="112" customFormat="1" ht="12" customHeight="1" thickBot="1">
      <c r="A35" s="71" t="s">
        <v>10</v>
      </c>
      <c r="B35" s="56" t="s">
        <v>245</v>
      </c>
      <c r="C35" s="242"/>
      <c r="D35" s="242"/>
      <c r="E35" s="106"/>
    </row>
    <row r="36" spans="1:5" s="112" customFormat="1" ht="12" customHeight="1" thickBot="1">
      <c r="A36" s="71" t="s">
        <v>11</v>
      </c>
      <c r="B36" s="56" t="s">
        <v>257</v>
      </c>
      <c r="C36" s="242"/>
      <c r="D36" s="242"/>
      <c r="E36" s="106"/>
    </row>
    <row r="37" spans="1:5" s="112" customFormat="1" ht="12" customHeight="1" thickBot="1">
      <c r="A37" s="68" t="s">
        <v>12</v>
      </c>
      <c r="B37" s="56" t="s">
        <v>258</v>
      </c>
      <c r="C37" s="103">
        <f>+C8+C20+C25+C26+C31+C35+C36</f>
        <v>0</v>
      </c>
      <c r="D37" s="103">
        <f>+D8+D20+D25+D26+D31+D35+D36</f>
        <v>0</v>
      </c>
      <c r="E37" s="107">
        <f>+E8+E20+E25+E26+E31+E35+E36</f>
        <v>0</v>
      </c>
    </row>
    <row r="38" spans="1:5" s="112" customFormat="1" ht="12" customHeight="1" thickBot="1">
      <c r="A38" s="76" t="s">
        <v>13</v>
      </c>
      <c r="B38" s="56" t="s">
        <v>259</v>
      </c>
      <c r="C38" s="103">
        <f>+C39+C40+C41</f>
        <v>45621669</v>
      </c>
      <c r="D38" s="103">
        <f>+D39+D40+D41</f>
        <v>52863997</v>
      </c>
      <c r="E38" s="107">
        <f>+E39+E40+E41</f>
        <v>42910494</v>
      </c>
    </row>
    <row r="39" spans="1:5" s="112" customFormat="1" ht="12" customHeight="1">
      <c r="A39" s="163" t="s">
        <v>260</v>
      </c>
      <c r="B39" s="164" t="s">
        <v>125</v>
      </c>
      <c r="C39" s="224">
        <v>809304</v>
      </c>
      <c r="D39" s="224">
        <v>809304</v>
      </c>
      <c r="E39" s="222">
        <v>832627</v>
      </c>
    </row>
    <row r="40" spans="1:5" s="112" customFormat="1" ht="12" customHeight="1">
      <c r="A40" s="163" t="s">
        <v>261</v>
      </c>
      <c r="B40" s="165" t="s">
        <v>0</v>
      </c>
      <c r="C40" s="104"/>
      <c r="D40" s="104"/>
      <c r="E40" s="219"/>
    </row>
    <row r="41" spans="1:5" s="169" customFormat="1" ht="12" customHeight="1" thickBot="1">
      <c r="A41" s="162" t="s">
        <v>262</v>
      </c>
      <c r="B41" s="60" t="s">
        <v>263</v>
      </c>
      <c r="C41" s="48">
        <v>44812365</v>
      </c>
      <c r="D41" s="48">
        <v>52054693</v>
      </c>
      <c r="E41" s="241">
        <v>42077867</v>
      </c>
    </row>
    <row r="42" spans="1:5" s="169" customFormat="1" ht="15" customHeight="1" thickBot="1">
      <c r="A42" s="76" t="s">
        <v>14</v>
      </c>
      <c r="B42" s="77" t="s">
        <v>264</v>
      </c>
      <c r="C42" s="243">
        <f>+C37+C38</f>
        <v>45621669</v>
      </c>
      <c r="D42" s="243">
        <f>+D37+D38</f>
        <v>52863997</v>
      </c>
      <c r="E42" s="110">
        <f>+E37+E38</f>
        <v>42910494</v>
      </c>
    </row>
    <row r="43" spans="1:3" s="169" customFormat="1" ht="15" customHeight="1">
      <c r="A43" s="78"/>
      <c r="B43" s="79"/>
      <c r="C43" s="108"/>
    </row>
    <row r="44" spans="1:3" ht="13.5" thickBot="1">
      <c r="A44" s="80"/>
      <c r="B44" s="81"/>
      <c r="C44" s="109"/>
    </row>
    <row r="45" spans="1:5" s="168" customFormat="1" ht="16.5" customHeight="1" thickBot="1">
      <c r="A45" s="625" t="s">
        <v>39</v>
      </c>
      <c r="B45" s="626"/>
      <c r="C45" s="626"/>
      <c r="D45" s="626"/>
      <c r="E45" s="627"/>
    </row>
    <row r="46" spans="1:5" s="170" customFormat="1" ht="12" customHeight="1" thickBot="1">
      <c r="A46" s="71" t="s">
        <v>5</v>
      </c>
      <c r="B46" s="56" t="s">
        <v>265</v>
      </c>
      <c r="C46" s="103">
        <f>SUM(C47:C51)</f>
        <v>45171669</v>
      </c>
      <c r="D46" s="103">
        <f>SUM(D47:D51)</f>
        <v>54734512</v>
      </c>
      <c r="E46" s="107">
        <f>SUM(E47:E51)</f>
        <v>44988011</v>
      </c>
    </row>
    <row r="47" spans="1:5" ht="12" customHeight="1">
      <c r="A47" s="162" t="s">
        <v>61</v>
      </c>
      <c r="B47" s="7" t="s">
        <v>34</v>
      </c>
      <c r="C47" s="224">
        <v>34065900</v>
      </c>
      <c r="D47" s="224">
        <v>41544101</v>
      </c>
      <c r="E47" s="222">
        <v>34059322</v>
      </c>
    </row>
    <row r="48" spans="1:5" ht="12" customHeight="1">
      <c r="A48" s="162" t="s">
        <v>62</v>
      </c>
      <c r="B48" s="6" t="s">
        <v>112</v>
      </c>
      <c r="C48" s="47">
        <v>6824055</v>
      </c>
      <c r="D48" s="47">
        <v>7163499</v>
      </c>
      <c r="E48" s="220">
        <v>6505047</v>
      </c>
    </row>
    <row r="49" spans="1:5" ht="12" customHeight="1">
      <c r="A49" s="162" t="s">
        <v>63</v>
      </c>
      <c r="B49" s="6" t="s">
        <v>87</v>
      </c>
      <c r="C49" s="47">
        <v>4281714</v>
      </c>
      <c r="D49" s="47">
        <v>6026912</v>
      </c>
      <c r="E49" s="220">
        <v>4423642</v>
      </c>
    </row>
    <row r="50" spans="1:5" ht="12" customHeight="1">
      <c r="A50" s="162" t="s">
        <v>64</v>
      </c>
      <c r="B50" s="6" t="s">
        <v>113</v>
      </c>
      <c r="C50" s="47"/>
      <c r="D50" s="47"/>
      <c r="E50" s="220"/>
    </row>
    <row r="51" spans="1:5" ht="12" customHeight="1" thickBot="1">
      <c r="A51" s="162" t="s">
        <v>94</v>
      </c>
      <c r="B51" s="6" t="s">
        <v>114</v>
      </c>
      <c r="C51" s="47"/>
      <c r="D51" s="47"/>
      <c r="E51" s="220"/>
    </row>
    <row r="52" spans="1:5" ht="12" customHeight="1" thickBot="1">
      <c r="A52" s="71" t="s">
        <v>6</v>
      </c>
      <c r="B52" s="56" t="s">
        <v>266</v>
      </c>
      <c r="C52" s="103">
        <f>SUM(C53:C55)</f>
        <v>450000</v>
      </c>
      <c r="D52" s="103">
        <f>SUM(D53:D55)</f>
        <v>278500</v>
      </c>
      <c r="E52" s="107">
        <f>SUM(E53:E55)</f>
        <v>237582</v>
      </c>
    </row>
    <row r="53" spans="1:5" s="170" customFormat="1" ht="12" customHeight="1">
      <c r="A53" s="162" t="s">
        <v>67</v>
      </c>
      <c r="B53" s="7" t="s">
        <v>122</v>
      </c>
      <c r="C53" s="224">
        <v>450000</v>
      </c>
      <c r="D53" s="224">
        <v>278500</v>
      </c>
      <c r="E53" s="222">
        <v>237582</v>
      </c>
    </row>
    <row r="54" spans="1:5" ht="12" customHeight="1">
      <c r="A54" s="162" t="s">
        <v>68</v>
      </c>
      <c r="B54" s="6" t="s">
        <v>116</v>
      </c>
      <c r="C54" s="47"/>
      <c r="D54" s="47"/>
      <c r="E54" s="220"/>
    </row>
    <row r="55" spans="1:5" ht="12" customHeight="1">
      <c r="A55" s="162" t="s">
        <v>69</v>
      </c>
      <c r="B55" s="6" t="s">
        <v>40</v>
      </c>
      <c r="C55" s="47"/>
      <c r="D55" s="47"/>
      <c r="E55" s="220"/>
    </row>
    <row r="56" spans="1:5" ht="12" customHeight="1" thickBot="1">
      <c r="A56" s="162" t="s">
        <v>70</v>
      </c>
      <c r="B56" s="6" t="s">
        <v>350</v>
      </c>
      <c r="C56" s="47"/>
      <c r="D56" s="47"/>
      <c r="E56" s="220"/>
    </row>
    <row r="57" spans="1:5" ht="12" customHeight="1" thickBot="1">
      <c r="A57" s="71" t="s">
        <v>7</v>
      </c>
      <c r="B57" s="56" t="s">
        <v>1</v>
      </c>
      <c r="C57" s="242"/>
      <c r="D57" s="242"/>
      <c r="E57" s="106"/>
    </row>
    <row r="58" spans="1:5" ht="15" customHeight="1" thickBot="1">
      <c r="A58" s="71" t="s">
        <v>8</v>
      </c>
      <c r="B58" s="82" t="s">
        <v>354</v>
      </c>
      <c r="C58" s="243">
        <f>+C46+C52+C57</f>
        <v>45621669</v>
      </c>
      <c r="D58" s="243">
        <f>+D46+D52+D57</f>
        <v>55013012</v>
      </c>
      <c r="E58" s="110">
        <f>+E46+E52+E57</f>
        <v>45225593</v>
      </c>
    </row>
    <row r="59" spans="3:5" ht="13.5" thickBot="1">
      <c r="C59" s="458">
        <f>C42-C58</f>
        <v>0</v>
      </c>
      <c r="D59" s="458">
        <f>D42-D58</f>
        <v>-2149015</v>
      </c>
      <c r="E59" s="111"/>
    </row>
    <row r="60" spans="1:5" ht="15" customHeight="1" thickBot="1">
      <c r="A60" s="247" t="s">
        <v>416</v>
      </c>
      <c r="B60" s="248"/>
      <c r="C60" s="237"/>
      <c r="D60" s="237"/>
      <c r="E60" s="236"/>
    </row>
    <row r="61" spans="1:5" ht="14.25" customHeight="1" thickBot="1">
      <c r="A61" s="249" t="s">
        <v>417</v>
      </c>
      <c r="B61" s="250"/>
      <c r="C61" s="237"/>
      <c r="D61" s="237"/>
      <c r="E61" s="236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37">
      <selection activeCell="G64" sqref="G64"/>
    </sheetView>
  </sheetViews>
  <sheetFormatPr defaultColWidth="9.00390625" defaultRowHeight="12.75"/>
  <cols>
    <col min="1" max="1" width="13.875" style="83" customWidth="1"/>
    <col min="2" max="2" width="54.50390625" style="84" customWidth="1"/>
    <col min="3" max="5" width="15.875" style="84" customWidth="1"/>
    <col min="6" max="16384" width="9.375" style="84" customWidth="1"/>
  </cols>
  <sheetData>
    <row r="1" spans="1:5" s="74" customFormat="1" ht="16.5" thickBot="1">
      <c r="A1" s="265"/>
      <c r="B1" s="629" t="str">
        <f>CONCATENATE(Z_ALAPADATOK!M13," melléklet ",Z_ALAPADATOK!A7," ",Z_ALAPADATOK!B7," ",Z_ALAPADATOK!C7," ",Z_ALAPADATOK!D7," ",Z_ALAPADATOK!E7," ",Z_ALAPADATOK!F7," ",Z_ALAPADATOK!G7," ",Z_ALAPADATOK!H7)</f>
        <v>6.3. melléklet a 12 / 2020. ( VI.11. ) önkormányzati rendelethez</v>
      </c>
      <c r="C1" s="630"/>
      <c r="D1" s="630"/>
      <c r="E1" s="630"/>
    </row>
    <row r="2" spans="1:5" s="166" customFormat="1" ht="25.5" customHeight="1" thickBot="1">
      <c r="A2" s="266" t="s">
        <v>390</v>
      </c>
      <c r="B2" s="631" t="str">
        <f>CONCATENATE(Z_ALAPADATOK!B13)</f>
        <v>Karácsond Általános Művelődési Központ</v>
      </c>
      <c r="C2" s="632"/>
      <c r="D2" s="633"/>
      <c r="E2" s="267" t="s">
        <v>42</v>
      </c>
    </row>
    <row r="3" spans="1:5" s="166" customFormat="1" ht="24.75" thickBot="1">
      <c r="A3" s="266" t="s">
        <v>120</v>
      </c>
      <c r="B3" s="631" t="s">
        <v>248</v>
      </c>
      <c r="C3" s="632"/>
      <c r="D3" s="633"/>
      <c r="E3" s="267" t="s">
        <v>37</v>
      </c>
    </row>
    <row r="4" spans="1:5" s="167" customFormat="1" ht="15.75" customHeight="1" thickBot="1">
      <c r="A4" s="268"/>
      <c r="B4" s="268"/>
      <c r="C4" s="269"/>
      <c r="D4" s="270"/>
      <c r="E4" s="269" t="s">
        <v>669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CONCATENATE('PH Kötelező'!E5)</f>
        <v>Teljesítés
2019. XII. 31.</v>
      </c>
    </row>
    <row r="6" spans="1:5" s="168" customFormat="1" ht="12.75" customHeight="1" thickBot="1">
      <c r="A6" s="287" t="s">
        <v>325</v>
      </c>
      <c r="B6" s="288" t="s">
        <v>326</v>
      </c>
      <c r="C6" s="288" t="s">
        <v>327</v>
      </c>
      <c r="D6" s="289" t="s">
        <v>329</v>
      </c>
      <c r="E6" s="290" t="s">
        <v>328</v>
      </c>
    </row>
    <row r="7" spans="1:5" s="168" customFormat="1" ht="15.75" customHeight="1" thickBot="1">
      <c r="A7" s="625" t="s">
        <v>38</v>
      </c>
      <c r="B7" s="626"/>
      <c r="C7" s="626"/>
      <c r="D7" s="626"/>
      <c r="E7" s="627"/>
    </row>
    <row r="8" spans="1:5" s="112" customFormat="1" ht="12" customHeight="1" thickBot="1">
      <c r="A8" s="68" t="s">
        <v>5</v>
      </c>
      <c r="B8" s="75" t="s">
        <v>346</v>
      </c>
      <c r="C8" s="103">
        <f>SUM(C9:C19)</f>
        <v>508000</v>
      </c>
      <c r="D8" s="103">
        <f>SUM(D9:D19)</f>
        <v>1492350</v>
      </c>
      <c r="E8" s="105">
        <f>SUM(E9:E19)</f>
        <v>1317827</v>
      </c>
    </row>
    <row r="9" spans="1:5" s="112" customFormat="1" ht="12" customHeight="1">
      <c r="A9" s="161" t="s">
        <v>61</v>
      </c>
      <c r="B9" s="8" t="s">
        <v>148</v>
      </c>
      <c r="C9" s="225"/>
      <c r="D9" s="225"/>
      <c r="E9" s="240"/>
    </row>
    <row r="10" spans="1:5" s="112" customFormat="1" ht="12" customHeight="1">
      <c r="A10" s="162" t="s">
        <v>62</v>
      </c>
      <c r="B10" s="6" t="s">
        <v>149</v>
      </c>
      <c r="C10" s="101"/>
      <c r="D10" s="213"/>
      <c r="E10" s="217"/>
    </row>
    <row r="11" spans="1:5" s="112" customFormat="1" ht="12" customHeight="1">
      <c r="A11" s="162" t="s">
        <v>63</v>
      </c>
      <c r="B11" s="6" t="s">
        <v>150</v>
      </c>
      <c r="C11" s="101"/>
      <c r="D11" s="213"/>
      <c r="E11" s="217"/>
    </row>
    <row r="12" spans="1:5" s="112" customFormat="1" ht="12" customHeight="1">
      <c r="A12" s="162" t="s">
        <v>64</v>
      </c>
      <c r="B12" s="6" t="s">
        <v>151</v>
      </c>
      <c r="C12" s="101"/>
      <c r="D12" s="213">
        <v>884350</v>
      </c>
      <c r="E12" s="217">
        <v>784350</v>
      </c>
    </row>
    <row r="13" spans="1:5" s="112" customFormat="1" ht="12" customHeight="1">
      <c r="A13" s="162" t="s">
        <v>94</v>
      </c>
      <c r="B13" s="6" t="s">
        <v>152</v>
      </c>
      <c r="C13" s="101">
        <v>400000</v>
      </c>
      <c r="D13" s="213">
        <v>400000</v>
      </c>
      <c r="E13" s="217">
        <v>334981</v>
      </c>
    </row>
    <row r="14" spans="1:5" s="112" customFormat="1" ht="12" customHeight="1">
      <c r="A14" s="162" t="s">
        <v>65</v>
      </c>
      <c r="B14" s="6" t="s">
        <v>249</v>
      </c>
      <c r="C14" s="101">
        <v>108000</v>
      </c>
      <c r="D14" s="213">
        <v>108000</v>
      </c>
      <c r="E14" s="217">
        <v>98948</v>
      </c>
    </row>
    <row r="15" spans="1:5" s="112" customFormat="1" ht="12" customHeight="1">
      <c r="A15" s="162" t="s">
        <v>66</v>
      </c>
      <c r="B15" s="5" t="s">
        <v>250</v>
      </c>
      <c r="C15" s="101"/>
      <c r="D15" s="213"/>
      <c r="E15" s="217"/>
    </row>
    <row r="16" spans="1:5" s="112" customFormat="1" ht="12" customHeight="1">
      <c r="A16" s="162" t="s">
        <v>74</v>
      </c>
      <c r="B16" s="6" t="s">
        <v>155</v>
      </c>
      <c r="C16" s="223"/>
      <c r="D16" s="245"/>
      <c r="E16" s="221"/>
    </row>
    <row r="17" spans="1:5" s="169" customFormat="1" ht="12" customHeight="1">
      <c r="A17" s="162" t="s">
        <v>75</v>
      </c>
      <c r="B17" s="6" t="s">
        <v>156</v>
      </c>
      <c r="C17" s="101"/>
      <c r="D17" s="213"/>
      <c r="E17" s="217"/>
    </row>
    <row r="18" spans="1:5" s="169" customFormat="1" ht="12" customHeight="1">
      <c r="A18" s="162" t="s">
        <v>76</v>
      </c>
      <c r="B18" s="6" t="s">
        <v>280</v>
      </c>
      <c r="C18" s="102"/>
      <c r="D18" s="214"/>
      <c r="E18" s="218"/>
    </row>
    <row r="19" spans="1:5" s="169" customFormat="1" ht="12" customHeight="1" thickBot="1">
      <c r="A19" s="162" t="s">
        <v>77</v>
      </c>
      <c r="B19" s="5" t="s">
        <v>157</v>
      </c>
      <c r="C19" s="102"/>
      <c r="D19" s="214">
        <v>100000</v>
      </c>
      <c r="E19" s="218">
        <v>99548</v>
      </c>
    </row>
    <row r="20" spans="1:5" s="112" customFormat="1" ht="12" customHeight="1" thickBot="1">
      <c r="A20" s="68" t="s">
        <v>6</v>
      </c>
      <c r="B20" s="75" t="s">
        <v>251</v>
      </c>
      <c r="C20" s="103">
        <f>SUM(C21:C23)</f>
        <v>3156114</v>
      </c>
      <c r="D20" s="215">
        <f>SUM(D21:D23)</f>
        <v>3799819</v>
      </c>
      <c r="E20" s="107">
        <f>SUM(E21:E23)</f>
        <v>3799819</v>
      </c>
    </row>
    <row r="21" spans="1:5" s="169" customFormat="1" ht="12" customHeight="1">
      <c r="A21" s="162" t="s">
        <v>67</v>
      </c>
      <c r="B21" s="7" t="s">
        <v>132</v>
      </c>
      <c r="C21" s="101"/>
      <c r="D21" s="213"/>
      <c r="E21" s="217"/>
    </row>
    <row r="22" spans="1:5" s="169" customFormat="1" ht="12" customHeight="1">
      <c r="A22" s="162" t="s">
        <v>68</v>
      </c>
      <c r="B22" s="6" t="s">
        <v>252</v>
      </c>
      <c r="C22" s="101"/>
      <c r="D22" s="213"/>
      <c r="E22" s="217"/>
    </row>
    <row r="23" spans="1:5" s="169" customFormat="1" ht="12" customHeight="1">
      <c r="A23" s="162" t="s">
        <v>69</v>
      </c>
      <c r="B23" s="6" t="s">
        <v>253</v>
      </c>
      <c r="C23" s="101">
        <v>3156114</v>
      </c>
      <c r="D23" s="213">
        <v>3799819</v>
      </c>
      <c r="E23" s="217">
        <v>3799819</v>
      </c>
    </row>
    <row r="24" spans="1:5" s="169" customFormat="1" ht="12" customHeight="1" thickBot="1">
      <c r="A24" s="162" t="s">
        <v>70</v>
      </c>
      <c r="B24" s="6" t="s">
        <v>351</v>
      </c>
      <c r="C24" s="101"/>
      <c r="D24" s="213"/>
      <c r="E24" s="217"/>
    </row>
    <row r="25" spans="1:5" s="169" customFormat="1" ht="12" customHeight="1" thickBot="1">
      <c r="A25" s="71" t="s">
        <v>7</v>
      </c>
      <c r="B25" s="56" t="s">
        <v>103</v>
      </c>
      <c r="C25" s="242"/>
      <c r="D25" s="244"/>
      <c r="E25" s="106"/>
    </row>
    <row r="26" spans="1:5" s="169" customFormat="1" ht="12" customHeight="1" thickBot="1">
      <c r="A26" s="71" t="s">
        <v>8</v>
      </c>
      <c r="B26" s="56" t="s">
        <v>254</v>
      </c>
      <c r="C26" s="103">
        <f>+C27+C28</f>
        <v>0</v>
      </c>
      <c r="D26" s="215">
        <f>+D27+D28</f>
        <v>0</v>
      </c>
      <c r="E26" s="107">
        <f>+E27+E28</f>
        <v>0</v>
      </c>
    </row>
    <row r="27" spans="1:5" s="169" customFormat="1" ht="12" customHeight="1">
      <c r="A27" s="163" t="s">
        <v>141</v>
      </c>
      <c r="B27" s="164" t="s">
        <v>252</v>
      </c>
      <c r="C27" s="224"/>
      <c r="D27" s="57"/>
      <c r="E27" s="222"/>
    </row>
    <row r="28" spans="1:5" s="169" customFormat="1" ht="21" customHeight="1">
      <c r="A28" s="163" t="s">
        <v>142</v>
      </c>
      <c r="B28" s="165" t="s">
        <v>255</v>
      </c>
      <c r="C28" s="104"/>
      <c r="D28" s="216"/>
      <c r="E28" s="219"/>
    </row>
    <row r="29" spans="1:5" s="169" customFormat="1" ht="12" customHeight="1" thickBot="1">
      <c r="A29" s="162" t="s">
        <v>143</v>
      </c>
      <c r="B29" s="60" t="s">
        <v>352</v>
      </c>
      <c r="C29" s="48"/>
      <c r="D29" s="246"/>
      <c r="E29" s="241"/>
    </row>
    <row r="30" spans="1:5" s="169" customFormat="1" ht="12" customHeight="1" thickBot="1">
      <c r="A30" s="71" t="s">
        <v>9</v>
      </c>
      <c r="B30" s="56" t="s">
        <v>256</v>
      </c>
      <c r="C30" s="103">
        <f>+C31+C32+C33</f>
        <v>0</v>
      </c>
      <c r="D30" s="215">
        <f>+D31+D32+D33</f>
        <v>0</v>
      </c>
      <c r="E30" s="107">
        <f>+E31+E32+E33</f>
        <v>0</v>
      </c>
    </row>
    <row r="31" spans="1:5" s="169" customFormat="1" ht="12" customHeight="1">
      <c r="A31" s="163" t="s">
        <v>54</v>
      </c>
      <c r="B31" s="164" t="s">
        <v>162</v>
      </c>
      <c r="C31" s="224"/>
      <c r="D31" s="57"/>
      <c r="E31" s="222"/>
    </row>
    <row r="32" spans="1:5" s="169" customFormat="1" ht="12" customHeight="1">
      <c r="A32" s="163" t="s">
        <v>55</v>
      </c>
      <c r="B32" s="165" t="s">
        <v>163</v>
      </c>
      <c r="C32" s="104"/>
      <c r="D32" s="216"/>
      <c r="E32" s="219"/>
    </row>
    <row r="33" spans="1:5" s="169" customFormat="1" ht="12" customHeight="1" thickBot="1">
      <c r="A33" s="162" t="s">
        <v>56</v>
      </c>
      <c r="B33" s="60" t="s">
        <v>164</v>
      </c>
      <c r="C33" s="48"/>
      <c r="D33" s="246"/>
      <c r="E33" s="241"/>
    </row>
    <row r="34" spans="1:5" s="112" customFormat="1" ht="12" customHeight="1" thickBot="1">
      <c r="A34" s="71" t="s">
        <v>10</v>
      </c>
      <c r="B34" s="56" t="s">
        <v>245</v>
      </c>
      <c r="C34" s="242"/>
      <c r="D34" s="244"/>
      <c r="E34" s="106"/>
    </row>
    <row r="35" spans="1:5" s="112" customFormat="1" ht="12" customHeight="1" thickBot="1">
      <c r="A35" s="71" t="s">
        <v>11</v>
      </c>
      <c r="B35" s="56" t="s">
        <v>257</v>
      </c>
      <c r="C35" s="242"/>
      <c r="D35" s="244"/>
      <c r="E35" s="106"/>
    </row>
    <row r="36" spans="1:5" s="112" customFormat="1" ht="12" customHeight="1" thickBot="1">
      <c r="A36" s="68" t="s">
        <v>12</v>
      </c>
      <c r="B36" s="56" t="s">
        <v>353</v>
      </c>
      <c r="C36" s="103">
        <f>+C8+C20+C25+C26+C30+C34+C35</f>
        <v>3664114</v>
      </c>
      <c r="D36" s="215">
        <f>+D8+D20+D25+D26+D30+D34+D35</f>
        <v>5292169</v>
      </c>
      <c r="E36" s="107">
        <f>+E8+E20+E25+E26+E30+E34+E35</f>
        <v>5117646</v>
      </c>
    </row>
    <row r="37" spans="1:5" s="112" customFormat="1" ht="12" customHeight="1" thickBot="1">
      <c r="A37" s="76" t="s">
        <v>13</v>
      </c>
      <c r="B37" s="56" t="s">
        <v>259</v>
      </c>
      <c r="C37" s="103">
        <f>+C38+C39+C40</f>
        <v>99478195</v>
      </c>
      <c r="D37" s="215">
        <f>+D38+D39+D40</f>
        <v>106728430</v>
      </c>
      <c r="E37" s="107">
        <f>+E38+E39+E40</f>
        <v>85168393</v>
      </c>
    </row>
    <row r="38" spans="1:5" s="112" customFormat="1" ht="12" customHeight="1">
      <c r="A38" s="163" t="s">
        <v>260</v>
      </c>
      <c r="B38" s="164" t="s">
        <v>125</v>
      </c>
      <c r="C38" s="224">
        <v>395174</v>
      </c>
      <c r="D38" s="57">
        <v>395174</v>
      </c>
      <c r="E38" s="222">
        <v>60080</v>
      </c>
    </row>
    <row r="39" spans="1:5" s="112" customFormat="1" ht="12" customHeight="1">
      <c r="A39" s="163" t="s">
        <v>261</v>
      </c>
      <c r="B39" s="165" t="s">
        <v>0</v>
      </c>
      <c r="C39" s="104"/>
      <c r="D39" s="216"/>
      <c r="E39" s="219"/>
    </row>
    <row r="40" spans="1:5" s="169" customFormat="1" ht="12" customHeight="1" thickBot="1">
      <c r="A40" s="162" t="s">
        <v>262</v>
      </c>
      <c r="B40" s="60" t="s">
        <v>263</v>
      </c>
      <c r="C40" s="48">
        <v>99083021</v>
      </c>
      <c r="D40" s="246">
        <v>106333256</v>
      </c>
      <c r="E40" s="241">
        <v>85108313</v>
      </c>
    </row>
    <row r="41" spans="1:5" s="169" customFormat="1" ht="15" customHeight="1" thickBot="1">
      <c r="A41" s="76" t="s">
        <v>14</v>
      </c>
      <c r="B41" s="77" t="s">
        <v>264</v>
      </c>
      <c r="C41" s="243">
        <f>+C36+C37</f>
        <v>103142309</v>
      </c>
      <c r="D41" s="239">
        <f>+D36+D37</f>
        <v>112020599</v>
      </c>
      <c r="E41" s="110">
        <f>+E36+E37</f>
        <v>90286039</v>
      </c>
    </row>
    <row r="42" spans="1:3" s="169" customFormat="1" ht="15" customHeight="1">
      <c r="A42" s="78"/>
      <c r="B42" s="79"/>
      <c r="C42" s="108"/>
    </row>
    <row r="43" spans="1:3" ht="13.5" thickBot="1">
      <c r="A43" s="80"/>
      <c r="B43" s="81"/>
      <c r="C43" s="109"/>
    </row>
    <row r="44" spans="1:5" s="168" customFormat="1" ht="16.5" customHeight="1" thickBot="1">
      <c r="A44" s="625" t="s">
        <v>39</v>
      </c>
      <c r="B44" s="626"/>
      <c r="C44" s="626"/>
      <c r="D44" s="626"/>
      <c r="E44" s="627"/>
    </row>
    <row r="45" spans="1:5" s="170" customFormat="1" ht="12" customHeight="1" thickBot="1">
      <c r="A45" s="71" t="s">
        <v>5</v>
      </c>
      <c r="B45" s="56" t="s">
        <v>265</v>
      </c>
      <c r="C45" s="103">
        <f>SUM(C46:C50)</f>
        <v>101640309</v>
      </c>
      <c r="D45" s="215">
        <f>SUM(D46:D50)</f>
        <v>110432799</v>
      </c>
      <c r="E45" s="107">
        <f>SUM(E46:E50)</f>
        <v>88304149</v>
      </c>
    </row>
    <row r="46" spans="1:5" ht="12" customHeight="1">
      <c r="A46" s="162" t="s">
        <v>61</v>
      </c>
      <c r="B46" s="7" t="s">
        <v>34</v>
      </c>
      <c r="C46" s="224">
        <v>68416648</v>
      </c>
      <c r="D46" s="57">
        <v>73794088</v>
      </c>
      <c r="E46" s="222">
        <v>55557132</v>
      </c>
    </row>
    <row r="47" spans="1:5" ht="12" customHeight="1">
      <c r="A47" s="162" t="s">
        <v>62</v>
      </c>
      <c r="B47" s="6" t="s">
        <v>112</v>
      </c>
      <c r="C47" s="47">
        <v>13732649</v>
      </c>
      <c r="D47" s="58">
        <v>13160649</v>
      </c>
      <c r="E47" s="220">
        <v>10557379</v>
      </c>
    </row>
    <row r="48" spans="1:5" ht="12" customHeight="1">
      <c r="A48" s="162" t="s">
        <v>63</v>
      </c>
      <c r="B48" s="6" t="s">
        <v>87</v>
      </c>
      <c r="C48" s="47">
        <v>19491012</v>
      </c>
      <c r="D48" s="58">
        <v>23478062</v>
      </c>
      <c r="E48" s="220">
        <v>22189638</v>
      </c>
    </row>
    <row r="49" spans="1:5" ht="12" customHeight="1">
      <c r="A49" s="162" t="s">
        <v>64</v>
      </c>
      <c r="B49" s="6" t="s">
        <v>113</v>
      </c>
      <c r="C49" s="47"/>
      <c r="D49" s="58"/>
      <c r="E49" s="220"/>
    </row>
    <row r="50" spans="1:5" ht="12" customHeight="1" thickBot="1">
      <c r="A50" s="162" t="s">
        <v>94</v>
      </c>
      <c r="B50" s="6" t="s">
        <v>114</v>
      </c>
      <c r="C50" s="47"/>
      <c r="D50" s="58"/>
      <c r="E50" s="220"/>
    </row>
    <row r="51" spans="1:5" ht="12" customHeight="1" thickBot="1">
      <c r="A51" s="71" t="s">
        <v>6</v>
      </c>
      <c r="B51" s="56" t="s">
        <v>266</v>
      </c>
      <c r="C51" s="103">
        <f>SUM(C52:C54)</f>
        <v>1502000</v>
      </c>
      <c r="D51" s="215">
        <f>SUM(D52:D54)</f>
        <v>1587800</v>
      </c>
      <c r="E51" s="107">
        <f>SUM(E52:E54)</f>
        <v>1586383</v>
      </c>
    </row>
    <row r="52" spans="1:5" s="170" customFormat="1" ht="12" customHeight="1">
      <c r="A52" s="162" t="s">
        <v>67</v>
      </c>
      <c r="B52" s="7" t="s">
        <v>122</v>
      </c>
      <c r="C52" s="224">
        <v>1502000</v>
      </c>
      <c r="D52" s="57">
        <v>1587800</v>
      </c>
      <c r="E52" s="222">
        <v>1586383</v>
      </c>
    </row>
    <row r="53" spans="1:5" ht="12" customHeight="1">
      <c r="A53" s="162" t="s">
        <v>68</v>
      </c>
      <c r="B53" s="6" t="s">
        <v>116</v>
      </c>
      <c r="C53" s="47"/>
      <c r="D53" s="58"/>
      <c r="E53" s="220"/>
    </row>
    <row r="54" spans="1:5" ht="12" customHeight="1">
      <c r="A54" s="162" t="s">
        <v>69</v>
      </c>
      <c r="B54" s="6" t="s">
        <v>40</v>
      </c>
      <c r="C54" s="47"/>
      <c r="D54" s="58"/>
      <c r="E54" s="220"/>
    </row>
    <row r="55" spans="1:5" ht="12" customHeight="1" thickBot="1">
      <c r="A55" s="162" t="s">
        <v>70</v>
      </c>
      <c r="B55" s="6" t="s">
        <v>350</v>
      </c>
      <c r="C55" s="47"/>
      <c r="D55" s="58"/>
      <c r="E55" s="220"/>
    </row>
    <row r="56" spans="1:5" ht="15" customHeight="1" thickBot="1">
      <c r="A56" s="71" t="s">
        <v>7</v>
      </c>
      <c r="B56" s="56" t="s">
        <v>1</v>
      </c>
      <c r="C56" s="242"/>
      <c r="D56" s="244"/>
      <c r="E56" s="106"/>
    </row>
    <row r="57" spans="1:5" ht="13.5" thickBot="1">
      <c r="A57" s="71" t="s">
        <v>8</v>
      </c>
      <c r="B57" s="82" t="s">
        <v>354</v>
      </c>
      <c r="C57" s="243">
        <f>+C45+C51+C56</f>
        <v>103142309</v>
      </c>
      <c r="D57" s="239">
        <f>+D45+D51+D56</f>
        <v>112020599</v>
      </c>
      <c r="E57" s="110">
        <f>+E45+E51+E56</f>
        <v>89890532</v>
      </c>
    </row>
    <row r="58" spans="3:4" ht="15" customHeight="1" thickBot="1">
      <c r="C58" s="458">
        <f>C41-C57</f>
        <v>0</v>
      </c>
      <c r="D58" s="458">
        <f>D41-D57</f>
        <v>0</v>
      </c>
    </row>
    <row r="59" spans="1:5" ht="14.25" customHeight="1" thickBot="1">
      <c r="A59" s="247" t="s">
        <v>416</v>
      </c>
      <c r="B59" s="248"/>
      <c r="C59" s="237">
        <v>20</v>
      </c>
      <c r="D59" s="237"/>
      <c r="E59" s="236">
        <v>18</v>
      </c>
    </row>
    <row r="60" spans="1:5" ht="13.5" thickBot="1">
      <c r="A60" s="249" t="s">
        <v>417</v>
      </c>
      <c r="B60" s="250"/>
      <c r="C60" s="237"/>
      <c r="D60" s="237"/>
      <c r="E60" s="23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E60"/>
  <sheetViews>
    <sheetView zoomScale="120" zoomScaleNormal="120" workbookViewId="0" topLeftCell="A1">
      <selection activeCell="L50" sqref="L50"/>
    </sheetView>
  </sheetViews>
  <sheetFormatPr defaultColWidth="9.00390625" defaultRowHeight="12.75"/>
  <cols>
    <col min="1" max="1" width="13.875" style="83" customWidth="1"/>
    <col min="2" max="2" width="54.50390625" style="84" customWidth="1"/>
    <col min="3" max="5" width="15.875" style="84" customWidth="1"/>
    <col min="6" max="16384" width="9.375" style="84" customWidth="1"/>
  </cols>
  <sheetData>
    <row r="1" spans="1:5" s="74" customFormat="1" ht="16.5" thickBot="1">
      <c r="A1" s="265"/>
      <c r="B1" s="634" t="str">
        <f>CONCATENATE(Z_ALAPADATOK!M13,"1. melléklet ",Z_ALAPADATOK!A7," ",Z_ALAPADATOK!B7," ",Z_ALAPADATOK!C7," ",Z_ALAPADATOK!D7," ",Z_ALAPADATOK!E7," ",Z_ALAPADATOK!F7," ",Z_ALAPADATOK!G7," ",Z_ALAPADATOK!H7)</f>
        <v>6.3.1. melléklet a 12 / 2020. ( VI.11. ) önkormányzati rendelethez</v>
      </c>
      <c r="C1" s="635"/>
      <c r="D1" s="635"/>
      <c r="E1" s="635"/>
    </row>
    <row r="2" spans="1:5" s="166" customFormat="1" ht="25.5" customHeight="1" thickBot="1">
      <c r="A2" s="266" t="s">
        <v>390</v>
      </c>
      <c r="B2" s="631" t="str">
        <f>CONCATENATE('ÁMK össz.'!B2:D2)</f>
        <v>Karácsond Általános Művelődési Központ</v>
      </c>
      <c r="C2" s="632"/>
      <c r="D2" s="633"/>
      <c r="E2" s="267" t="s">
        <v>42</v>
      </c>
    </row>
    <row r="3" spans="1:5" s="166" customFormat="1" ht="24.75" thickBot="1">
      <c r="A3" s="266" t="s">
        <v>120</v>
      </c>
      <c r="B3" s="631" t="s">
        <v>267</v>
      </c>
      <c r="C3" s="632"/>
      <c r="D3" s="633"/>
      <c r="E3" s="267" t="s">
        <v>41</v>
      </c>
    </row>
    <row r="4" spans="1:5" s="167" customFormat="1" ht="15.75" customHeight="1" thickBot="1">
      <c r="A4" s="268"/>
      <c r="B4" s="268"/>
      <c r="C4" s="269"/>
      <c r="D4" s="270"/>
      <c r="E4" s="269" t="str">
        <f>'ÁMK össz.'!E4</f>
        <v>Forintban</v>
      </c>
    </row>
    <row r="5" spans="1:5" ht="24.75" thickBot="1">
      <c r="A5" s="271" t="s">
        <v>121</v>
      </c>
      <c r="B5" s="272" t="s">
        <v>415</v>
      </c>
      <c r="C5" s="272" t="s">
        <v>386</v>
      </c>
      <c r="D5" s="273" t="s">
        <v>387</v>
      </c>
      <c r="E5" s="256" t="str">
        <f>CONCATENATE('ÁMK össz.'!E5)</f>
        <v>Teljesítés
2019. XII. 31.</v>
      </c>
    </row>
    <row r="6" spans="1:5" s="168" customFormat="1" ht="12.75" customHeight="1" thickBot="1">
      <c r="A6" s="287" t="s">
        <v>325</v>
      </c>
      <c r="B6" s="288" t="s">
        <v>326</v>
      </c>
      <c r="C6" s="288" t="s">
        <v>327</v>
      </c>
      <c r="D6" s="289" t="s">
        <v>329</v>
      </c>
      <c r="E6" s="290" t="s">
        <v>328</v>
      </c>
    </row>
    <row r="7" spans="1:5" s="168" customFormat="1" ht="15.75" customHeight="1" thickBot="1">
      <c r="A7" s="625" t="s">
        <v>38</v>
      </c>
      <c r="B7" s="626"/>
      <c r="C7" s="626"/>
      <c r="D7" s="626"/>
      <c r="E7" s="627"/>
    </row>
    <row r="8" spans="1:5" s="112" customFormat="1" ht="12" customHeight="1" thickBot="1">
      <c r="A8" s="68" t="s">
        <v>5</v>
      </c>
      <c r="B8" s="75" t="s">
        <v>346</v>
      </c>
      <c r="C8" s="103">
        <f>SUM(C9:C19)</f>
        <v>508000</v>
      </c>
      <c r="D8" s="103">
        <f>SUM(D9:D19)</f>
        <v>1492350</v>
      </c>
      <c r="E8" s="105">
        <f>SUM(E9:E19)</f>
        <v>1317827</v>
      </c>
    </row>
    <row r="9" spans="1:5" s="112" customFormat="1" ht="12" customHeight="1">
      <c r="A9" s="161" t="s">
        <v>61</v>
      </c>
      <c r="B9" s="8" t="s">
        <v>148</v>
      </c>
      <c r="C9" s="225"/>
      <c r="D9" s="225"/>
      <c r="E9" s="240"/>
    </row>
    <row r="10" spans="1:5" s="112" customFormat="1" ht="12" customHeight="1">
      <c r="A10" s="162" t="s">
        <v>62</v>
      </c>
      <c r="B10" s="6" t="s">
        <v>149</v>
      </c>
      <c r="C10" s="101"/>
      <c r="D10" s="213"/>
      <c r="E10" s="217"/>
    </row>
    <row r="11" spans="1:5" s="112" customFormat="1" ht="12" customHeight="1">
      <c r="A11" s="162" t="s">
        <v>63</v>
      </c>
      <c r="B11" s="6" t="s">
        <v>150</v>
      </c>
      <c r="C11" s="101"/>
      <c r="D11" s="213"/>
      <c r="E11" s="217"/>
    </row>
    <row r="12" spans="1:5" s="112" customFormat="1" ht="12" customHeight="1">
      <c r="A12" s="162" t="s">
        <v>64</v>
      </c>
      <c r="B12" s="6" t="s">
        <v>151</v>
      </c>
      <c r="C12" s="101"/>
      <c r="D12" s="213">
        <v>884350</v>
      </c>
      <c r="E12" s="217">
        <v>784350</v>
      </c>
    </row>
    <row r="13" spans="1:5" s="112" customFormat="1" ht="12" customHeight="1">
      <c r="A13" s="162" t="s">
        <v>94</v>
      </c>
      <c r="B13" s="6" t="s">
        <v>152</v>
      </c>
      <c r="C13" s="101">
        <v>400000</v>
      </c>
      <c r="D13" s="213">
        <v>400000</v>
      </c>
      <c r="E13" s="217">
        <v>334981</v>
      </c>
    </row>
    <row r="14" spans="1:5" s="112" customFormat="1" ht="12" customHeight="1">
      <c r="A14" s="162" t="s">
        <v>65</v>
      </c>
      <c r="B14" s="6" t="s">
        <v>249</v>
      </c>
      <c r="C14" s="101">
        <v>108000</v>
      </c>
      <c r="D14" s="213">
        <v>108000</v>
      </c>
      <c r="E14" s="217">
        <v>98948</v>
      </c>
    </row>
    <row r="15" spans="1:5" s="112" customFormat="1" ht="12" customHeight="1">
      <c r="A15" s="162" t="s">
        <v>66</v>
      </c>
      <c r="B15" s="5" t="s">
        <v>250</v>
      </c>
      <c r="C15" s="101"/>
      <c r="D15" s="213"/>
      <c r="E15" s="217"/>
    </row>
    <row r="16" spans="1:5" s="112" customFormat="1" ht="12" customHeight="1">
      <c r="A16" s="162" t="s">
        <v>74</v>
      </c>
      <c r="B16" s="6" t="s">
        <v>155</v>
      </c>
      <c r="C16" s="223"/>
      <c r="D16" s="245"/>
      <c r="E16" s="221"/>
    </row>
    <row r="17" spans="1:5" s="169" customFormat="1" ht="12" customHeight="1">
      <c r="A17" s="162" t="s">
        <v>75</v>
      </c>
      <c r="B17" s="6" t="s">
        <v>156</v>
      </c>
      <c r="C17" s="101"/>
      <c r="D17" s="213"/>
      <c r="E17" s="217"/>
    </row>
    <row r="18" spans="1:5" s="169" customFormat="1" ht="12" customHeight="1">
      <c r="A18" s="162" t="s">
        <v>76</v>
      </c>
      <c r="B18" s="6" t="s">
        <v>280</v>
      </c>
      <c r="C18" s="102"/>
      <c r="D18" s="214"/>
      <c r="E18" s="218"/>
    </row>
    <row r="19" spans="1:5" s="169" customFormat="1" ht="12" customHeight="1" thickBot="1">
      <c r="A19" s="162" t="s">
        <v>77</v>
      </c>
      <c r="B19" s="5" t="s">
        <v>157</v>
      </c>
      <c r="C19" s="102"/>
      <c r="D19" s="214">
        <v>100000</v>
      </c>
      <c r="E19" s="218">
        <v>99548</v>
      </c>
    </row>
    <row r="20" spans="1:5" s="112" customFormat="1" ht="12" customHeight="1" thickBot="1">
      <c r="A20" s="68" t="s">
        <v>6</v>
      </c>
      <c r="B20" s="75" t="s">
        <v>251</v>
      </c>
      <c r="C20" s="103">
        <f>SUM(C21:C23)</f>
        <v>3156114</v>
      </c>
      <c r="D20" s="215">
        <f>SUM(D21:D23)</f>
        <v>3799819</v>
      </c>
      <c r="E20" s="107">
        <f>SUM(E21:E23)</f>
        <v>3799819</v>
      </c>
    </row>
    <row r="21" spans="1:5" s="169" customFormat="1" ht="12" customHeight="1">
      <c r="A21" s="162" t="s">
        <v>67</v>
      </c>
      <c r="B21" s="7" t="s">
        <v>132</v>
      </c>
      <c r="C21" s="101"/>
      <c r="D21" s="213"/>
      <c r="E21" s="217"/>
    </row>
    <row r="22" spans="1:5" s="169" customFormat="1" ht="12" customHeight="1">
      <c r="A22" s="162" t="s">
        <v>68</v>
      </c>
      <c r="B22" s="6" t="s">
        <v>252</v>
      </c>
      <c r="C22" s="101"/>
      <c r="D22" s="213"/>
      <c r="E22" s="217"/>
    </row>
    <row r="23" spans="1:5" s="169" customFormat="1" ht="12" customHeight="1">
      <c r="A23" s="162" t="s">
        <v>69</v>
      </c>
      <c r="B23" s="6" t="s">
        <v>253</v>
      </c>
      <c r="C23" s="101">
        <v>3156114</v>
      </c>
      <c r="D23" s="213">
        <v>3799819</v>
      </c>
      <c r="E23" s="217">
        <v>3799819</v>
      </c>
    </row>
    <row r="24" spans="1:5" s="169" customFormat="1" ht="12" customHeight="1" thickBot="1">
      <c r="A24" s="162" t="s">
        <v>70</v>
      </c>
      <c r="B24" s="6" t="s">
        <v>351</v>
      </c>
      <c r="C24" s="101"/>
      <c r="D24" s="213"/>
      <c r="E24" s="217"/>
    </row>
    <row r="25" spans="1:5" s="169" customFormat="1" ht="12" customHeight="1" thickBot="1">
      <c r="A25" s="71" t="s">
        <v>7</v>
      </c>
      <c r="B25" s="56" t="s">
        <v>103</v>
      </c>
      <c r="C25" s="242"/>
      <c r="D25" s="244"/>
      <c r="E25" s="106"/>
    </row>
    <row r="26" spans="1:5" s="169" customFormat="1" ht="12" customHeight="1" thickBot="1">
      <c r="A26" s="71" t="s">
        <v>8</v>
      </c>
      <c r="B26" s="56" t="s">
        <v>254</v>
      </c>
      <c r="C26" s="103">
        <f>+C27+C28</f>
        <v>0</v>
      </c>
      <c r="D26" s="215">
        <f>+D27+D28</f>
        <v>0</v>
      </c>
      <c r="E26" s="107">
        <f>+E27+E28</f>
        <v>0</v>
      </c>
    </row>
    <row r="27" spans="1:5" s="169" customFormat="1" ht="12" customHeight="1">
      <c r="A27" s="163" t="s">
        <v>141</v>
      </c>
      <c r="B27" s="164" t="s">
        <v>252</v>
      </c>
      <c r="C27" s="224"/>
      <c r="D27" s="57"/>
      <c r="E27" s="222"/>
    </row>
    <row r="28" spans="1:5" s="169" customFormat="1" ht="22.5" customHeight="1">
      <c r="A28" s="163" t="s">
        <v>142</v>
      </c>
      <c r="B28" s="165" t="s">
        <v>255</v>
      </c>
      <c r="C28" s="104"/>
      <c r="D28" s="216"/>
      <c r="E28" s="219"/>
    </row>
    <row r="29" spans="1:5" s="169" customFormat="1" ht="12" customHeight="1" thickBot="1">
      <c r="A29" s="162" t="s">
        <v>143</v>
      </c>
      <c r="B29" s="60" t="s">
        <v>352</v>
      </c>
      <c r="C29" s="48"/>
      <c r="D29" s="246"/>
      <c r="E29" s="241"/>
    </row>
    <row r="30" spans="1:5" s="169" customFormat="1" ht="12" customHeight="1" thickBot="1">
      <c r="A30" s="71" t="s">
        <v>9</v>
      </c>
      <c r="B30" s="56" t="s">
        <v>256</v>
      </c>
      <c r="C30" s="103">
        <f>+C31+C32+C33</f>
        <v>0</v>
      </c>
      <c r="D30" s="215">
        <f>+D31+D32+D33</f>
        <v>0</v>
      </c>
      <c r="E30" s="107">
        <f>+E31+E32+E33</f>
        <v>0</v>
      </c>
    </row>
    <row r="31" spans="1:5" s="169" customFormat="1" ht="12" customHeight="1">
      <c r="A31" s="163" t="s">
        <v>54</v>
      </c>
      <c r="B31" s="164" t="s">
        <v>162</v>
      </c>
      <c r="C31" s="224"/>
      <c r="D31" s="57"/>
      <c r="E31" s="222"/>
    </row>
    <row r="32" spans="1:5" s="169" customFormat="1" ht="12" customHeight="1">
      <c r="A32" s="163" t="s">
        <v>55</v>
      </c>
      <c r="B32" s="165" t="s">
        <v>163</v>
      </c>
      <c r="C32" s="104"/>
      <c r="D32" s="216"/>
      <c r="E32" s="219"/>
    </row>
    <row r="33" spans="1:5" s="169" customFormat="1" ht="12" customHeight="1" thickBot="1">
      <c r="A33" s="162" t="s">
        <v>56</v>
      </c>
      <c r="B33" s="60" t="s">
        <v>164</v>
      </c>
      <c r="C33" s="48"/>
      <c r="D33" s="246"/>
      <c r="E33" s="241"/>
    </row>
    <row r="34" spans="1:5" s="112" customFormat="1" ht="12" customHeight="1" thickBot="1">
      <c r="A34" s="71" t="s">
        <v>10</v>
      </c>
      <c r="B34" s="56" t="s">
        <v>245</v>
      </c>
      <c r="C34" s="242"/>
      <c r="D34" s="244"/>
      <c r="E34" s="106"/>
    </row>
    <row r="35" spans="1:5" s="112" customFormat="1" ht="12" customHeight="1" thickBot="1">
      <c r="A35" s="71" t="s">
        <v>11</v>
      </c>
      <c r="B35" s="56" t="s">
        <v>257</v>
      </c>
      <c r="C35" s="242"/>
      <c r="D35" s="244"/>
      <c r="E35" s="106"/>
    </row>
    <row r="36" spans="1:5" s="112" customFormat="1" ht="12" customHeight="1" thickBot="1">
      <c r="A36" s="68" t="s">
        <v>12</v>
      </c>
      <c r="B36" s="56" t="s">
        <v>353</v>
      </c>
      <c r="C36" s="103">
        <f>+C8+C20+C25+C26+C30+C34+C35</f>
        <v>3664114</v>
      </c>
      <c r="D36" s="215">
        <f>+D8+D20+D25+D26+D30+D34+D35</f>
        <v>5292169</v>
      </c>
      <c r="E36" s="107">
        <f>+E8+E20+E25+E26+E30+E34+E35</f>
        <v>5117646</v>
      </c>
    </row>
    <row r="37" spans="1:5" s="112" customFormat="1" ht="12" customHeight="1" thickBot="1">
      <c r="A37" s="76" t="s">
        <v>13</v>
      </c>
      <c r="B37" s="56" t="s">
        <v>259</v>
      </c>
      <c r="C37" s="103">
        <f>+C38+C39+C40</f>
        <v>99478195</v>
      </c>
      <c r="D37" s="215">
        <f>+D38+D39+D40</f>
        <v>106728430</v>
      </c>
      <c r="E37" s="107">
        <f>+E38+E39+E40</f>
        <v>85228473</v>
      </c>
    </row>
    <row r="38" spans="1:5" s="112" customFormat="1" ht="12" customHeight="1">
      <c r="A38" s="163" t="s">
        <v>260</v>
      </c>
      <c r="B38" s="164" t="s">
        <v>125</v>
      </c>
      <c r="C38" s="224">
        <v>395174</v>
      </c>
      <c r="D38" s="57">
        <v>395174</v>
      </c>
      <c r="E38" s="222">
        <v>60080</v>
      </c>
    </row>
    <row r="39" spans="1:5" s="112" customFormat="1" ht="12" customHeight="1">
      <c r="A39" s="163" t="s">
        <v>261</v>
      </c>
      <c r="B39" s="165" t="s">
        <v>0</v>
      </c>
      <c r="C39" s="104"/>
      <c r="D39" s="216"/>
      <c r="E39" s="219"/>
    </row>
    <row r="40" spans="1:5" s="169" customFormat="1" ht="12" customHeight="1" thickBot="1">
      <c r="A40" s="162" t="s">
        <v>262</v>
      </c>
      <c r="B40" s="60" t="s">
        <v>263</v>
      </c>
      <c r="C40" s="48">
        <v>99083021</v>
      </c>
      <c r="D40" s="246">
        <v>106333256</v>
      </c>
      <c r="E40" s="241">
        <v>85168393</v>
      </c>
    </row>
    <row r="41" spans="1:5" s="169" customFormat="1" ht="15" customHeight="1" thickBot="1">
      <c r="A41" s="76" t="s">
        <v>14</v>
      </c>
      <c r="B41" s="77" t="s">
        <v>264</v>
      </c>
      <c r="C41" s="243">
        <f>+C36+C37</f>
        <v>103142309</v>
      </c>
      <c r="D41" s="239">
        <f>+D36+D37</f>
        <v>112020599</v>
      </c>
      <c r="E41" s="110">
        <f>+E36+E37</f>
        <v>90346119</v>
      </c>
    </row>
    <row r="42" spans="1:3" s="169" customFormat="1" ht="15" customHeight="1">
      <c r="A42" s="78"/>
      <c r="B42" s="79"/>
      <c r="C42" s="108"/>
    </row>
    <row r="43" spans="1:3" ht="13.5" thickBot="1">
      <c r="A43" s="80"/>
      <c r="B43" s="81"/>
      <c r="C43" s="109"/>
    </row>
    <row r="44" spans="1:5" s="168" customFormat="1" ht="16.5" customHeight="1" thickBot="1">
      <c r="A44" s="625" t="s">
        <v>39</v>
      </c>
      <c r="B44" s="626"/>
      <c r="C44" s="626"/>
      <c r="D44" s="626"/>
      <c r="E44" s="627"/>
    </row>
    <row r="45" spans="1:5" s="170" customFormat="1" ht="12" customHeight="1" thickBot="1">
      <c r="A45" s="71" t="s">
        <v>5</v>
      </c>
      <c r="B45" s="56" t="s">
        <v>265</v>
      </c>
      <c r="C45" s="103">
        <f>SUM(C46:C50)</f>
        <v>101640309</v>
      </c>
      <c r="D45" s="215">
        <f>SUM(D46:D50)</f>
        <v>110432799</v>
      </c>
      <c r="E45" s="107">
        <f>SUM(E46:E50)</f>
        <v>88304149</v>
      </c>
    </row>
    <row r="46" spans="1:5" ht="12" customHeight="1">
      <c r="A46" s="162" t="s">
        <v>61</v>
      </c>
      <c r="B46" s="7" t="s">
        <v>34</v>
      </c>
      <c r="C46" s="224">
        <v>68416648</v>
      </c>
      <c r="D46" s="57">
        <v>73794088</v>
      </c>
      <c r="E46" s="222">
        <v>55557132</v>
      </c>
    </row>
    <row r="47" spans="1:5" ht="12" customHeight="1">
      <c r="A47" s="162" t="s">
        <v>62</v>
      </c>
      <c r="B47" s="6" t="s">
        <v>112</v>
      </c>
      <c r="C47" s="47">
        <v>13732649</v>
      </c>
      <c r="D47" s="58">
        <v>13160649</v>
      </c>
      <c r="E47" s="220">
        <v>10557379</v>
      </c>
    </row>
    <row r="48" spans="1:5" ht="12" customHeight="1">
      <c r="A48" s="162" t="s">
        <v>63</v>
      </c>
      <c r="B48" s="6" t="s">
        <v>87</v>
      </c>
      <c r="C48" s="47">
        <v>19491012</v>
      </c>
      <c r="D48" s="58">
        <v>23478062</v>
      </c>
      <c r="E48" s="220">
        <v>22189638</v>
      </c>
    </row>
    <row r="49" spans="1:5" ht="12" customHeight="1">
      <c r="A49" s="162" t="s">
        <v>64</v>
      </c>
      <c r="B49" s="6" t="s">
        <v>113</v>
      </c>
      <c r="C49" s="47"/>
      <c r="D49" s="58"/>
      <c r="E49" s="220"/>
    </row>
    <row r="50" spans="1:5" ht="12" customHeight="1" thickBot="1">
      <c r="A50" s="162" t="s">
        <v>94</v>
      </c>
      <c r="B50" s="6" t="s">
        <v>114</v>
      </c>
      <c r="C50" s="47"/>
      <c r="D50" s="58"/>
      <c r="E50" s="220"/>
    </row>
    <row r="51" spans="1:5" ht="12" customHeight="1" thickBot="1">
      <c r="A51" s="71" t="s">
        <v>6</v>
      </c>
      <c r="B51" s="56" t="s">
        <v>266</v>
      </c>
      <c r="C51" s="103">
        <f>SUM(C52:C54)</f>
        <v>1502000</v>
      </c>
      <c r="D51" s="215">
        <f>SUM(D52:D54)</f>
        <v>1587800</v>
      </c>
      <c r="E51" s="107">
        <f>SUM(E52:E54)</f>
        <v>1586383</v>
      </c>
    </row>
    <row r="52" spans="1:5" s="170" customFormat="1" ht="12" customHeight="1">
      <c r="A52" s="162" t="s">
        <v>67</v>
      </c>
      <c r="B52" s="7" t="s">
        <v>122</v>
      </c>
      <c r="C52" s="224">
        <v>1502000</v>
      </c>
      <c r="D52" s="57">
        <v>1587800</v>
      </c>
      <c r="E52" s="222">
        <v>1586383</v>
      </c>
    </row>
    <row r="53" spans="1:5" ht="12" customHeight="1">
      <c r="A53" s="162" t="s">
        <v>68</v>
      </c>
      <c r="B53" s="6" t="s">
        <v>116</v>
      </c>
      <c r="C53" s="47"/>
      <c r="D53" s="58"/>
      <c r="E53" s="220"/>
    </row>
    <row r="54" spans="1:5" ht="12" customHeight="1">
      <c r="A54" s="162" t="s">
        <v>69</v>
      </c>
      <c r="B54" s="6" t="s">
        <v>40</v>
      </c>
      <c r="C54" s="47"/>
      <c r="D54" s="58"/>
      <c r="E54" s="220"/>
    </row>
    <row r="55" spans="1:5" ht="12" customHeight="1" thickBot="1">
      <c r="A55" s="162" t="s">
        <v>70</v>
      </c>
      <c r="B55" s="6" t="s">
        <v>350</v>
      </c>
      <c r="C55" s="47"/>
      <c r="D55" s="58"/>
      <c r="E55" s="220"/>
    </row>
    <row r="56" spans="1:5" ht="15" customHeight="1" thickBot="1">
      <c r="A56" s="71" t="s">
        <v>7</v>
      </c>
      <c r="B56" s="56" t="s">
        <v>1</v>
      </c>
      <c r="C56" s="242"/>
      <c r="D56" s="244"/>
      <c r="E56" s="106"/>
    </row>
    <row r="57" spans="1:5" ht="13.5" thickBot="1">
      <c r="A57" s="71" t="s">
        <v>8</v>
      </c>
      <c r="B57" s="82" t="s">
        <v>354</v>
      </c>
      <c r="C57" s="243">
        <f>+C45+C51+C56</f>
        <v>103142309</v>
      </c>
      <c r="D57" s="239">
        <f>+D45+D51+D56</f>
        <v>112020599</v>
      </c>
      <c r="E57" s="110">
        <f>+E45+E51+E56</f>
        <v>89890532</v>
      </c>
    </row>
    <row r="58" spans="3:4" ht="15" customHeight="1" thickBot="1">
      <c r="C58" s="458">
        <f>C41-C57</f>
        <v>0</v>
      </c>
      <c r="D58" s="458">
        <f>D41-D57</f>
        <v>0</v>
      </c>
    </row>
    <row r="59" spans="1:5" ht="14.25" customHeight="1" thickBot="1">
      <c r="A59" s="247" t="s">
        <v>416</v>
      </c>
      <c r="B59" s="248"/>
      <c r="C59" s="237"/>
      <c r="D59" s="237"/>
      <c r="E59" s="236"/>
    </row>
    <row r="60" spans="1:5" ht="13.5" thickBot="1">
      <c r="A60" s="249" t="s">
        <v>417</v>
      </c>
      <c r="B60" s="250"/>
      <c r="C60" s="237"/>
      <c r="D60" s="237"/>
      <c r="E60" s="23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20" zoomScaleNormal="120" zoomScalePageLayoutView="0" workbookViewId="0" topLeftCell="A1">
      <selection activeCell="I16" sqref="I16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  <col min="8" max="8" width="10.50390625" style="0" customWidth="1"/>
    <col min="10" max="13" width="0" style="0" hidden="1" customWidth="1"/>
  </cols>
  <sheetData>
    <row r="1" spans="1:9" ht="12.75">
      <c r="A1" s="443"/>
      <c r="B1" s="545">
        <f>Z_TARTALOMJEGYZÉK!A1</f>
        <v>2019</v>
      </c>
      <c r="C1" s="545" t="s">
        <v>684</v>
      </c>
      <c r="D1" s="545"/>
      <c r="E1" s="443"/>
      <c r="F1" s="443"/>
      <c r="G1" s="443"/>
      <c r="H1" s="443"/>
      <c r="I1" s="443"/>
    </row>
    <row r="2" spans="1:9" ht="15.75">
      <c r="A2" s="572" t="s">
        <v>422</v>
      </c>
      <c r="B2" s="572"/>
      <c r="C2" s="572"/>
      <c r="D2" s="572"/>
      <c r="E2" s="572"/>
      <c r="F2" s="572"/>
      <c r="G2" s="443"/>
      <c r="H2" s="443"/>
      <c r="I2" s="443"/>
    </row>
    <row r="3" spans="1:9" ht="15.75">
      <c r="A3" s="575" t="s">
        <v>706</v>
      </c>
      <c r="B3" s="575"/>
      <c r="C3" s="575"/>
      <c r="D3" s="575"/>
      <c r="E3" s="575"/>
      <c r="F3" s="575"/>
      <c r="G3" s="575"/>
      <c r="H3" s="443"/>
      <c r="I3" s="443"/>
    </row>
    <row r="4" spans="1:9" ht="12.75">
      <c r="A4" s="443"/>
      <c r="B4" s="443"/>
      <c r="C4" s="443"/>
      <c r="D4" s="443"/>
      <c r="E4" s="443"/>
      <c r="F4" s="443"/>
      <c r="G4" s="443"/>
      <c r="H4" s="443"/>
      <c r="I4" s="443"/>
    </row>
    <row r="5" spans="1:9" ht="12.75">
      <c r="A5" s="443"/>
      <c r="B5" s="443"/>
      <c r="C5" s="443"/>
      <c r="D5" s="443"/>
      <c r="E5" s="443"/>
      <c r="F5" s="443"/>
      <c r="G5" s="443"/>
      <c r="H5" s="443"/>
      <c r="I5" s="443"/>
    </row>
    <row r="6" spans="1:9" ht="14.25">
      <c r="A6" s="546" t="s">
        <v>668</v>
      </c>
      <c r="B6" s="443"/>
      <c r="C6" s="443"/>
      <c r="D6" s="443"/>
      <c r="E6" s="443"/>
      <c r="F6" s="443"/>
      <c r="G6" s="443"/>
      <c r="H6" s="443"/>
      <c r="I6" s="443"/>
    </row>
    <row r="7" spans="1:9" ht="12.75">
      <c r="A7" s="547" t="s">
        <v>662</v>
      </c>
      <c r="B7" s="496">
        <v>12</v>
      </c>
      <c r="C7" s="443" t="s">
        <v>663</v>
      </c>
      <c r="D7" s="443" t="str">
        <f>CONCATENATE(Z_TARTALOMJEGYZÉK!A1+1,".")</f>
        <v>2020.</v>
      </c>
      <c r="E7" s="443" t="s">
        <v>664</v>
      </c>
      <c r="F7" s="496" t="s">
        <v>778</v>
      </c>
      <c r="G7" s="443" t="s">
        <v>665</v>
      </c>
      <c r="H7" s="443" t="s">
        <v>666</v>
      </c>
      <c r="I7" s="443"/>
    </row>
    <row r="8" spans="1:9" ht="12.75">
      <c r="A8" s="547"/>
      <c r="B8" s="548"/>
      <c r="C8" s="443"/>
      <c r="D8" s="443"/>
      <c r="E8" s="443"/>
      <c r="F8" s="548"/>
      <c r="G8" s="443"/>
      <c r="H8" s="443"/>
      <c r="I8" s="443"/>
    </row>
    <row r="9" spans="1:9" ht="12.75">
      <c r="A9" s="547"/>
      <c r="B9" s="548"/>
      <c r="C9" s="443"/>
      <c r="D9" s="443"/>
      <c r="E9" s="443"/>
      <c r="F9" s="548"/>
      <c r="G9" s="443"/>
      <c r="H9" s="443"/>
      <c r="I9" s="443"/>
    </row>
    <row r="10" spans="1:9" ht="13.5" thickBot="1">
      <c r="A10" s="443"/>
      <c r="B10" s="443"/>
      <c r="C10" s="443"/>
      <c r="D10" s="443"/>
      <c r="E10" s="443"/>
      <c r="F10" s="443"/>
      <c r="G10" s="443"/>
      <c r="H10" s="499" t="s">
        <v>690</v>
      </c>
      <c r="I10" s="443"/>
    </row>
    <row r="11" spans="1:13" ht="17.25" thickBot="1" thickTop="1">
      <c r="A11" s="573" t="s">
        <v>707</v>
      </c>
      <c r="B11" s="574"/>
      <c r="C11" s="574"/>
      <c r="D11" s="574"/>
      <c r="E11" s="574"/>
      <c r="F11" s="574"/>
      <c r="G11" s="574"/>
      <c r="H11" s="549" t="s">
        <v>696</v>
      </c>
      <c r="I11" s="443"/>
      <c r="J11" s="500" t="s">
        <v>10</v>
      </c>
      <c r="K11">
        <f>IF($H$11="Nem","",2)</f>
        <v>2</v>
      </c>
      <c r="L11" t="s">
        <v>691</v>
      </c>
      <c r="M11" t="str">
        <f>CONCATENATE(J11,K11,L11)</f>
        <v>6.2.</v>
      </c>
    </row>
    <row r="12" spans="1:9" ht="13.5" thickTop="1">
      <c r="A12" s="443"/>
      <c r="B12" s="443"/>
      <c r="C12" s="443"/>
      <c r="D12" s="443"/>
      <c r="E12" s="443"/>
      <c r="F12" s="443"/>
      <c r="G12" s="443"/>
      <c r="H12" s="443"/>
      <c r="I12" s="443"/>
    </row>
    <row r="13" spans="1:13" ht="14.25">
      <c r="A13" s="550" t="s">
        <v>423</v>
      </c>
      <c r="B13" s="570" t="s">
        <v>708</v>
      </c>
      <c r="C13" s="571"/>
      <c r="D13" s="571"/>
      <c r="E13" s="571"/>
      <c r="F13" s="571"/>
      <c r="G13" s="571"/>
      <c r="H13" s="443"/>
      <c r="I13" s="443"/>
      <c r="J13" s="500" t="s">
        <v>10</v>
      </c>
      <c r="K13">
        <f>IF(H11="Nem",2,3)</f>
        <v>3</v>
      </c>
      <c r="L13" t="s">
        <v>691</v>
      </c>
      <c r="M13" t="str">
        <f>CONCATENATE(J13,K13,L13)</f>
        <v>6.3.</v>
      </c>
    </row>
    <row r="14" spans="1:9" ht="14.25">
      <c r="A14" s="443"/>
      <c r="B14" s="497"/>
      <c r="C14" s="443"/>
      <c r="D14" s="443"/>
      <c r="E14" s="443"/>
      <c r="F14" s="443"/>
      <c r="G14" s="443"/>
      <c r="H14" s="443"/>
      <c r="I14" s="443"/>
    </row>
    <row r="15" spans="1:13" ht="14.25">
      <c r="A15" s="550" t="s">
        <v>424</v>
      </c>
      <c r="B15" s="570" t="s">
        <v>425</v>
      </c>
      <c r="C15" s="571"/>
      <c r="D15" s="571"/>
      <c r="E15" s="571"/>
      <c r="F15" s="571"/>
      <c r="G15" s="571"/>
      <c r="H15" s="443"/>
      <c r="I15" s="443"/>
      <c r="J15" s="500" t="s">
        <v>10</v>
      </c>
      <c r="K15">
        <f>K13+1</f>
        <v>4</v>
      </c>
      <c r="L15" t="s">
        <v>691</v>
      </c>
      <c r="M15" t="str">
        <f>CONCATENATE(J15,K15,L15)</f>
        <v>6.4.</v>
      </c>
    </row>
    <row r="16" spans="1:9" ht="14.25">
      <c r="A16" s="443"/>
      <c r="B16" s="497"/>
      <c r="C16" s="443"/>
      <c r="D16" s="443"/>
      <c r="E16" s="443"/>
      <c r="F16" s="443"/>
      <c r="G16" s="443"/>
      <c r="H16" s="443"/>
      <c r="I16" s="443"/>
    </row>
    <row r="17" spans="1:13" ht="14.25">
      <c r="A17" s="550" t="s">
        <v>426</v>
      </c>
      <c r="B17" s="570" t="s">
        <v>427</v>
      </c>
      <c r="C17" s="571"/>
      <c r="D17" s="571"/>
      <c r="E17" s="571"/>
      <c r="F17" s="571"/>
      <c r="G17" s="571"/>
      <c r="H17" s="443"/>
      <c r="I17" s="443"/>
      <c r="J17" s="500" t="s">
        <v>10</v>
      </c>
      <c r="K17">
        <f>K15+1</f>
        <v>5</v>
      </c>
      <c r="L17" t="s">
        <v>691</v>
      </c>
      <c r="M17" t="str">
        <f>CONCATENATE(J17,K17,L17)</f>
        <v>6.5.</v>
      </c>
    </row>
    <row r="18" spans="1:9" ht="14.25">
      <c r="A18" s="443"/>
      <c r="B18" s="497"/>
      <c r="C18" s="443"/>
      <c r="D18" s="443"/>
      <c r="E18" s="443"/>
      <c r="F18" s="443"/>
      <c r="G18" s="443"/>
      <c r="H18" s="443"/>
      <c r="I18" s="443"/>
    </row>
    <row r="19" spans="1:9" ht="14.25">
      <c r="A19" s="443"/>
      <c r="B19" s="497"/>
      <c r="C19" s="443"/>
      <c r="D19" s="443"/>
      <c r="E19" s="443"/>
      <c r="F19" s="443"/>
      <c r="G19" s="443"/>
      <c r="H19" s="443"/>
      <c r="I19" s="443"/>
    </row>
    <row r="20" spans="1:9" ht="14.25">
      <c r="A20" s="443"/>
      <c r="B20" s="497"/>
      <c r="C20" s="443"/>
      <c r="D20" s="443"/>
      <c r="E20" s="443"/>
      <c r="F20" s="443"/>
      <c r="G20" s="443"/>
      <c r="H20" s="443"/>
      <c r="I20" s="443"/>
    </row>
    <row r="21" spans="1:9" ht="14.25">
      <c r="A21" s="443"/>
      <c r="B21" s="497"/>
      <c r="C21" s="443"/>
      <c r="D21" s="443"/>
      <c r="E21" s="443"/>
      <c r="F21" s="443"/>
      <c r="G21" s="443"/>
      <c r="H21" s="443"/>
      <c r="I21" s="443"/>
    </row>
    <row r="22" spans="1:9" ht="14.25">
      <c r="A22" s="443"/>
      <c r="B22" s="497"/>
      <c r="C22" s="443"/>
      <c r="D22" s="443"/>
      <c r="E22" s="443"/>
      <c r="F22" s="443"/>
      <c r="G22" s="443"/>
      <c r="H22" s="443"/>
      <c r="I22" s="443"/>
    </row>
    <row r="23" spans="1:10" ht="14.25">
      <c r="A23" s="550"/>
      <c r="B23" s="570"/>
      <c r="C23" s="571"/>
      <c r="D23" s="571"/>
      <c r="E23" s="571"/>
      <c r="F23" s="571"/>
      <c r="G23" s="571"/>
      <c r="H23" s="443"/>
      <c r="I23" s="443"/>
      <c r="J23" s="500"/>
    </row>
    <row r="24" spans="1:9" ht="14.25">
      <c r="A24" s="443"/>
      <c r="B24" s="497"/>
      <c r="C24" s="443"/>
      <c r="D24" s="443"/>
      <c r="E24" s="443"/>
      <c r="F24" s="443"/>
      <c r="G24" s="443"/>
      <c r="H24" s="443"/>
      <c r="I24" s="443"/>
    </row>
    <row r="25" spans="1:10" ht="14.25">
      <c r="A25" s="550"/>
      <c r="B25" s="570"/>
      <c r="C25" s="571"/>
      <c r="D25" s="571"/>
      <c r="E25" s="571"/>
      <c r="F25" s="571"/>
      <c r="G25" s="571"/>
      <c r="H25" s="443"/>
      <c r="I25" s="443"/>
      <c r="J25" s="500"/>
    </row>
    <row r="26" spans="1:9" ht="14.25">
      <c r="A26" s="443"/>
      <c r="B26" s="497"/>
      <c r="C26" s="443"/>
      <c r="D26" s="443"/>
      <c r="E26" s="443"/>
      <c r="F26" s="443"/>
      <c r="G26" s="443"/>
      <c r="H26" s="443"/>
      <c r="I26" s="443"/>
    </row>
    <row r="27" spans="1:10" ht="14.25">
      <c r="A27" s="550"/>
      <c r="B27" s="570"/>
      <c r="C27" s="571"/>
      <c r="D27" s="571"/>
      <c r="E27" s="571"/>
      <c r="F27" s="571"/>
      <c r="G27" s="571"/>
      <c r="H27" s="443"/>
      <c r="I27" s="443"/>
      <c r="J27" s="500"/>
    </row>
    <row r="28" spans="1:9" ht="12.75">
      <c r="A28" s="443"/>
      <c r="B28" s="443"/>
      <c r="C28" s="443"/>
      <c r="D28" s="443"/>
      <c r="E28" s="443"/>
      <c r="F28" s="443"/>
      <c r="G28" s="443"/>
      <c r="H28" s="443"/>
      <c r="I28" s="443"/>
    </row>
    <row r="29" spans="1:9" ht="12.75">
      <c r="A29" s="443"/>
      <c r="B29" s="443"/>
      <c r="C29" s="443"/>
      <c r="D29" s="443"/>
      <c r="E29" s="443"/>
      <c r="F29" s="443"/>
      <c r="G29" s="443"/>
      <c r="H29" s="443"/>
      <c r="I29" s="443"/>
    </row>
  </sheetData>
  <sheetProtection/>
  <mergeCells count="9">
    <mergeCell ref="B27:G27"/>
    <mergeCell ref="B23:G23"/>
    <mergeCell ref="B25:G25"/>
    <mergeCell ref="A2:F2"/>
    <mergeCell ref="A11:G11"/>
    <mergeCell ref="A3:G3"/>
    <mergeCell ref="B13:G13"/>
    <mergeCell ref="B15:G15"/>
    <mergeCell ref="B17:G17"/>
  </mergeCells>
  <conditionalFormatting sqref="A11">
    <cfRule type="expression" priority="1" dxfId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zoomScale="120" zoomScaleNormal="120" workbookViewId="0" topLeftCell="A1">
      <selection activeCell="O23" sqref="O23"/>
    </sheetView>
  </sheetViews>
  <sheetFormatPr defaultColWidth="9.00390625" defaultRowHeight="12.75"/>
  <cols>
    <col min="1" max="1" width="7.00390625" style="482" customWidth="1"/>
    <col min="2" max="2" width="32.00390625" style="84" customWidth="1"/>
    <col min="3" max="3" width="12.50390625" style="84" customWidth="1"/>
    <col min="4" max="6" width="11.875" style="84" customWidth="1"/>
    <col min="7" max="7" width="12.875" style="84" customWidth="1"/>
    <col min="8" max="16384" width="9.375" style="84" customWidth="1"/>
  </cols>
  <sheetData>
    <row r="1" spans="1:7" ht="18.75" customHeight="1">
      <c r="A1" s="640" t="str">
        <f>CONCATENATE("7. melléklet ",Z_ALAPADATOK!A7," ",Z_ALAPADATOK!B7," ",Z_ALAPADATOK!C7," ",Z_ALAPADATOK!D7," ",Z_ALAPADATOK!E7," ",Z_ALAPADATOK!F7," ",Z_ALAPADATOK!G7," ",Z_ALAPADATOK!H7)</f>
        <v>7. melléklet a 12 / 2020. ( VI.11. ) önkormányzati rendelethez</v>
      </c>
      <c r="B1" s="641"/>
      <c r="C1" s="641"/>
      <c r="D1" s="641"/>
      <c r="E1" s="641"/>
      <c r="F1" s="641"/>
      <c r="G1" s="641"/>
    </row>
    <row r="3" spans="1:7" ht="15.75">
      <c r="A3" s="638" t="s">
        <v>681</v>
      </c>
      <c r="B3" s="639"/>
      <c r="C3" s="639"/>
      <c r="D3" s="639"/>
      <c r="E3" s="639"/>
      <c r="F3" s="639"/>
      <c r="G3" s="639"/>
    </row>
    <row r="5" ht="14.25" thickBot="1">
      <c r="G5" s="483" t="s">
        <v>685</v>
      </c>
    </row>
    <row r="6" spans="1:7" ht="17.25" customHeight="1" thickBot="1">
      <c r="A6" s="642" t="s">
        <v>3</v>
      </c>
      <c r="B6" s="644" t="s">
        <v>673</v>
      </c>
      <c r="C6" s="644" t="s">
        <v>674</v>
      </c>
      <c r="D6" s="644" t="s">
        <v>675</v>
      </c>
      <c r="E6" s="646" t="s">
        <v>676</v>
      </c>
      <c r="F6" s="646"/>
      <c r="G6" s="647"/>
    </row>
    <row r="7" spans="1:7" s="486" customFormat="1" ht="57.75" customHeight="1" thickBot="1">
      <c r="A7" s="643"/>
      <c r="B7" s="645"/>
      <c r="C7" s="645"/>
      <c r="D7" s="645"/>
      <c r="E7" s="484" t="s">
        <v>677</v>
      </c>
      <c r="F7" s="484" t="s">
        <v>678</v>
      </c>
      <c r="G7" s="485" t="s">
        <v>679</v>
      </c>
    </row>
    <row r="8" spans="1:7" s="170" customFormat="1" ht="15" customHeight="1" thickBot="1">
      <c r="A8" s="68" t="s">
        <v>325</v>
      </c>
      <c r="B8" s="69" t="s">
        <v>326</v>
      </c>
      <c r="C8" s="69" t="s">
        <v>327</v>
      </c>
      <c r="D8" s="69" t="s">
        <v>329</v>
      </c>
      <c r="E8" s="69" t="s">
        <v>680</v>
      </c>
      <c r="F8" s="69" t="s">
        <v>330</v>
      </c>
      <c r="G8" s="70" t="s">
        <v>331</v>
      </c>
    </row>
    <row r="9" spans="1:7" ht="15" customHeight="1">
      <c r="A9" s="487" t="s">
        <v>5</v>
      </c>
      <c r="B9" s="488" t="s">
        <v>725</v>
      </c>
      <c r="C9" s="489">
        <v>-47368</v>
      </c>
      <c r="D9" s="489"/>
      <c r="E9" s="490">
        <f>C9-D9</f>
        <v>-47368</v>
      </c>
      <c r="F9" s="489">
        <v>-47368</v>
      </c>
      <c r="G9" s="491"/>
    </row>
    <row r="10" spans="1:7" ht="21" customHeight="1">
      <c r="A10" s="492" t="s">
        <v>6</v>
      </c>
      <c r="B10" s="493" t="s">
        <v>708</v>
      </c>
      <c r="C10" s="21">
        <v>395507</v>
      </c>
      <c r="D10" s="21"/>
      <c r="E10" s="490">
        <f aca="true" t="shared" si="0" ref="E10:E39">C10-D10</f>
        <v>395507</v>
      </c>
      <c r="F10" s="21">
        <v>395507</v>
      </c>
      <c r="G10" s="321"/>
    </row>
    <row r="11" spans="1:7" ht="15" customHeight="1">
      <c r="A11" s="492" t="s">
        <v>7</v>
      </c>
      <c r="B11" s="493" t="s">
        <v>706</v>
      </c>
      <c r="C11" s="21">
        <v>233070132</v>
      </c>
      <c r="D11" s="21"/>
      <c r="E11" s="490">
        <f t="shared" si="0"/>
        <v>233070132</v>
      </c>
      <c r="F11" s="21"/>
      <c r="G11" s="321">
        <v>233070132</v>
      </c>
    </row>
    <row r="12" spans="1:7" ht="15" customHeight="1">
      <c r="A12" s="492" t="s">
        <v>8</v>
      </c>
      <c r="B12" s="493"/>
      <c r="C12" s="21"/>
      <c r="D12" s="21"/>
      <c r="E12" s="490">
        <f t="shared" si="0"/>
        <v>0</v>
      </c>
      <c r="F12" s="21"/>
      <c r="G12" s="321"/>
    </row>
    <row r="13" spans="1:7" ht="15" customHeight="1">
      <c r="A13" s="492" t="s">
        <v>9</v>
      </c>
      <c r="B13" s="493"/>
      <c r="C13" s="21"/>
      <c r="D13" s="21"/>
      <c r="E13" s="490">
        <f t="shared" si="0"/>
        <v>0</v>
      </c>
      <c r="F13" s="21"/>
      <c r="G13" s="321"/>
    </row>
    <row r="14" spans="1:7" ht="15" customHeight="1">
      <c r="A14" s="492" t="s">
        <v>10</v>
      </c>
      <c r="B14" s="493"/>
      <c r="C14" s="21"/>
      <c r="D14" s="21"/>
      <c r="E14" s="490">
        <f t="shared" si="0"/>
        <v>0</v>
      </c>
      <c r="F14" s="21"/>
      <c r="G14" s="321"/>
    </row>
    <row r="15" spans="1:7" ht="15" customHeight="1">
      <c r="A15" s="492" t="s">
        <v>11</v>
      </c>
      <c r="B15" s="493"/>
      <c r="C15" s="21"/>
      <c r="D15" s="21"/>
      <c r="E15" s="490">
        <f t="shared" si="0"/>
        <v>0</v>
      </c>
      <c r="F15" s="21"/>
      <c r="G15" s="321"/>
    </row>
    <row r="16" spans="1:7" ht="15" customHeight="1">
      <c r="A16" s="492" t="s">
        <v>12</v>
      </c>
      <c r="B16" s="493"/>
      <c r="C16" s="21"/>
      <c r="D16" s="21"/>
      <c r="E16" s="490">
        <f t="shared" si="0"/>
        <v>0</v>
      </c>
      <c r="F16" s="21"/>
      <c r="G16" s="321"/>
    </row>
    <row r="17" spans="1:7" ht="15" customHeight="1">
      <c r="A17" s="492" t="s">
        <v>13</v>
      </c>
      <c r="B17" s="493"/>
      <c r="C17" s="21"/>
      <c r="D17" s="21"/>
      <c r="E17" s="490">
        <f t="shared" si="0"/>
        <v>0</v>
      </c>
      <c r="F17" s="21"/>
      <c r="G17" s="321"/>
    </row>
    <row r="18" spans="1:7" ht="15" customHeight="1">
      <c r="A18" s="492" t="s">
        <v>14</v>
      </c>
      <c r="B18" s="493"/>
      <c r="C18" s="21"/>
      <c r="D18" s="21"/>
      <c r="E18" s="490">
        <f t="shared" si="0"/>
        <v>0</v>
      </c>
      <c r="F18" s="21"/>
      <c r="G18" s="321"/>
    </row>
    <row r="19" spans="1:7" ht="15" customHeight="1">
      <c r="A19" s="492" t="s">
        <v>15</v>
      </c>
      <c r="B19" s="493"/>
      <c r="C19" s="21"/>
      <c r="D19" s="21"/>
      <c r="E19" s="490">
        <f t="shared" si="0"/>
        <v>0</v>
      </c>
      <c r="F19" s="21"/>
      <c r="G19" s="321"/>
    </row>
    <row r="20" spans="1:7" ht="15" customHeight="1">
      <c r="A20" s="492" t="s">
        <v>16</v>
      </c>
      <c r="B20" s="493"/>
      <c r="C20" s="21"/>
      <c r="D20" s="21"/>
      <c r="E20" s="490">
        <f t="shared" si="0"/>
        <v>0</v>
      </c>
      <c r="F20" s="21"/>
      <c r="G20" s="321"/>
    </row>
    <row r="21" spans="1:7" ht="15" customHeight="1">
      <c r="A21" s="492" t="s">
        <v>17</v>
      </c>
      <c r="B21" s="493"/>
      <c r="C21" s="21"/>
      <c r="D21" s="21"/>
      <c r="E21" s="490">
        <f t="shared" si="0"/>
        <v>0</v>
      </c>
      <c r="F21" s="21"/>
      <c r="G21" s="321"/>
    </row>
    <row r="22" spans="1:7" ht="15" customHeight="1">
      <c r="A22" s="492" t="s">
        <v>18</v>
      </c>
      <c r="B22" s="493"/>
      <c r="C22" s="21"/>
      <c r="D22" s="21"/>
      <c r="E22" s="490">
        <f t="shared" si="0"/>
        <v>0</v>
      </c>
      <c r="F22" s="21"/>
      <c r="G22" s="321"/>
    </row>
    <row r="23" spans="1:7" ht="15" customHeight="1">
      <c r="A23" s="492" t="s">
        <v>19</v>
      </c>
      <c r="B23" s="493"/>
      <c r="C23" s="21"/>
      <c r="D23" s="21"/>
      <c r="E23" s="490">
        <f t="shared" si="0"/>
        <v>0</v>
      </c>
      <c r="F23" s="21"/>
      <c r="G23" s="321"/>
    </row>
    <row r="24" spans="1:7" ht="15" customHeight="1">
      <c r="A24" s="492" t="s">
        <v>20</v>
      </c>
      <c r="B24" s="493"/>
      <c r="C24" s="21"/>
      <c r="D24" s="21"/>
      <c r="E24" s="490">
        <f t="shared" si="0"/>
        <v>0</v>
      </c>
      <c r="F24" s="21"/>
      <c r="G24" s="321"/>
    </row>
    <row r="25" spans="1:7" ht="15" customHeight="1">
      <c r="A25" s="492" t="s">
        <v>21</v>
      </c>
      <c r="B25" s="493"/>
      <c r="C25" s="21"/>
      <c r="D25" s="21"/>
      <c r="E25" s="490">
        <f t="shared" si="0"/>
        <v>0</v>
      </c>
      <c r="F25" s="21"/>
      <c r="G25" s="321"/>
    </row>
    <row r="26" spans="1:7" ht="15" customHeight="1">
      <c r="A26" s="492" t="s">
        <v>22</v>
      </c>
      <c r="B26" s="493"/>
      <c r="C26" s="21"/>
      <c r="D26" s="21"/>
      <c r="E26" s="490">
        <f t="shared" si="0"/>
        <v>0</v>
      </c>
      <c r="F26" s="21"/>
      <c r="G26" s="321"/>
    </row>
    <row r="27" spans="1:7" ht="15" customHeight="1">
      <c r="A27" s="492" t="s">
        <v>23</v>
      </c>
      <c r="B27" s="493"/>
      <c r="C27" s="21"/>
      <c r="D27" s="21"/>
      <c r="E27" s="490">
        <f t="shared" si="0"/>
        <v>0</v>
      </c>
      <c r="F27" s="21"/>
      <c r="G27" s="321"/>
    </row>
    <row r="28" spans="1:7" ht="15" customHeight="1">
      <c r="A28" s="492" t="s">
        <v>24</v>
      </c>
      <c r="B28" s="493"/>
      <c r="C28" s="21"/>
      <c r="D28" s="21"/>
      <c r="E28" s="490">
        <f t="shared" si="0"/>
        <v>0</v>
      </c>
      <c r="F28" s="21"/>
      <c r="G28" s="321"/>
    </row>
    <row r="29" spans="1:7" ht="15" customHeight="1">
      <c r="A29" s="492" t="s">
        <v>25</v>
      </c>
      <c r="B29" s="493"/>
      <c r="C29" s="21"/>
      <c r="D29" s="21"/>
      <c r="E29" s="490">
        <f t="shared" si="0"/>
        <v>0</v>
      </c>
      <c r="F29" s="21"/>
      <c r="G29" s="321"/>
    </row>
    <row r="30" spans="1:7" ht="15" customHeight="1">
      <c r="A30" s="492" t="s">
        <v>26</v>
      </c>
      <c r="B30" s="493"/>
      <c r="C30" s="21"/>
      <c r="D30" s="21"/>
      <c r="E30" s="490">
        <f t="shared" si="0"/>
        <v>0</v>
      </c>
      <c r="F30" s="21"/>
      <c r="G30" s="321"/>
    </row>
    <row r="31" spans="1:7" ht="15" customHeight="1">
      <c r="A31" s="492" t="s">
        <v>27</v>
      </c>
      <c r="B31" s="493"/>
      <c r="C31" s="21"/>
      <c r="D31" s="21"/>
      <c r="E31" s="490">
        <f t="shared" si="0"/>
        <v>0</v>
      </c>
      <c r="F31" s="21"/>
      <c r="G31" s="321"/>
    </row>
    <row r="32" spans="1:7" ht="15" customHeight="1">
      <c r="A32" s="492" t="s">
        <v>28</v>
      </c>
      <c r="B32" s="493"/>
      <c r="C32" s="21"/>
      <c r="D32" s="21"/>
      <c r="E32" s="490">
        <f t="shared" si="0"/>
        <v>0</v>
      </c>
      <c r="F32" s="21"/>
      <c r="G32" s="321"/>
    </row>
    <row r="33" spans="1:7" ht="15" customHeight="1">
      <c r="A33" s="492" t="s">
        <v>29</v>
      </c>
      <c r="B33" s="493"/>
      <c r="C33" s="21"/>
      <c r="D33" s="21"/>
      <c r="E33" s="490">
        <f t="shared" si="0"/>
        <v>0</v>
      </c>
      <c r="F33" s="21"/>
      <c r="G33" s="321"/>
    </row>
    <row r="34" spans="1:7" ht="15" customHeight="1">
      <c r="A34" s="492" t="s">
        <v>30</v>
      </c>
      <c r="B34" s="493"/>
      <c r="C34" s="21"/>
      <c r="D34" s="21"/>
      <c r="E34" s="490">
        <f t="shared" si="0"/>
        <v>0</v>
      </c>
      <c r="F34" s="21"/>
      <c r="G34" s="321"/>
    </row>
    <row r="35" spans="1:7" ht="15" customHeight="1">
      <c r="A35" s="492" t="s">
        <v>31</v>
      </c>
      <c r="B35" s="493"/>
      <c r="C35" s="21"/>
      <c r="D35" s="21"/>
      <c r="E35" s="490">
        <f t="shared" si="0"/>
        <v>0</v>
      </c>
      <c r="F35" s="21"/>
      <c r="G35" s="321"/>
    </row>
    <row r="36" spans="1:7" ht="15" customHeight="1">
      <c r="A36" s="492" t="s">
        <v>32</v>
      </c>
      <c r="B36" s="493"/>
      <c r="C36" s="21"/>
      <c r="D36" s="21"/>
      <c r="E36" s="490">
        <f t="shared" si="0"/>
        <v>0</v>
      </c>
      <c r="F36" s="21"/>
      <c r="G36" s="321"/>
    </row>
    <row r="37" spans="1:7" ht="15" customHeight="1">
      <c r="A37" s="492" t="s">
        <v>449</v>
      </c>
      <c r="B37" s="493"/>
      <c r="C37" s="21"/>
      <c r="D37" s="21"/>
      <c r="E37" s="490">
        <f t="shared" si="0"/>
        <v>0</v>
      </c>
      <c r="F37" s="21"/>
      <c r="G37" s="321"/>
    </row>
    <row r="38" spans="1:7" ht="15" customHeight="1">
      <c r="A38" s="492" t="s">
        <v>450</v>
      </c>
      <c r="B38" s="493"/>
      <c r="C38" s="21"/>
      <c r="D38" s="21"/>
      <c r="E38" s="490">
        <f t="shared" si="0"/>
        <v>0</v>
      </c>
      <c r="F38" s="21"/>
      <c r="G38" s="321"/>
    </row>
    <row r="39" spans="1:7" ht="15" customHeight="1" thickBot="1">
      <c r="A39" s="492" t="s">
        <v>451</v>
      </c>
      <c r="B39" s="494"/>
      <c r="C39" s="22"/>
      <c r="D39" s="22"/>
      <c r="E39" s="490">
        <f t="shared" si="0"/>
        <v>0</v>
      </c>
      <c r="F39" s="22"/>
      <c r="G39" s="495"/>
    </row>
    <row r="40" spans="1:7" ht="15" customHeight="1" thickBot="1">
      <c r="A40" s="636" t="s">
        <v>36</v>
      </c>
      <c r="B40" s="637"/>
      <c r="C40" s="36">
        <f>SUM(C9:C39)</f>
        <v>233418271</v>
      </c>
      <c r="D40" s="36">
        <f>SUM(D9:D39)</f>
        <v>0</v>
      </c>
      <c r="E40" s="36">
        <f>SUM(E9:E39)</f>
        <v>233418271</v>
      </c>
      <c r="F40" s="36">
        <f>SUM(F9:F39)</f>
        <v>348139</v>
      </c>
      <c r="G40" s="37">
        <f>SUM(G9:G39)</f>
        <v>233070132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26"/>
  <sheetViews>
    <sheetView zoomScale="120" zoomScaleNormal="120" zoomScalePageLayoutView="120" workbookViewId="0" topLeftCell="A1">
      <selection activeCell="E27" sqref="E27:E28"/>
    </sheetView>
  </sheetViews>
  <sheetFormatPr defaultColWidth="9.00390625" defaultRowHeight="12.75"/>
  <cols>
    <col min="1" max="1" width="13.875" style="30" customWidth="1"/>
    <col min="2" max="2" width="88.625" style="30" customWidth="1"/>
    <col min="3" max="5" width="15.875" style="30" customWidth="1"/>
    <col min="6" max="6" width="4.875" style="481" customWidth="1"/>
    <col min="7" max="16384" width="9.375" style="30" customWidth="1"/>
  </cols>
  <sheetData>
    <row r="1" spans="2:6" ht="47.25" customHeight="1">
      <c r="B1" s="648" t="str">
        <f>CONCATENATE(Z_ALAPADATOK!B1,". évi általános működés és ágazati feladatok támogatásának alakulása jogcímenként")</f>
        <v>2019. évi általános működés és ágazati feladatok támogatásának alakulása jogcímenként</v>
      </c>
      <c r="C1" s="648"/>
      <c r="D1" s="648"/>
      <c r="E1" s="648"/>
      <c r="F1" s="649" t="str">
        <f>CONCATENATE("8. melléklet ",Z_ALAPADATOK!A7," ",Z_ALAPADATOK!B7," ",Z_ALAPADATOK!C7," ",Z_ALAPADATOK!D7," ",Z_ALAPADATOK!E7," ",Z_ALAPADATOK!F7," ",Z_ALAPADATOK!G7," ",Z_ALAPADATOK!H7)</f>
        <v>8. melléklet a 12 / 2020. ( VI.11. ) önkormányzati rendelethez</v>
      </c>
    </row>
    <row r="2" spans="2:6" ht="22.5" customHeight="1" thickBot="1">
      <c r="B2" s="650"/>
      <c r="C2" s="650"/>
      <c r="D2" s="650"/>
      <c r="E2" s="462" t="s">
        <v>669</v>
      </c>
      <c r="F2" s="649"/>
    </row>
    <row r="3" spans="1:6" s="31" customFormat="1" ht="54" customHeight="1" thickBot="1">
      <c r="A3" s="463" t="s">
        <v>692</v>
      </c>
      <c r="B3" s="464" t="s">
        <v>670</v>
      </c>
      <c r="C3" s="465" t="str">
        <f>+CONCATENATE(Z_ALAPADATOK!B1,". évi tervezett támogatás összesen")</f>
        <v>2019. évi tervezett támogatás összesen</v>
      </c>
      <c r="D3" s="465" t="s">
        <v>671</v>
      </c>
      <c r="E3" s="466" t="s">
        <v>672</v>
      </c>
      <c r="F3" s="649"/>
    </row>
    <row r="4" spans="1:6" s="471" customFormat="1" ht="13.5" thickBot="1">
      <c r="A4" s="467" t="s">
        <v>325</v>
      </c>
      <c r="B4" s="468" t="s">
        <v>326</v>
      </c>
      <c r="C4" s="469" t="s">
        <v>327</v>
      </c>
      <c r="D4" s="469" t="s">
        <v>329</v>
      </c>
      <c r="E4" s="470" t="s">
        <v>328</v>
      </c>
      <c r="F4" s="649"/>
    </row>
    <row r="5" spans="1:6" ht="12.75">
      <c r="A5" s="560" t="s">
        <v>727</v>
      </c>
      <c r="B5" s="472" t="s">
        <v>127</v>
      </c>
      <c r="C5" s="558">
        <v>59867636</v>
      </c>
      <c r="D5" s="558">
        <v>61198667</v>
      </c>
      <c r="E5" s="473">
        <v>61198667</v>
      </c>
      <c r="F5" s="649"/>
    </row>
    <row r="6" spans="1:6" ht="12.75" customHeight="1">
      <c r="A6" s="561" t="s">
        <v>728</v>
      </c>
      <c r="B6" s="474" t="s">
        <v>726</v>
      </c>
      <c r="C6" s="558">
        <v>52961800</v>
      </c>
      <c r="D6" s="558">
        <v>55830268</v>
      </c>
      <c r="E6" s="473">
        <v>55830268</v>
      </c>
      <c r="F6" s="649"/>
    </row>
    <row r="7" spans="1:6" ht="12.75">
      <c r="A7" s="561" t="s">
        <v>730</v>
      </c>
      <c r="B7" s="474" t="s">
        <v>729</v>
      </c>
      <c r="C7" s="558">
        <v>27582999</v>
      </c>
      <c r="D7" s="558">
        <v>28186074</v>
      </c>
      <c r="E7" s="473">
        <v>28186074</v>
      </c>
      <c r="F7" s="649"/>
    </row>
    <row r="8" spans="1:6" ht="12.75">
      <c r="A8" s="561" t="s">
        <v>732</v>
      </c>
      <c r="B8" s="474" t="s">
        <v>731</v>
      </c>
      <c r="C8" s="558">
        <v>3637260</v>
      </c>
      <c r="D8" s="558">
        <v>4215922</v>
      </c>
      <c r="E8" s="473">
        <v>4215922</v>
      </c>
      <c r="F8" s="649"/>
    </row>
    <row r="9" spans="1:6" ht="12.75">
      <c r="A9" s="561"/>
      <c r="B9" s="474"/>
      <c r="C9" s="558"/>
      <c r="D9" s="558"/>
      <c r="E9" s="473"/>
      <c r="F9" s="649"/>
    </row>
    <row r="10" spans="1:6" ht="12.75">
      <c r="A10" s="561"/>
      <c r="B10" s="474"/>
      <c r="C10" s="558"/>
      <c r="D10" s="558"/>
      <c r="E10" s="473"/>
      <c r="F10" s="649"/>
    </row>
    <row r="11" spans="1:6" ht="12.75">
      <c r="A11" s="561"/>
      <c r="B11" s="474"/>
      <c r="C11" s="558"/>
      <c r="D11" s="558"/>
      <c r="E11" s="473"/>
      <c r="F11" s="649"/>
    </row>
    <row r="12" spans="1:6" ht="12.75">
      <c r="A12" s="561"/>
      <c r="B12" s="474"/>
      <c r="C12" s="558"/>
      <c r="D12" s="558"/>
      <c r="E12" s="473"/>
      <c r="F12" s="649"/>
    </row>
    <row r="13" spans="1:6" ht="12.75" customHeight="1">
      <c r="A13" s="561"/>
      <c r="B13" s="474"/>
      <c r="C13" s="558"/>
      <c r="D13" s="558"/>
      <c r="E13" s="473"/>
      <c r="F13" s="649"/>
    </row>
    <row r="14" spans="1:6" ht="12.75">
      <c r="A14" s="561"/>
      <c r="B14" s="474"/>
      <c r="C14" s="558"/>
      <c r="D14" s="558"/>
      <c r="E14" s="473"/>
      <c r="F14" s="649"/>
    </row>
    <row r="15" spans="1:6" ht="12.75">
      <c r="A15" s="561"/>
      <c r="B15" s="474"/>
      <c r="C15" s="558"/>
      <c r="D15" s="558"/>
      <c r="E15" s="473"/>
      <c r="F15" s="649"/>
    </row>
    <row r="16" spans="1:6" ht="12.75">
      <c r="A16" s="561"/>
      <c r="B16" s="474"/>
      <c r="C16" s="558"/>
      <c r="D16" s="558"/>
      <c r="E16" s="473"/>
      <c r="F16" s="649"/>
    </row>
    <row r="17" spans="1:6" ht="12.75">
      <c r="A17" s="561"/>
      <c r="B17" s="474"/>
      <c r="C17" s="558"/>
      <c r="D17" s="558"/>
      <c r="E17" s="473"/>
      <c r="F17" s="649"/>
    </row>
    <row r="18" spans="1:6" ht="12.75">
      <c r="A18" s="561"/>
      <c r="B18" s="474"/>
      <c r="C18" s="558"/>
      <c r="D18" s="558"/>
      <c r="E18" s="473"/>
      <c r="F18" s="649"/>
    </row>
    <row r="19" spans="1:6" ht="12.75">
      <c r="A19" s="561"/>
      <c r="B19" s="474"/>
      <c r="C19" s="558"/>
      <c r="D19" s="558"/>
      <c r="E19" s="473"/>
      <c r="F19" s="649"/>
    </row>
    <row r="20" spans="1:6" ht="12.75">
      <c r="A20" s="561"/>
      <c r="B20" s="474"/>
      <c r="C20" s="558"/>
      <c r="D20" s="558"/>
      <c r="E20" s="473"/>
      <c r="F20" s="649"/>
    </row>
    <row r="21" spans="1:6" ht="12.75">
      <c r="A21" s="561"/>
      <c r="B21" s="474"/>
      <c r="C21" s="558"/>
      <c r="D21" s="558"/>
      <c r="E21" s="473"/>
      <c r="F21" s="649"/>
    </row>
    <row r="22" spans="1:6" ht="12.75">
      <c r="A22" s="561"/>
      <c r="B22" s="474"/>
      <c r="C22" s="558"/>
      <c r="D22" s="558"/>
      <c r="E22" s="473"/>
      <c r="F22" s="649"/>
    </row>
    <row r="23" spans="1:6" ht="12.75">
      <c r="A23" s="561"/>
      <c r="B23" s="474"/>
      <c r="C23" s="558"/>
      <c r="D23" s="558"/>
      <c r="E23" s="473"/>
      <c r="F23" s="649"/>
    </row>
    <row r="24" spans="1:6" ht="13.5" thickBot="1">
      <c r="A24" s="562"/>
      <c r="B24" s="475"/>
      <c r="C24" s="559"/>
      <c r="D24" s="559"/>
      <c r="E24" s="473"/>
      <c r="F24" s="649"/>
    </row>
    <row r="25" spans="1:6" s="480" customFormat="1" ht="19.5" customHeight="1" thickBot="1">
      <c r="A25" s="476"/>
      <c r="B25" s="477" t="s">
        <v>36</v>
      </c>
      <c r="C25" s="478">
        <f>SUM(C5:C24)</f>
        <v>144049695</v>
      </c>
      <c r="D25" s="478">
        <f>SUM(D5:D24)</f>
        <v>149430931</v>
      </c>
      <c r="E25" s="479">
        <f>SUM(E5:E24)</f>
        <v>149430931</v>
      </c>
      <c r="F25" s="649"/>
    </row>
    <row r="26" spans="1:2" ht="12.75">
      <c r="A26" s="651" t="s">
        <v>693</v>
      </c>
      <c r="B26" s="651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57"/>
  <sheetViews>
    <sheetView zoomScale="120" zoomScaleNormal="120" zoomScaleSheetLayoutView="100" workbookViewId="0" topLeftCell="A1">
      <selection activeCell="H31" sqref="H31"/>
    </sheetView>
  </sheetViews>
  <sheetFormatPr defaultColWidth="9.00390625" defaultRowHeight="12.75"/>
  <cols>
    <col min="1" max="1" width="9.00390625" style="114" customWidth="1"/>
    <col min="2" max="2" width="68.875" style="114" customWidth="1"/>
    <col min="3" max="3" width="18.875" style="114" customWidth="1"/>
    <col min="4" max="5" width="18.875" style="115" customWidth="1"/>
    <col min="6" max="16384" width="9.375" style="133" customWidth="1"/>
  </cols>
  <sheetData>
    <row r="1" spans="1:5" ht="15.75">
      <c r="A1" s="576" t="s">
        <v>777</v>
      </c>
      <c r="B1" s="577"/>
      <c r="C1" s="577"/>
      <c r="D1" s="577"/>
      <c r="E1" s="577"/>
    </row>
    <row r="2" spans="1:5" ht="15.75">
      <c r="A2" s="578" t="str">
        <f>CONCATENATE(Z_ALAPADATOK!A3)</f>
        <v>Karácsond Községi Önkormányzat</v>
      </c>
      <c r="B2" s="579"/>
      <c r="C2" s="579"/>
      <c r="D2" s="579"/>
      <c r="E2" s="579"/>
    </row>
    <row r="3" spans="1:5" ht="15.75">
      <c r="A3" s="578" t="str">
        <f>CONCATENATE(Z_ALAPADATOK!B1,". ÉVI ZÁRSZÁMADÁSÁNAK PÉNZÜGYI MÉRLEGE")</f>
        <v>2019. ÉVI ZÁRSZÁMADÁSÁNAK PÉNZÜGYI MÉRLEGE</v>
      </c>
      <c r="B3" s="579"/>
      <c r="C3" s="579"/>
      <c r="D3" s="579"/>
      <c r="E3" s="579"/>
    </row>
    <row r="4" spans="1:5" ht="15.75" customHeight="1">
      <c r="A4" s="590" t="s">
        <v>2</v>
      </c>
      <c r="B4" s="590"/>
      <c r="C4" s="590"/>
      <c r="D4" s="590"/>
      <c r="E4" s="590"/>
    </row>
    <row r="5" spans="1:5" ht="15.75" customHeight="1" thickBot="1">
      <c r="A5" s="422" t="s">
        <v>97</v>
      </c>
      <c r="B5" s="422"/>
      <c r="C5" s="422"/>
      <c r="D5" s="423"/>
      <c r="E5" s="423" t="s">
        <v>669</v>
      </c>
    </row>
    <row r="6" spans="1:5" ht="15.75" customHeight="1">
      <c r="A6" s="652" t="s">
        <v>49</v>
      </c>
      <c r="B6" s="654" t="s">
        <v>4</v>
      </c>
      <c r="C6" s="656" t="str">
        <f>CONCATENATE(Z_ALAPADATOK!B1-1," évi tény")</f>
        <v>2018 évi tény</v>
      </c>
      <c r="D6" s="658" t="str">
        <f>CONCATENATE(Z_ALAPADATOK!B1,". évi")</f>
        <v>2019. évi</v>
      </c>
      <c r="E6" s="659"/>
    </row>
    <row r="7" spans="1:5" ht="37.5" customHeight="1" thickBot="1">
      <c r="A7" s="653"/>
      <c r="B7" s="655"/>
      <c r="C7" s="657"/>
      <c r="D7" s="424" t="s">
        <v>387</v>
      </c>
      <c r="E7" s="253" t="s">
        <v>383</v>
      </c>
    </row>
    <row r="8" spans="1:5" s="134" customFormat="1" ht="12" customHeight="1" thickBot="1">
      <c r="A8" s="425" t="s">
        <v>325</v>
      </c>
      <c r="B8" s="426" t="s">
        <v>326</v>
      </c>
      <c r="C8" s="426" t="s">
        <v>327</v>
      </c>
      <c r="D8" s="426" t="s">
        <v>328</v>
      </c>
      <c r="E8" s="427" t="s">
        <v>330</v>
      </c>
    </row>
    <row r="9" spans="1:5" s="135" customFormat="1" ht="12" customHeight="1" thickBot="1">
      <c r="A9" s="18" t="s">
        <v>5</v>
      </c>
      <c r="B9" s="292" t="s">
        <v>126</v>
      </c>
      <c r="C9" s="123">
        <f>+C10+C11+C12+C13+C14+C15</f>
        <v>170173235</v>
      </c>
      <c r="D9" s="123">
        <f>+D10+D11+D12+D13+D14+D15</f>
        <v>160401796</v>
      </c>
      <c r="E9" s="88">
        <f>+E10+E11+E12+E13+E14+E15</f>
        <v>160401796</v>
      </c>
    </row>
    <row r="10" spans="1:5" s="135" customFormat="1" ht="12" customHeight="1">
      <c r="A10" s="13" t="s">
        <v>61</v>
      </c>
      <c r="B10" s="293" t="s">
        <v>127</v>
      </c>
      <c r="C10" s="125">
        <v>67636436</v>
      </c>
      <c r="D10" s="125">
        <v>61198667</v>
      </c>
      <c r="E10" s="90">
        <v>61198667</v>
      </c>
    </row>
    <row r="11" spans="1:5" s="135" customFormat="1" ht="12" customHeight="1">
      <c r="A11" s="12" t="s">
        <v>62</v>
      </c>
      <c r="B11" s="294" t="s">
        <v>128</v>
      </c>
      <c r="C11" s="124">
        <v>52000200</v>
      </c>
      <c r="D11" s="124">
        <v>55830268</v>
      </c>
      <c r="E11" s="89">
        <v>55830268</v>
      </c>
    </row>
    <row r="12" spans="1:5" s="135" customFormat="1" ht="12" customHeight="1">
      <c r="A12" s="12" t="s">
        <v>63</v>
      </c>
      <c r="B12" s="294" t="s">
        <v>129</v>
      </c>
      <c r="C12" s="124">
        <v>34173954</v>
      </c>
      <c r="D12" s="124">
        <v>28186074</v>
      </c>
      <c r="E12" s="89">
        <v>28186074</v>
      </c>
    </row>
    <row r="13" spans="1:5" s="135" customFormat="1" ht="12" customHeight="1">
      <c r="A13" s="12" t="s">
        <v>64</v>
      </c>
      <c r="B13" s="294" t="s">
        <v>130</v>
      </c>
      <c r="C13" s="124">
        <v>3701390</v>
      </c>
      <c r="D13" s="124">
        <v>4215922</v>
      </c>
      <c r="E13" s="89">
        <v>4215922</v>
      </c>
    </row>
    <row r="14" spans="1:5" s="135" customFormat="1" ht="12" customHeight="1">
      <c r="A14" s="12" t="s">
        <v>94</v>
      </c>
      <c r="B14" s="294" t="s">
        <v>276</v>
      </c>
      <c r="C14" s="295">
        <v>12661255</v>
      </c>
      <c r="D14" s="124">
        <v>10970865</v>
      </c>
      <c r="E14" s="89">
        <v>10970865</v>
      </c>
    </row>
    <row r="15" spans="1:5" s="135" customFormat="1" ht="12" customHeight="1" thickBot="1">
      <c r="A15" s="14" t="s">
        <v>65</v>
      </c>
      <c r="B15" s="296" t="s">
        <v>277</v>
      </c>
      <c r="C15" s="297"/>
      <c r="D15" s="126"/>
      <c r="E15" s="91"/>
    </row>
    <row r="16" spans="1:5" s="135" customFormat="1" ht="12" customHeight="1" thickBot="1">
      <c r="A16" s="18" t="s">
        <v>6</v>
      </c>
      <c r="B16" s="298" t="s">
        <v>131</v>
      </c>
      <c r="C16" s="123">
        <f>+C17+C18+C19+C20+C21</f>
        <v>27793584</v>
      </c>
      <c r="D16" s="123">
        <f>+D17+D18+D19+D20+D21</f>
        <v>30256698</v>
      </c>
      <c r="E16" s="88">
        <f>+E17+E18+E19+E20+E21</f>
        <v>30584865</v>
      </c>
    </row>
    <row r="17" spans="1:5" s="135" customFormat="1" ht="12" customHeight="1">
      <c r="A17" s="13" t="s">
        <v>67</v>
      </c>
      <c r="B17" s="293" t="s">
        <v>132</v>
      </c>
      <c r="C17" s="125"/>
      <c r="D17" s="125"/>
      <c r="E17" s="90"/>
    </row>
    <row r="18" spans="1:5" s="135" customFormat="1" ht="12" customHeight="1">
      <c r="A18" s="12" t="s">
        <v>68</v>
      </c>
      <c r="B18" s="294" t="s">
        <v>133</v>
      </c>
      <c r="C18" s="124"/>
      <c r="D18" s="124"/>
      <c r="E18" s="89"/>
    </row>
    <row r="19" spans="1:5" s="135" customFormat="1" ht="12" customHeight="1">
      <c r="A19" s="12" t="s">
        <v>69</v>
      </c>
      <c r="B19" s="294" t="s">
        <v>269</v>
      </c>
      <c r="C19" s="124"/>
      <c r="D19" s="124"/>
      <c r="E19" s="89"/>
    </row>
    <row r="20" spans="1:5" s="135" customFormat="1" ht="12" customHeight="1">
      <c r="A20" s="12" t="s">
        <v>70</v>
      </c>
      <c r="B20" s="294" t="s">
        <v>270</v>
      </c>
      <c r="C20" s="124"/>
      <c r="D20" s="124"/>
      <c r="E20" s="89"/>
    </row>
    <row r="21" spans="1:5" s="135" customFormat="1" ht="12" customHeight="1">
      <c r="A21" s="12" t="s">
        <v>71</v>
      </c>
      <c r="B21" s="294" t="s">
        <v>134</v>
      </c>
      <c r="C21" s="124">
        <v>27793584</v>
      </c>
      <c r="D21" s="124">
        <v>30256698</v>
      </c>
      <c r="E21" s="89">
        <v>30584865</v>
      </c>
    </row>
    <row r="22" spans="1:5" s="135" customFormat="1" ht="12" customHeight="1" thickBot="1">
      <c r="A22" s="14" t="s">
        <v>78</v>
      </c>
      <c r="B22" s="296" t="s">
        <v>135</v>
      </c>
      <c r="C22" s="126"/>
      <c r="D22" s="126"/>
      <c r="E22" s="91"/>
    </row>
    <row r="23" spans="1:5" s="135" customFormat="1" ht="12" customHeight="1" thickBot="1">
      <c r="A23" s="18" t="s">
        <v>7</v>
      </c>
      <c r="B23" s="292" t="s">
        <v>136</v>
      </c>
      <c r="C23" s="123">
        <f>+C24+C25+C26+C27+C28</f>
        <v>144518924</v>
      </c>
      <c r="D23" s="123">
        <f>+D24+D25+D26+D27+D28</f>
        <v>147949885</v>
      </c>
      <c r="E23" s="88">
        <f>+E24+E25+E26+E27+E28</f>
        <v>194616085</v>
      </c>
    </row>
    <row r="24" spans="1:5" s="135" customFormat="1" ht="12" customHeight="1">
      <c r="A24" s="13" t="s">
        <v>50</v>
      </c>
      <c r="B24" s="293" t="s">
        <v>137</v>
      </c>
      <c r="C24" s="125">
        <v>15322000</v>
      </c>
      <c r="D24" s="125">
        <v>140949885</v>
      </c>
      <c r="E24" s="90">
        <v>140949885</v>
      </c>
    </row>
    <row r="25" spans="1:5" s="135" customFormat="1" ht="12" customHeight="1">
      <c r="A25" s="12" t="s">
        <v>51</v>
      </c>
      <c r="B25" s="294" t="s">
        <v>138</v>
      </c>
      <c r="C25" s="124"/>
      <c r="D25" s="124"/>
      <c r="E25" s="89"/>
    </row>
    <row r="26" spans="1:5" s="135" customFormat="1" ht="12" customHeight="1">
      <c r="A26" s="12" t="s">
        <v>52</v>
      </c>
      <c r="B26" s="294" t="s">
        <v>271</v>
      </c>
      <c r="C26" s="124"/>
      <c r="D26" s="124"/>
      <c r="E26" s="89"/>
    </row>
    <row r="27" spans="1:5" s="135" customFormat="1" ht="12" customHeight="1">
      <c r="A27" s="12" t="s">
        <v>53</v>
      </c>
      <c r="B27" s="294" t="s">
        <v>272</v>
      </c>
      <c r="C27" s="124"/>
      <c r="D27" s="124"/>
      <c r="E27" s="89"/>
    </row>
    <row r="28" spans="1:5" s="135" customFormat="1" ht="12" customHeight="1">
      <c r="A28" s="12" t="s">
        <v>100</v>
      </c>
      <c r="B28" s="294" t="s">
        <v>139</v>
      </c>
      <c r="C28" s="124">
        <v>129196924</v>
      </c>
      <c r="D28" s="124">
        <v>7000000</v>
      </c>
      <c r="E28" s="89">
        <v>53666200</v>
      </c>
    </row>
    <row r="29" spans="1:5" s="135" customFormat="1" ht="12" customHeight="1" thickBot="1">
      <c r="A29" s="14" t="s">
        <v>101</v>
      </c>
      <c r="B29" s="296" t="s">
        <v>140</v>
      </c>
      <c r="C29" s="126"/>
      <c r="D29" s="126"/>
      <c r="E29" s="91"/>
    </row>
    <row r="30" spans="1:5" s="135" customFormat="1" ht="12" customHeight="1" thickBot="1">
      <c r="A30" s="25" t="s">
        <v>102</v>
      </c>
      <c r="B30" s="19" t="s">
        <v>435</v>
      </c>
      <c r="C30" s="129">
        <f>SUM(C31:C35)</f>
        <v>89871153</v>
      </c>
      <c r="D30" s="129">
        <f>SUM(D31:D35)</f>
        <v>91118230</v>
      </c>
      <c r="E30" s="160">
        <f>SUM(E31:E35)</f>
        <v>94644027</v>
      </c>
    </row>
    <row r="31" spans="1:5" s="135" customFormat="1" ht="12" customHeight="1">
      <c r="A31" s="148" t="s">
        <v>141</v>
      </c>
      <c r="B31" s="136" t="s">
        <v>689</v>
      </c>
      <c r="C31" s="125">
        <v>8244657</v>
      </c>
      <c r="D31" s="125">
        <v>8538230</v>
      </c>
      <c r="E31" s="90">
        <v>8373299</v>
      </c>
    </row>
    <row r="32" spans="1:5" s="135" customFormat="1" ht="12" customHeight="1">
      <c r="A32" s="149" t="s">
        <v>142</v>
      </c>
      <c r="B32" s="136" t="s">
        <v>410</v>
      </c>
      <c r="C32" s="124">
        <v>72936226</v>
      </c>
      <c r="D32" s="124">
        <v>72000000</v>
      </c>
      <c r="E32" s="89">
        <v>74340462</v>
      </c>
    </row>
    <row r="33" spans="1:5" s="135" customFormat="1" ht="12" customHeight="1">
      <c r="A33" s="149" t="s">
        <v>143</v>
      </c>
      <c r="B33" s="136" t="s">
        <v>145</v>
      </c>
      <c r="C33" s="124">
        <v>6867652</v>
      </c>
      <c r="D33" s="124">
        <v>6000000</v>
      </c>
      <c r="E33" s="89">
        <v>7031379</v>
      </c>
    </row>
    <row r="34" spans="1:5" s="135" customFormat="1" ht="12" customHeight="1">
      <c r="A34" s="149" t="s">
        <v>144</v>
      </c>
      <c r="B34" s="136" t="s">
        <v>700</v>
      </c>
      <c r="C34" s="124">
        <v>263400</v>
      </c>
      <c r="D34" s="124">
        <v>400000</v>
      </c>
      <c r="E34" s="89">
        <v>659600</v>
      </c>
    </row>
    <row r="35" spans="1:5" s="135" customFormat="1" ht="12" customHeight="1">
      <c r="A35" s="149" t="s">
        <v>411</v>
      </c>
      <c r="B35" s="136" t="s">
        <v>715</v>
      </c>
      <c r="C35" s="124">
        <v>1559218</v>
      </c>
      <c r="D35" s="124">
        <v>4180000</v>
      </c>
      <c r="E35" s="89">
        <v>4239287</v>
      </c>
    </row>
    <row r="36" spans="1:5" s="135" customFormat="1" ht="12" customHeight="1">
      <c r="A36" s="149" t="s">
        <v>412</v>
      </c>
      <c r="B36" s="136" t="s">
        <v>733</v>
      </c>
      <c r="C36" s="124">
        <v>40000</v>
      </c>
      <c r="D36" s="124"/>
      <c r="E36" s="89">
        <v>9400</v>
      </c>
    </row>
    <row r="37" spans="1:5" s="135" customFormat="1" ht="12" customHeight="1">
      <c r="A37" s="150" t="s">
        <v>413</v>
      </c>
      <c r="B37" s="136" t="s">
        <v>734</v>
      </c>
      <c r="C37" s="126">
        <v>209083</v>
      </c>
      <c r="D37" s="126"/>
      <c r="E37" s="91">
        <v>1771091</v>
      </c>
    </row>
    <row r="38" spans="1:5" s="135" customFormat="1" ht="12" customHeight="1" thickBot="1">
      <c r="A38" s="157" t="s">
        <v>720</v>
      </c>
      <c r="B38" s="563" t="s">
        <v>735</v>
      </c>
      <c r="C38" s="551">
        <v>526787</v>
      </c>
      <c r="D38" s="551"/>
      <c r="E38" s="552">
        <v>1981231</v>
      </c>
    </row>
    <row r="39" spans="1:5" s="135" customFormat="1" ht="12" customHeight="1" thickBot="1">
      <c r="A39" s="18" t="s">
        <v>9</v>
      </c>
      <c r="B39" s="292" t="s">
        <v>436</v>
      </c>
      <c r="C39" s="123">
        <f>SUM(C40:C50)</f>
        <v>12944371</v>
      </c>
      <c r="D39" s="123">
        <f>SUM(D40:D50)</f>
        <v>8842350</v>
      </c>
      <c r="E39" s="88">
        <f>SUM(E40:E50)</f>
        <v>12379782</v>
      </c>
    </row>
    <row r="40" spans="1:5" s="135" customFormat="1" ht="12" customHeight="1">
      <c r="A40" s="13" t="s">
        <v>54</v>
      </c>
      <c r="B40" s="293" t="s">
        <v>148</v>
      </c>
      <c r="C40" s="125"/>
      <c r="D40" s="125"/>
      <c r="E40" s="90"/>
    </row>
    <row r="41" spans="1:5" s="135" customFormat="1" ht="12" customHeight="1">
      <c r="A41" s="12" t="s">
        <v>55</v>
      </c>
      <c r="B41" s="294" t="s">
        <v>149</v>
      </c>
      <c r="C41" s="124">
        <v>103900</v>
      </c>
      <c r="D41" s="124"/>
      <c r="E41" s="89"/>
    </row>
    <row r="42" spans="1:5" s="135" customFormat="1" ht="12" customHeight="1">
      <c r="A42" s="12" t="s">
        <v>56</v>
      </c>
      <c r="B42" s="294" t="s">
        <v>150</v>
      </c>
      <c r="C42" s="124"/>
      <c r="D42" s="124"/>
      <c r="E42" s="89"/>
    </row>
    <row r="43" spans="1:5" s="135" customFormat="1" ht="12" customHeight="1">
      <c r="A43" s="12" t="s">
        <v>104</v>
      </c>
      <c r="B43" s="294" t="s">
        <v>151</v>
      </c>
      <c r="C43" s="124">
        <v>6694903</v>
      </c>
      <c r="D43" s="124">
        <v>4884350</v>
      </c>
      <c r="E43" s="89">
        <v>4112559</v>
      </c>
    </row>
    <row r="44" spans="1:5" s="135" customFormat="1" ht="12" customHeight="1">
      <c r="A44" s="12" t="s">
        <v>105</v>
      </c>
      <c r="B44" s="294" t="s">
        <v>152</v>
      </c>
      <c r="C44" s="124">
        <v>450343</v>
      </c>
      <c r="D44" s="124">
        <v>400000</v>
      </c>
      <c r="E44" s="89">
        <v>334981</v>
      </c>
    </row>
    <row r="45" spans="1:5" s="135" customFormat="1" ht="12" customHeight="1">
      <c r="A45" s="12" t="s">
        <v>106</v>
      </c>
      <c r="B45" s="294" t="s">
        <v>153</v>
      </c>
      <c r="C45" s="124">
        <v>366144</v>
      </c>
      <c r="D45" s="124">
        <v>258000</v>
      </c>
      <c r="E45" s="89">
        <v>98948</v>
      </c>
    </row>
    <row r="46" spans="1:5" s="135" customFormat="1" ht="12" customHeight="1">
      <c r="A46" s="12" t="s">
        <v>107</v>
      </c>
      <c r="B46" s="294" t="s">
        <v>154</v>
      </c>
      <c r="C46" s="124"/>
      <c r="D46" s="124"/>
      <c r="E46" s="89"/>
    </row>
    <row r="47" spans="1:5" s="135" customFormat="1" ht="12" customHeight="1">
      <c r="A47" s="12" t="s">
        <v>108</v>
      </c>
      <c r="B47" s="294" t="s">
        <v>155</v>
      </c>
      <c r="C47" s="124">
        <v>1500</v>
      </c>
      <c r="D47" s="124"/>
      <c r="E47" s="89"/>
    </row>
    <row r="48" spans="1:5" s="135" customFormat="1" ht="12" customHeight="1">
      <c r="A48" s="12" t="s">
        <v>146</v>
      </c>
      <c r="B48" s="294" t="s">
        <v>156</v>
      </c>
      <c r="C48" s="124"/>
      <c r="D48" s="124"/>
      <c r="E48" s="89"/>
    </row>
    <row r="49" spans="1:5" s="135" customFormat="1" ht="12" customHeight="1">
      <c r="A49" s="12" t="s">
        <v>147</v>
      </c>
      <c r="B49" s="294" t="s">
        <v>280</v>
      </c>
      <c r="C49" s="127">
        <v>568234</v>
      </c>
      <c r="D49" s="127"/>
      <c r="E49" s="92">
        <v>264048</v>
      </c>
    </row>
    <row r="50" spans="1:5" s="135" customFormat="1" ht="12" customHeight="1" thickBot="1">
      <c r="A50" s="14" t="s">
        <v>279</v>
      </c>
      <c r="B50" s="296" t="s">
        <v>157</v>
      </c>
      <c r="C50" s="128">
        <v>4759347</v>
      </c>
      <c r="D50" s="128">
        <v>3300000</v>
      </c>
      <c r="E50" s="93">
        <v>7569246</v>
      </c>
    </row>
    <row r="51" spans="1:5" s="135" customFormat="1" ht="12" customHeight="1" thickBot="1">
      <c r="A51" s="18" t="s">
        <v>10</v>
      </c>
      <c r="B51" s="292" t="s">
        <v>158</v>
      </c>
      <c r="C51" s="123">
        <f>SUM(C52:C56)</f>
        <v>0</v>
      </c>
      <c r="D51" s="123">
        <f>SUM(D52:D56)</f>
        <v>0</v>
      </c>
      <c r="E51" s="88">
        <f>SUM(E52:E56)</f>
        <v>0</v>
      </c>
    </row>
    <row r="52" spans="1:5" s="135" customFormat="1" ht="12" customHeight="1">
      <c r="A52" s="13" t="s">
        <v>57</v>
      </c>
      <c r="B52" s="293" t="s">
        <v>162</v>
      </c>
      <c r="C52" s="171"/>
      <c r="D52" s="171"/>
      <c r="E52" s="94"/>
    </row>
    <row r="53" spans="1:5" s="135" customFormat="1" ht="12" customHeight="1">
      <c r="A53" s="12" t="s">
        <v>58</v>
      </c>
      <c r="B53" s="294" t="s">
        <v>163</v>
      </c>
      <c r="C53" s="127"/>
      <c r="D53" s="127"/>
      <c r="E53" s="92"/>
    </row>
    <row r="54" spans="1:5" s="135" customFormat="1" ht="12" customHeight="1">
      <c r="A54" s="12" t="s">
        <v>159</v>
      </c>
      <c r="B54" s="294" t="s">
        <v>164</v>
      </c>
      <c r="C54" s="127"/>
      <c r="D54" s="127"/>
      <c r="E54" s="92"/>
    </row>
    <row r="55" spans="1:5" s="135" customFormat="1" ht="12" customHeight="1">
      <c r="A55" s="12" t="s">
        <v>160</v>
      </c>
      <c r="B55" s="294" t="s">
        <v>165</v>
      </c>
      <c r="C55" s="127"/>
      <c r="D55" s="127"/>
      <c r="E55" s="92"/>
    </row>
    <row r="56" spans="1:5" s="135" customFormat="1" ht="12" customHeight="1" thickBot="1">
      <c r="A56" s="14" t="s">
        <v>161</v>
      </c>
      <c r="B56" s="296" t="s">
        <v>166</v>
      </c>
      <c r="C56" s="128"/>
      <c r="D56" s="128"/>
      <c r="E56" s="93"/>
    </row>
    <row r="57" spans="1:5" s="135" customFormat="1" ht="13.5" thickBot="1">
      <c r="A57" s="18" t="s">
        <v>109</v>
      </c>
      <c r="B57" s="292" t="s">
        <v>167</v>
      </c>
      <c r="C57" s="123">
        <f>SUM(C58:C60)</f>
        <v>508422</v>
      </c>
      <c r="D57" s="123">
        <f>SUM(D58:D60)</f>
        <v>0</v>
      </c>
      <c r="E57" s="88">
        <f>SUM(E58:E60)</f>
        <v>500000</v>
      </c>
    </row>
    <row r="58" spans="1:5" s="135" customFormat="1" ht="12.75">
      <c r="A58" s="13" t="s">
        <v>59</v>
      </c>
      <c r="B58" s="293" t="s">
        <v>168</v>
      </c>
      <c r="C58" s="125"/>
      <c r="D58" s="125"/>
      <c r="E58" s="90"/>
    </row>
    <row r="59" spans="1:5" s="135" customFormat="1" ht="14.25" customHeight="1">
      <c r="A59" s="12" t="s">
        <v>60</v>
      </c>
      <c r="B59" s="294" t="s">
        <v>437</v>
      </c>
      <c r="C59" s="124"/>
      <c r="D59" s="124"/>
      <c r="E59" s="89"/>
    </row>
    <row r="60" spans="1:5" s="135" customFormat="1" ht="12.75">
      <c r="A60" s="12" t="s">
        <v>171</v>
      </c>
      <c r="B60" s="294" t="s">
        <v>169</v>
      </c>
      <c r="C60" s="124">
        <v>508422</v>
      </c>
      <c r="D60" s="124"/>
      <c r="E60" s="89">
        <v>500000</v>
      </c>
    </row>
    <row r="61" spans="1:5" s="135" customFormat="1" ht="13.5" thickBot="1">
      <c r="A61" s="14" t="s">
        <v>172</v>
      </c>
      <c r="B61" s="296" t="s">
        <v>170</v>
      </c>
      <c r="C61" s="126"/>
      <c r="D61" s="126"/>
      <c r="E61" s="91"/>
    </row>
    <row r="62" spans="1:5" s="135" customFormat="1" ht="13.5" thickBot="1">
      <c r="A62" s="18" t="s">
        <v>12</v>
      </c>
      <c r="B62" s="298" t="s">
        <v>173</v>
      </c>
      <c r="C62" s="123">
        <f>SUM(C63:C65)</f>
        <v>7937000</v>
      </c>
      <c r="D62" s="123">
        <f>SUM(D63:D65)</f>
        <v>2358395</v>
      </c>
      <c r="E62" s="88">
        <f>SUM(E63:E65)</f>
        <v>600000</v>
      </c>
    </row>
    <row r="63" spans="1:5" s="135" customFormat="1" ht="12.75">
      <c r="A63" s="12" t="s">
        <v>110</v>
      </c>
      <c r="B63" s="293" t="s">
        <v>175</v>
      </c>
      <c r="C63" s="127">
        <v>5964000</v>
      </c>
      <c r="D63" s="127"/>
      <c r="E63" s="92"/>
    </row>
    <row r="64" spans="1:5" s="135" customFormat="1" ht="12.75" customHeight="1">
      <c r="A64" s="12" t="s">
        <v>111</v>
      </c>
      <c r="B64" s="294" t="s">
        <v>438</v>
      </c>
      <c r="C64" s="127">
        <v>1973000</v>
      </c>
      <c r="D64" s="127">
        <v>2358395</v>
      </c>
      <c r="E64" s="92">
        <v>600000</v>
      </c>
    </row>
    <row r="65" spans="1:5" s="135" customFormat="1" ht="12.75">
      <c r="A65" s="12" t="s">
        <v>123</v>
      </c>
      <c r="B65" s="294" t="s">
        <v>176</v>
      </c>
      <c r="C65" s="127"/>
      <c r="D65" s="127"/>
      <c r="E65" s="92"/>
    </row>
    <row r="66" spans="1:5" s="135" customFormat="1" ht="13.5" thickBot="1">
      <c r="A66" s="12" t="s">
        <v>174</v>
      </c>
      <c r="B66" s="296" t="s">
        <v>177</v>
      </c>
      <c r="C66" s="127"/>
      <c r="D66" s="127"/>
      <c r="E66" s="92"/>
    </row>
    <row r="67" spans="1:5" s="135" customFormat="1" ht="13.5" thickBot="1">
      <c r="A67" s="18" t="s">
        <v>13</v>
      </c>
      <c r="B67" s="292" t="s">
        <v>178</v>
      </c>
      <c r="C67" s="129">
        <f>+C9+C16+C23+C30+C39+C51+C57+C62</f>
        <v>453746689</v>
      </c>
      <c r="D67" s="129">
        <f>+D9+D16+D23+D30+D39+D51+D57+D62</f>
        <v>440927354</v>
      </c>
      <c r="E67" s="160">
        <f>+E9+E16+E23+E30+E39+E51+E57+E62</f>
        <v>493726555</v>
      </c>
    </row>
    <row r="68" spans="1:5" s="135" customFormat="1" ht="13.5" thickBot="1">
      <c r="A68" s="172" t="s">
        <v>179</v>
      </c>
      <c r="B68" s="298" t="s">
        <v>439</v>
      </c>
      <c r="C68" s="123">
        <f>SUM(C69:C71)</f>
        <v>0</v>
      </c>
      <c r="D68" s="123">
        <f>SUM(D69:D71)</f>
        <v>0</v>
      </c>
      <c r="E68" s="88">
        <f>SUM(E69:E71)</f>
        <v>0</v>
      </c>
    </row>
    <row r="69" spans="1:5" s="135" customFormat="1" ht="12.75">
      <c r="A69" s="12" t="s">
        <v>208</v>
      </c>
      <c r="B69" s="293" t="s">
        <v>181</v>
      </c>
      <c r="C69" s="127"/>
      <c r="D69" s="127"/>
      <c r="E69" s="92"/>
    </row>
    <row r="70" spans="1:5" s="135" customFormat="1" ht="12.75">
      <c r="A70" s="12" t="s">
        <v>217</v>
      </c>
      <c r="B70" s="294" t="s">
        <v>182</v>
      </c>
      <c r="C70" s="127"/>
      <c r="D70" s="127"/>
      <c r="E70" s="92"/>
    </row>
    <row r="71" spans="1:5" s="135" customFormat="1" ht="13.5" thickBot="1">
      <c r="A71" s="12" t="s">
        <v>218</v>
      </c>
      <c r="B71" s="181" t="s">
        <v>701</v>
      </c>
      <c r="C71" s="127"/>
      <c r="D71" s="127"/>
      <c r="E71" s="92"/>
    </row>
    <row r="72" spans="1:5" s="135" customFormat="1" ht="13.5" thickBot="1">
      <c r="A72" s="172" t="s">
        <v>184</v>
      </c>
      <c r="B72" s="298" t="s">
        <v>185</v>
      </c>
      <c r="C72" s="123">
        <f>SUM(C73:C76)</f>
        <v>0</v>
      </c>
      <c r="D72" s="123">
        <f>SUM(D73:D76)</f>
        <v>0</v>
      </c>
      <c r="E72" s="88">
        <f>SUM(E73:E76)</f>
        <v>0</v>
      </c>
    </row>
    <row r="73" spans="1:5" s="135" customFormat="1" ht="12.75">
      <c r="A73" s="12" t="s">
        <v>95</v>
      </c>
      <c r="B73" s="299" t="s">
        <v>186</v>
      </c>
      <c r="C73" s="127"/>
      <c r="D73" s="127"/>
      <c r="E73" s="92"/>
    </row>
    <row r="74" spans="1:5" s="135" customFormat="1" ht="12.75">
      <c r="A74" s="12" t="s">
        <v>96</v>
      </c>
      <c r="B74" s="299" t="s">
        <v>419</v>
      </c>
      <c r="C74" s="127"/>
      <c r="D74" s="127"/>
      <c r="E74" s="92"/>
    </row>
    <row r="75" spans="1:5" s="135" customFormat="1" ht="12" customHeight="1">
      <c r="A75" s="12" t="s">
        <v>209</v>
      </c>
      <c r="B75" s="299" t="s">
        <v>187</v>
      </c>
      <c r="C75" s="127"/>
      <c r="D75" s="127"/>
      <c r="E75" s="92"/>
    </row>
    <row r="76" spans="1:5" s="135" customFormat="1" ht="12" customHeight="1" thickBot="1">
      <c r="A76" s="12" t="s">
        <v>210</v>
      </c>
      <c r="B76" s="300" t="s">
        <v>420</v>
      </c>
      <c r="C76" s="127"/>
      <c r="D76" s="127"/>
      <c r="E76" s="92"/>
    </row>
    <row r="77" spans="1:5" s="135" customFormat="1" ht="12" customHeight="1" thickBot="1">
      <c r="A77" s="172" t="s">
        <v>188</v>
      </c>
      <c r="B77" s="298" t="s">
        <v>189</v>
      </c>
      <c r="C77" s="123">
        <f>SUM(C78:C79)</f>
        <v>257015225</v>
      </c>
      <c r="D77" s="123">
        <f>SUM(D78:D79)</f>
        <v>456939023</v>
      </c>
      <c r="E77" s="88">
        <f>SUM(E78:E79)</f>
        <v>397168057</v>
      </c>
    </row>
    <row r="78" spans="1:5" s="135" customFormat="1" ht="12" customHeight="1">
      <c r="A78" s="12" t="s">
        <v>211</v>
      </c>
      <c r="B78" s="293" t="s">
        <v>190</v>
      </c>
      <c r="C78" s="127">
        <v>257015225</v>
      </c>
      <c r="D78" s="127">
        <v>456939023</v>
      </c>
      <c r="E78" s="92">
        <v>397168057</v>
      </c>
    </row>
    <row r="79" spans="1:5" s="135" customFormat="1" ht="12" customHeight="1" thickBot="1">
      <c r="A79" s="12" t="s">
        <v>212</v>
      </c>
      <c r="B79" s="296" t="s">
        <v>191</v>
      </c>
      <c r="C79" s="127"/>
      <c r="D79" s="127"/>
      <c r="E79" s="92"/>
    </row>
    <row r="80" spans="1:5" s="135" customFormat="1" ht="12" customHeight="1" thickBot="1">
      <c r="A80" s="172" t="s">
        <v>192</v>
      </c>
      <c r="B80" s="298" t="s">
        <v>193</v>
      </c>
      <c r="C80" s="123">
        <f>SUM(C81:C83)</f>
        <v>5034671</v>
      </c>
      <c r="D80" s="123">
        <f>SUM(D81:D83)</f>
        <v>5034671</v>
      </c>
      <c r="E80" s="88">
        <f>SUM(E81:E83)</f>
        <v>6385218</v>
      </c>
    </row>
    <row r="81" spans="1:5" s="135" customFormat="1" ht="12" customHeight="1">
      <c r="A81" s="12" t="s">
        <v>213</v>
      </c>
      <c r="B81" s="293" t="s">
        <v>194</v>
      </c>
      <c r="C81" s="127">
        <v>5034671</v>
      </c>
      <c r="D81" s="127">
        <v>5034671</v>
      </c>
      <c r="E81" s="92">
        <v>6385218</v>
      </c>
    </row>
    <row r="82" spans="1:5" s="135" customFormat="1" ht="12" customHeight="1">
      <c r="A82" s="12" t="s">
        <v>214</v>
      </c>
      <c r="B82" s="294" t="s">
        <v>195</v>
      </c>
      <c r="C82" s="127"/>
      <c r="D82" s="127"/>
      <c r="E82" s="92"/>
    </row>
    <row r="83" spans="1:5" s="135" customFormat="1" ht="12" customHeight="1" thickBot="1">
      <c r="A83" s="12" t="s">
        <v>215</v>
      </c>
      <c r="B83" s="301" t="s">
        <v>440</v>
      </c>
      <c r="C83" s="127"/>
      <c r="D83" s="127"/>
      <c r="E83" s="92"/>
    </row>
    <row r="84" spans="1:5" s="135" customFormat="1" ht="12" customHeight="1" thickBot="1">
      <c r="A84" s="172" t="s">
        <v>196</v>
      </c>
      <c r="B84" s="298" t="s">
        <v>216</v>
      </c>
      <c r="C84" s="123">
        <f>SUM(C85:C88)</f>
        <v>0</v>
      </c>
      <c r="D84" s="123">
        <f>SUM(D85:D88)</f>
        <v>0</v>
      </c>
      <c r="E84" s="88">
        <f>SUM(E85:E88)</f>
        <v>0</v>
      </c>
    </row>
    <row r="85" spans="1:5" s="135" customFormat="1" ht="12" customHeight="1">
      <c r="A85" s="302" t="s">
        <v>197</v>
      </c>
      <c r="B85" s="293" t="s">
        <v>198</v>
      </c>
      <c r="C85" s="127"/>
      <c r="D85" s="127"/>
      <c r="E85" s="92"/>
    </row>
    <row r="86" spans="1:5" s="135" customFormat="1" ht="12" customHeight="1">
      <c r="A86" s="303" t="s">
        <v>199</v>
      </c>
      <c r="B86" s="294" t="s">
        <v>200</v>
      </c>
      <c r="C86" s="127"/>
      <c r="D86" s="127"/>
      <c r="E86" s="92"/>
    </row>
    <row r="87" spans="1:5" s="135" customFormat="1" ht="12" customHeight="1">
      <c r="A87" s="303" t="s">
        <v>201</v>
      </c>
      <c r="B87" s="294" t="s">
        <v>202</v>
      </c>
      <c r="C87" s="127"/>
      <c r="D87" s="127"/>
      <c r="E87" s="92"/>
    </row>
    <row r="88" spans="1:5" s="135" customFormat="1" ht="12" customHeight="1" thickBot="1">
      <c r="A88" s="304" t="s">
        <v>203</v>
      </c>
      <c r="B88" s="296" t="s">
        <v>204</v>
      </c>
      <c r="C88" s="127"/>
      <c r="D88" s="127"/>
      <c r="E88" s="92"/>
    </row>
    <row r="89" spans="1:5" s="135" customFormat="1" ht="12" customHeight="1" thickBot="1">
      <c r="A89" s="172" t="s">
        <v>205</v>
      </c>
      <c r="B89" s="298" t="s">
        <v>206</v>
      </c>
      <c r="C89" s="174"/>
      <c r="D89" s="174"/>
      <c r="E89" s="175"/>
    </row>
    <row r="90" spans="1:5" s="135" customFormat="1" ht="13.5" customHeight="1" thickBot="1">
      <c r="A90" s="172" t="s">
        <v>207</v>
      </c>
      <c r="B90" s="305" t="s">
        <v>441</v>
      </c>
      <c r="C90" s="129">
        <f>+C68+C72+C77+C80+C84+C89</f>
        <v>262049896</v>
      </c>
      <c r="D90" s="129">
        <f>+D68+D72+D77+D80+D84+D89</f>
        <v>461973694</v>
      </c>
      <c r="E90" s="160">
        <f>+E68+E72+E77+E80+E84+E89</f>
        <v>403553275</v>
      </c>
    </row>
    <row r="91" spans="1:5" s="135" customFormat="1" ht="12" customHeight="1" thickBot="1">
      <c r="A91" s="173" t="s">
        <v>219</v>
      </c>
      <c r="B91" s="306" t="s">
        <v>442</v>
      </c>
      <c r="C91" s="129">
        <f>+C67+C90</f>
        <v>715796585</v>
      </c>
      <c r="D91" s="129">
        <f>+D67+D90</f>
        <v>902901048</v>
      </c>
      <c r="E91" s="160">
        <f>+E67+E90</f>
        <v>897279830</v>
      </c>
    </row>
    <row r="92" spans="1:5" ht="16.5" customHeight="1">
      <c r="A92" s="591" t="s">
        <v>33</v>
      </c>
      <c r="B92" s="591"/>
      <c r="C92" s="591"/>
      <c r="D92" s="591"/>
      <c r="E92" s="591"/>
    </row>
    <row r="93" spans="1:5" s="145" customFormat="1" ht="16.5" customHeight="1" thickBot="1">
      <c r="A93" s="307" t="s">
        <v>98</v>
      </c>
      <c r="B93" s="307"/>
      <c r="C93" s="307"/>
      <c r="D93" s="59"/>
      <c r="E93" s="59" t="str">
        <f>E5</f>
        <v>Forintban</v>
      </c>
    </row>
    <row r="94" spans="1:5" s="145" customFormat="1" ht="16.5" customHeight="1">
      <c r="A94" s="660" t="s">
        <v>49</v>
      </c>
      <c r="B94" s="587" t="s">
        <v>360</v>
      </c>
      <c r="C94" s="584" t="str">
        <f>+C6</f>
        <v>2018 évi tény</v>
      </c>
      <c r="D94" s="663" t="str">
        <f>+D6</f>
        <v>2019. évi</v>
      </c>
      <c r="E94" s="664"/>
    </row>
    <row r="95" spans="1:5" ht="37.5" customHeight="1" thickBot="1">
      <c r="A95" s="661"/>
      <c r="B95" s="662"/>
      <c r="C95" s="585"/>
      <c r="D95" s="200" t="s">
        <v>387</v>
      </c>
      <c r="E95" s="291" t="s">
        <v>383</v>
      </c>
    </row>
    <row r="96" spans="1:5" s="134" customFormat="1" ht="12" customHeight="1" thickBot="1">
      <c r="A96" s="25" t="s">
        <v>325</v>
      </c>
      <c r="B96" s="26" t="s">
        <v>326</v>
      </c>
      <c r="C96" s="26" t="s">
        <v>327</v>
      </c>
      <c r="D96" s="26" t="s">
        <v>328</v>
      </c>
      <c r="E96" s="308" t="s">
        <v>330</v>
      </c>
    </row>
    <row r="97" spans="1:5" ht="12" customHeight="1" thickBot="1">
      <c r="A97" s="20" t="s">
        <v>5</v>
      </c>
      <c r="B97" s="24" t="s">
        <v>265</v>
      </c>
      <c r="C97" s="122">
        <f>SUM(C98:C102)</f>
        <v>255070448</v>
      </c>
      <c r="D97" s="122">
        <f>+D98+D99+D100+D101+D102</f>
        <v>350200162</v>
      </c>
      <c r="E97" s="187">
        <f>+E98+E99+E100+E101+E102</f>
        <v>274391576</v>
      </c>
    </row>
    <row r="98" spans="1:5" ht="12" customHeight="1">
      <c r="A98" s="15" t="s">
        <v>61</v>
      </c>
      <c r="B98" s="309" t="s">
        <v>34</v>
      </c>
      <c r="C98" s="194">
        <v>127259524</v>
      </c>
      <c r="D98" s="194">
        <v>167207891</v>
      </c>
      <c r="E98" s="188">
        <v>138753575</v>
      </c>
    </row>
    <row r="99" spans="1:5" ht="12" customHeight="1">
      <c r="A99" s="12" t="s">
        <v>62</v>
      </c>
      <c r="B99" s="310" t="s">
        <v>112</v>
      </c>
      <c r="C99" s="124">
        <v>23969020</v>
      </c>
      <c r="D99" s="124">
        <v>28791963</v>
      </c>
      <c r="E99" s="89">
        <v>24806250</v>
      </c>
    </row>
    <row r="100" spans="1:5" ht="12" customHeight="1">
      <c r="A100" s="12" t="s">
        <v>63</v>
      </c>
      <c r="B100" s="310" t="s">
        <v>87</v>
      </c>
      <c r="C100" s="126">
        <v>60667776</v>
      </c>
      <c r="D100" s="126">
        <v>100284768</v>
      </c>
      <c r="E100" s="91">
        <v>86298032</v>
      </c>
    </row>
    <row r="101" spans="1:5" ht="12" customHeight="1">
      <c r="A101" s="12" t="s">
        <v>64</v>
      </c>
      <c r="B101" s="311" t="s">
        <v>113</v>
      </c>
      <c r="C101" s="126">
        <v>3530117</v>
      </c>
      <c r="D101" s="126">
        <v>2951000</v>
      </c>
      <c r="E101" s="91">
        <v>1667282</v>
      </c>
    </row>
    <row r="102" spans="1:5" ht="12" customHeight="1">
      <c r="A102" s="12" t="s">
        <v>73</v>
      </c>
      <c r="B102" s="312" t="s">
        <v>114</v>
      </c>
      <c r="C102" s="126">
        <v>39644011</v>
      </c>
      <c r="D102" s="126">
        <v>50964540</v>
      </c>
      <c r="E102" s="91">
        <v>22866437</v>
      </c>
    </row>
    <row r="103" spans="1:5" ht="12" customHeight="1">
      <c r="A103" s="12" t="s">
        <v>65</v>
      </c>
      <c r="B103" s="310" t="s">
        <v>286</v>
      </c>
      <c r="C103" s="126">
        <v>3471256</v>
      </c>
      <c r="D103" s="126"/>
      <c r="E103" s="91">
        <v>231312</v>
      </c>
    </row>
    <row r="104" spans="1:5" ht="12" customHeight="1">
      <c r="A104" s="12" t="s">
        <v>66</v>
      </c>
      <c r="B104" s="313" t="s">
        <v>285</v>
      </c>
      <c r="C104" s="126"/>
      <c r="D104" s="126"/>
      <c r="E104" s="91"/>
    </row>
    <row r="105" spans="1:5" ht="12" customHeight="1">
      <c r="A105" s="12" t="s">
        <v>74</v>
      </c>
      <c r="B105" s="310" t="s">
        <v>284</v>
      </c>
      <c r="C105" s="126"/>
      <c r="D105" s="126"/>
      <c r="E105" s="91"/>
    </row>
    <row r="106" spans="1:5" ht="12" customHeight="1">
      <c r="A106" s="12" t="s">
        <v>75</v>
      </c>
      <c r="B106" s="310" t="s">
        <v>222</v>
      </c>
      <c r="C106" s="126"/>
      <c r="D106" s="126"/>
      <c r="E106" s="91"/>
    </row>
    <row r="107" spans="1:5" ht="12" customHeight="1">
      <c r="A107" s="12" t="s">
        <v>76</v>
      </c>
      <c r="B107" s="313" t="s">
        <v>223</v>
      </c>
      <c r="C107" s="126"/>
      <c r="D107" s="126"/>
      <c r="E107" s="91"/>
    </row>
    <row r="108" spans="1:5" ht="12" customHeight="1">
      <c r="A108" s="12" t="s">
        <v>77</v>
      </c>
      <c r="B108" s="313" t="s">
        <v>224</v>
      </c>
      <c r="C108" s="126"/>
      <c r="D108" s="126"/>
      <c r="E108" s="91"/>
    </row>
    <row r="109" spans="1:5" ht="12" customHeight="1">
      <c r="A109" s="12" t="s">
        <v>79</v>
      </c>
      <c r="B109" s="313" t="s">
        <v>225</v>
      </c>
      <c r="C109" s="126">
        <v>31323932</v>
      </c>
      <c r="D109" s="126">
        <v>14880000</v>
      </c>
      <c r="E109" s="91">
        <v>13988795</v>
      </c>
    </row>
    <row r="110" spans="1:5" ht="12" customHeight="1">
      <c r="A110" s="12" t="s">
        <v>115</v>
      </c>
      <c r="B110" s="313" t="s">
        <v>226</v>
      </c>
      <c r="C110" s="126"/>
      <c r="D110" s="126"/>
      <c r="E110" s="91"/>
    </row>
    <row r="111" spans="1:5" ht="12" customHeight="1">
      <c r="A111" s="12" t="s">
        <v>220</v>
      </c>
      <c r="B111" s="313" t="s">
        <v>227</v>
      </c>
      <c r="C111" s="126"/>
      <c r="D111" s="126"/>
      <c r="E111" s="91"/>
    </row>
    <row r="112" spans="1:5" ht="12" customHeight="1">
      <c r="A112" s="12" t="s">
        <v>221</v>
      </c>
      <c r="B112" s="313" t="s">
        <v>228</v>
      </c>
      <c r="C112" s="126"/>
      <c r="D112" s="126"/>
      <c r="E112" s="91"/>
    </row>
    <row r="113" spans="1:5" ht="12" customHeight="1">
      <c r="A113" s="12" t="s">
        <v>282</v>
      </c>
      <c r="B113" s="313" t="s">
        <v>229</v>
      </c>
      <c r="C113" s="126"/>
      <c r="D113" s="126"/>
      <c r="E113" s="91"/>
    </row>
    <row r="114" spans="1:5" ht="12" customHeight="1">
      <c r="A114" s="12" t="s">
        <v>283</v>
      </c>
      <c r="B114" s="310" t="s">
        <v>230</v>
      </c>
      <c r="C114" s="126">
        <v>4848823</v>
      </c>
      <c r="D114" s="126"/>
      <c r="E114" s="91">
        <v>8646330</v>
      </c>
    </row>
    <row r="115" spans="1:5" ht="12" customHeight="1">
      <c r="A115" s="11" t="s">
        <v>287</v>
      </c>
      <c r="B115" s="314" t="s">
        <v>736</v>
      </c>
      <c r="C115" s="126"/>
      <c r="D115" s="126">
        <v>27205887</v>
      </c>
      <c r="E115" s="91"/>
    </row>
    <row r="116" spans="1:5" ht="12" customHeight="1">
      <c r="A116" s="12" t="s">
        <v>288</v>
      </c>
      <c r="B116" s="314" t="s">
        <v>737</v>
      </c>
      <c r="C116" s="126"/>
      <c r="D116" s="126">
        <v>27205887</v>
      </c>
      <c r="E116" s="91"/>
    </row>
    <row r="117" spans="1:5" ht="12" customHeight="1" thickBot="1">
      <c r="A117" s="16" t="s">
        <v>289</v>
      </c>
      <c r="B117" s="315" t="s">
        <v>738</v>
      </c>
      <c r="C117" s="195"/>
      <c r="D117" s="195"/>
      <c r="E117" s="189"/>
    </row>
    <row r="118" spans="1:5" ht="12" customHeight="1" thickBot="1">
      <c r="A118" s="18" t="s">
        <v>6</v>
      </c>
      <c r="B118" s="23" t="s">
        <v>702</v>
      </c>
      <c r="C118" s="123">
        <f>+C119+C121+C123</f>
        <v>58071626</v>
      </c>
      <c r="D118" s="123">
        <f>+D119+D121+D123</f>
        <v>547666215</v>
      </c>
      <c r="E118" s="88">
        <f>+E119+E121+E123</f>
        <v>384435312</v>
      </c>
    </row>
    <row r="119" spans="1:5" ht="12" customHeight="1">
      <c r="A119" s="13" t="s">
        <v>67</v>
      </c>
      <c r="B119" s="310" t="s">
        <v>122</v>
      </c>
      <c r="C119" s="125">
        <v>5140681</v>
      </c>
      <c r="D119" s="125">
        <v>32815029</v>
      </c>
      <c r="E119" s="90">
        <v>32772220</v>
      </c>
    </row>
    <row r="120" spans="1:5" ht="12" customHeight="1">
      <c r="A120" s="13" t="s">
        <v>68</v>
      </c>
      <c r="B120" s="314" t="s">
        <v>235</v>
      </c>
      <c r="C120" s="125"/>
      <c r="D120" s="125"/>
      <c r="E120" s="90"/>
    </row>
    <row r="121" spans="1:5" ht="15.75">
      <c r="A121" s="13" t="s">
        <v>69</v>
      </c>
      <c r="B121" s="314" t="s">
        <v>116</v>
      </c>
      <c r="C121" s="124">
        <v>52930945</v>
      </c>
      <c r="D121" s="124">
        <v>511251186</v>
      </c>
      <c r="E121" s="89">
        <v>351663092</v>
      </c>
    </row>
    <row r="122" spans="1:5" ht="12" customHeight="1">
      <c r="A122" s="13" t="s">
        <v>70</v>
      </c>
      <c r="B122" s="314" t="s">
        <v>236</v>
      </c>
      <c r="C122" s="124"/>
      <c r="D122" s="124"/>
      <c r="E122" s="89"/>
    </row>
    <row r="123" spans="1:5" ht="12" customHeight="1">
      <c r="A123" s="13" t="s">
        <v>71</v>
      </c>
      <c r="B123" s="296" t="s">
        <v>124</v>
      </c>
      <c r="C123" s="124"/>
      <c r="D123" s="124">
        <v>3600000</v>
      </c>
      <c r="E123" s="89"/>
    </row>
    <row r="124" spans="1:5" ht="15.75">
      <c r="A124" s="13" t="s">
        <v>78</v>
      </c>
      <c r="B124" s="294" t="s">
        <v>275</v>
      </c>
      <c r="C124" s="124"/>
      <c r="D124" s="124"/>
      <c r="E124" s="89"/>
    </row>
    <row r="125" spans="1:5" ht="15.75">
      <c r="A125" s="13" t="s">
        <v>80</v>
      </c>
      <c r="B125" s="316" t="s">
        <v>241</v>
      </c>
      <c r="C125" s="124"/>
      <c r="D125" s="124"/>
      <c r="E125" s="89"/>
    </row>
    <row r="126" spans="1:5" ht="12" customHeight="1">
      <c r="A126" s="13" t="s">
        <v>117</v>
      </c>
      <c r="B126" s="310" t="s">
        <v>224</v>
      </c>
      <c r="C126" s="124"/>
      <c r="D126" s="124"/>
      <c r="E126" s="89"/>
    </row>
    <row r="127" spans="1:5" ht="12" customHeight="1">
      <c r="A127" s="13" t="s">
        <v>118</v>
      </c>
      <c r="B127" s="310" t="s">
        <v>240</v>
      </c>
      <c r="C127" s="124"/>
      <c r="D127" s="124"/>
      <c r="E127" s="89"/>
    </row>
    <row r="128" spans="1:5" ht="12" customHeight="1">
      <c r="A128" s="13" t="s">
        <v>119</v>
      </c>
      <c r="B128" s="310" t="s">
        <v>239</v>
      </c>
      <c r="C128" s="124"/>
      <c r="D128" s="124"/>
      <c r="E128" s="89"/>
    </row>
    <row r="129" spans="1:5" s="317" customFormat="1" ht="12" customHeight="1">
      <c r="A129" s="13" t="s">
        <v>232</v>
      </c>
      <c r="B129" s="310" t="s">
        <v>227</v>
      </c>
      <c r="C129" s="124"/>
      <c r="D129" s="124"/>
      <c r="E129" s="89"/>
    </row>
    <row r="130" spans="1:5" ht="12" customHeight="1">
      <c r="A130" s="13" t="s">
        <v>233</v>
      </c>
      <c r="B130" s="310" t="s">
        <v>238</v>
      </c>
      <c r="C130" s="124"/>
      <c r="D130" s="124"/>
      <c r="E130" s="89"/>
    </row>
    <row r="131" spans="1:5" ht="12" customHeight="1" thickBot="1">
      <c r="A131" s="11" t="s">
        <v>234</v>
      </c>
      <c r="B131" s="310" t="s">
        <v>237</v>
      </c>
      <c r="C131" s="126"/>
      <c r="D131" s="126">
        <v>3600000</v>
      </c>
      <c r="E131" s="91"/>
    </row>
    <row r="132" spans="1:5" ht="12" customHeight="1" thickBot="1">
      <c r="A132" s="18" t="s">
        <v>7</v>
      </c>
      <c r="B132" s="318" t="s">
        <v>292</v>
      </c>
      <c r="C132" s="123">
        <f>+C97+C118</f>
        <v>313142074</v>
      </c>
      <c r="D132" s="123">
        <f>+D97+D118</f>
        <v>897866377</v>
      </c>
      <c r="E132" s="88">
        <f>+E97+E118</f>
        <v>658826888</v>
      </c>
    </row>
    <row r="133" spans="1:5" ht="12" customHeight="1" thickBot="1">
      <c r="A133" s="18" t="s">
        <v>8</v>
      </c>
      <c r="B133" s="318" t="s">
        <v>293</v>
      </c>
      <c r="C133" s="123">
        <f>+C134+C135+C136</f>
        <v>0</v>
      </c>
      <c r="D133" s="123">
        <f>+D134+D135+D136</f>
        <v>0</v>
      </c>
      <c r="E133" s="88">
        <f>+E134+E135+E136</f>
        <v>0</v>
      </c>
    </row>
    <row r="134" spans="1:5" ht="12" customHeight="1">
      <c r="A134" s="13" t="s">
        <v>141</v>
      </c>
      <c r="B134" s="316" t="s">
        <v>344</v>
      </c>
      <c r="C134" s="124"/>
      <c r="D134" s="124"/>
      <c r="E134" s="89"/>
    </row>
    <row r="135" spans="1:5" ht="12" customHeight="1">
      <c r="A135" s="13" t="s">
        <v>142</v>
      </c>
      <c r="B135" s="316" t="s">
        <v>301</v>
      </c>
      <c r="C135" s="124"/>
      <c r="D135" s="124"/>
      <c r="E135" s="89"/>
    </row>
    <row r="136" spans="1:5" ht="12" customHeight="1" thickBot="1">
      <c r="A136" s="11" t="s">
        <v>143</v>
      </c>
      <c r="B136" s="319" t="s">
        <v>343</v>
      </c>
      <c r="C136" s="124"/>
      <c r="D136" s="124"/>
      <c r="E136" s="89"/>
    </row>
    <row r="137" spans="1:5" ht="12" customHeight="1" thickBot="1">
      <c r="A137" s="18" t="s">
        <v>9</v>
      </c>
      <c r="B137" s="318" t="s">
        <v>703</v>
      </c>
      <c r="C137" s="123">
        <f>+C138+C139+C140+C141</f>
        <v>0</v>
      </c>
      <c r="D137" s="123">
        <f>+D138+D139+D140+D141</f>
        <v>0</v>
      </c>
      <c r="E137" s="88">
        <f>+E138+E139+E140+E141</f>
        <v>0</v>
      </c>
    </row>
    <row r="138" spans="1:5" ht="12" customHeight="1">
      <c r="A138" s="13" t="s">
        <v>54</v>
      </c>
      <c r="B138" s="316" t="s">
        <v>303</v>
      </c>
      <c r="C138" s="124"/>
      <c r="D138" s="124"/>
      <c r="E138" s="89"/>
    </row>
    <row r="139" spans="1:5" ht="12" customHeight="1">
      <c r="A139" s="13" t="s">
        <v>55</v>
      </c>
      <c r="B139" s="316" t="s">
        <v>443</v>
      </c>
      <c r="C139" s="124"/>
      <c r="D139" s="124"/>
      <c r="E139" s="89"/>
    </row>
    <row r="140" spans="1:5" ht="12" customHeight="1">
      <c r="A140" s="13" t="s">
        <v>56</v>
      </c>
      <c r="B140" s="316" t="s">
        <v>295</v>
      </c>
      <c r="C140" s="124"/>
      <c r="D140" s="124"/>
      <c r="E140" s="89"/>
    </row>
    <row r="141" spans="1:5" ht="12" customHeight="1" thickBot="1">
      <c r="A141" s="11" t="s">
        <v>104</v>
      </c>
      <c r="B141" s="319" t="s">
        <v>444</v>
      </c>
      <c r="C141" s="124"/>
      <c r="D141" s="124"/>
      <c r="E141" s="89"/>
    </row>
    <row r="142" spans="1:5" ht="12" customHeight="1" thickBot="1">
      <c r="A142" s="18" t="s">
        <v>10</v>
      </c>
      <c r="B142" s="318" t="s">
        <v>307</v>
      </c>
      <c r="C142" s="129">
        <f>+C143+C144+C145+C146</f>
        <v>5486454</v>
      </c>
      <c r="D142" s="129">
        <f>+D143+D144+D145+D146</f>
        <v>5034671</v>
      </c>
      <c r="E142" s="160">
        <f>+E143+E144+E145+E146</f>
        <v>5034671</v>
      </c>
    </row>
    <row r="143" spans="1:5" ht="12" customHeight="1">
      <c r="A143" s="13" t="s">
        <v>57</v>
      </c>
      <c r="B143" s="316" t="s">
        <v>242</v>
      </c>
      <c r="C143" s="124"/>
      <c r="D143" s="124"/>
      <c r="E143" s="89"/>
    </row>
    <row r="144" spans="1:5" ht="12" customHeight="1">
      <c r="A144" s="13" t="s">
        <v>58</v>
      </c>
      <c r="B144" s="316" t="s">
        <v>243</v>
      </c>
      <c r="C144" s="124">
        <v>5486454</v>
      </c>
      <c r="D144" s="124">
        <v>5034671</v>
      </c>
      <c r="E144" s="89">
        <v>5034671</v>
      </c>
    </row>
    <row r="145" spans="1:5" ht="12" customHeight="1">
      <c r="A145" s="13" t="s">
        <v>159</v>
      </c>
      <c r="B145" s="316" t="s">
        <v>445</v>
      </c>
      <c r="C145" s="124"/>
      <c r="D145" s="124"/>
      <c r="E145" s="89"/>
    </row>
    <row r="146" spans="1:5" ht="12" customHeight="1" thickBot="1">
      <c r="A146" s="11" t="s">
        <v>160</v>
      </c>
      <c r="B146" s="319" t="s">
        <v>246</v>
      </c>
      <c r="C146" s="124"/>
      <c r="D146" s="124"/>
      <c r="E146" s="89"/>
    </row>
    <row r="147" spans="1:9" ht="15" customHeight="1" thickBot="1">
      <c r="A147" s="18" t="s">
        <v>11</v>
      </c>
      <c r="B147" s="318" t="s">
        <v>704</v>
      </c>
      <c r="C147" s="197">
        <f>+C148+C149+C150+C151</f>
        <v>0</v>
      </c>
      <c r="D147" s="197">
        <f>+D148+D149+D150+D151</f>
        <v>0</v>
      </c>
      <c r="E147" s="191">
        <f>+E148+E149+E150+E151</f>
        <v>0</v>
      </c>
      <c r="F147" s="146"/>
      <c r="G147" s="147"/>
      <c r="H147" s="147"/>
      <c r="I147" s="147"/>
    </row>
    <row r="148" spans="1:5" s="135" customFormat="1" ht="12.75" customHeight="1">
      <c r="A148" s="13" t="s">
        <v>59</v>
      </c>
      <c r="B148" s="316" t="s">
        <v>446</v>
      </c>
      <c r="C148" s="124"/>
      <c r="D148" s="124"/>
      <c r="E148" s="89"/>
    </row>
    <row r="149" spans="1:5" ht="13.5" customHeight="1">
      <c r="A149" s="13" t="s">
        <v>60</v>
      </c>
      <c r="B149" s="316" t="s">
        <v>447</v>
      </c>
      <c r="C149" s="124"/>
      <c r="D149" s="124"/>
      <c r="E149" s="89"/>
    </row>
    <row r="150" spans="1:5" ht="13.5" customHeight="1">
      <c r="A150" s="13" t="s">
        <v>171</v>
      </c>
      <c r="B150" s="316" t="s">
        <v>448</v>
      </c>
      <c r="C150" s="124"/>
      <c r="D150" s="124"/>
      <c r="E150" s="89"/>
    </row>
    <row r="151" spans="1:5" ht="13.5" customHeight="1">
      <c r="A151" s="13" t="s">
        <v>172</v>
      </c>
      <c r="B151" s="316" t="s">
        <v>312</v>
      </c>
      <c r="C151" s="124"/>
      <c r="D151" s="124"/>
      <c r="E151" s="89"/>
    </row>
    <row r="152" spans="1:5" ht="13.5" customHeight="1" thickBot="1">
      <c r="A152" s="11" t="s">
        <v>705</v>
      </c>
      <c r="B152" s="319" t="s">
        <v>313</v>
      </c>
      <c r="C152" s="551"/>
      <c r="D152" s="551"/>
      <c r="E152" s="552"/>
    </row>
    <row r="153" spans="1:5" ht="13.5" customHeight="1" thickBot="1">
      <c r="A153" s="553" t="s">
        <v>12</v>
      </c>
      <c r="B153" s="554" t="s">
        <v>314</v>
      </c>
      <c r="C153" s="555"/>
      <c r="D153" s="555"/>
      <c r="E153" s="556"/>
    </row>
    <row r="154" spans="1:5" ht="13.5" customHeight="1" thickBot="1">
      <c r="A154" s="553" t="s">
        <v>13</v>
      </c>
      <c r="B154" s="554" t="s">
        <v>315</v>
      </c>
      <c r="C154" s="555"/>
      <c r="D154" s="555"/>
      <c r="E154" s="556"/>
    </row>
    <row r="155" spans="1:5" ht="12.75" customHeight="1" thickBot="1">
      <c r="A155" s="18" t="s">
        <v>14</v>
      </c>
      <c r="B155" s="318" t="s">
        <v>317</v>
      </c>
      <c r="C155" s="199">
        <f>+C133+C137+C142+C147+C153+C154</f>
        <v>5486454</v>
      </c>
      <c r="D155" s="199">
        <f>+D133+D137+D142+D147+D153+D154</f>
        <v>5034671</v>
      </c>
      <c r="E155" s="193">
        <f>+E133+E137+E142+E147+E153+E154</f>
        <v>5034671</v>
      </c>
    </row>
    <row r="156" spans="1:5" ht="13.5" customHeight="1" thickBot="1">
      <c r="A156" s="98" t="s">
        <v>15</v>
      </c>
      <c r="B156" s="320" t="s">
        <v>316</v>
      </c>
      <c r="C156" s="199">
        <f>+C132+C155</f>
        <v>318628528</v>
      </c>
      <c r="D156" s="199">
        <f>+D132+D155</f>
        <v>902901048</v>
      </c>
      <c r="E156" s="193">
        <f>+E132+E155</f>
        <v>663861559</v>
      </c>
    </row>
    <row r="157" spans="3:4" ht="13.5" customHeight="1">
      <c r="C157" s="459"/>
      <c r="D157" s="459">
        <f>D91-D156</f>
        <v>0</v>
      </c>
    </row>
    <row r="158" ht="13.5" customHeight="1"/>
    <row r="159" ht="7.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sheetProtection/>
  <mergeCells count="13">
    <mergeCell ref="A92:E92"/>
    <mergeCell ref="A94:A95"/>
    <mergeCell ref="B94:B95"/>
    <mergeCell ref="C94:C95"/>
    <mergeCell ref="D94:E94"/>
    <mergeCell ref="A1:E1"/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5905511811023623" right="0.5905511811023623" top="0.5905511811023623" bottom="0.5905511811023623" header="0.3937007874015748" footer="0.3937007874015748"/>
  <pageSetup fitToHeight="0" fitToWidth="1" horizontalDpi="600" verticalDpi="600" orientation="portrait" paperSize="8" r:id="rId1"/>
  <rowBreaks count="1" manualBreakCount="1">
    <brk id="91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E76"/>
  <sheetViews>
    <sheetView zoomScale="120" zoomScaleNormal="120" zoomScaleSheetLayoutView="120" workbookViewId="0" topLeftCell="A1">
      <selection activeCell="H15" sqref="H15"/>
    </sheetView>
  </sheetViews>
  <sheetFormatPr defaultColWidth="12.00390625" defaultRowHeight="12.75"/>
  <cols>
    <col min="1" max="1" width="67.125" style="322" customWidth="1"/>
    <col min="2" max="2" width="6.125" style="323" customWidth="1"/>
    <col min="3" max="3" width="12.125" style="322" customWidth="1"/>
    <col min="4" max="4" width="13.375" style="322" customWidth="1"/>
    <col min="5" max="5" width="12.125" style="349" customWidth="1"/>
    <col min="6" max="16384" width="12.00390625" style="322" customWidth="1"/>
  </cols>
  <sheetData>
    <row r="1" spans="1:5" ht="15.75">
      <c r="A1" s="678" t="str">
        <f>CONCATENATE("10.1 . melléklet ",Z_ALAPADATOK!A7," ",Z_ALAPADATOK!B7," ",Z_ALAPADATOK!C7," ",Z_ALAPADATOK!D7," ",Z_ALAPADATOK!E7," ",Z_ALAPADATOK!F7," ",Z_ALAPADATOK!G7," ",Z_ALAPADATOK!H7)</f>
        <v>10.1 . melléklet a 12 / 2020. ( VI.11. ) önkormányzati rendelethez</v>
      </c>
      <c r="B1" s="577"/>
      <c r="C1" s="577"/>
      <c r="D1" s="577"/>
      <c r="E1" s="577"/>
    </row>
    <row r="2" spans="1:5" ht="15.75">
      <c r="A2" s="679" t="s">
        <v>617</v>
      </c>
      <c r="B2" s="680"/>
      <c r="C2" s="680"/>
      <c r="D2" s="680"/>
      <c r="E2" s="680"/>
    </row>
    <row r="3" spans="1:5" ht="16.5" customHeight="1">
      <c r="A3" s="679" t="s">
        <v>618</v>
      </c>
      <c r="B3" s="680"/>
      <c r="C3" s="680"/>
      <c r="D3" s="680"/>
      <c r="E3" s="680"/>
    </row>
    <row r="4" spans="1:5" ht="16.5" customHeight="1">
      <c r="A4" s="681" t="str">
        <f>CONCATENATE(Z_ALAPADATOK!B1,". év")</f>
        <v>2019. év</v>
      </c>
      <c r="B4" s="682"/>
      <c r="C4" s="682"/>
      <c r="D4" s="682"/>
      <c r="E4" s="682"/>
    </row>
    <row r="5" spans="1:5" ht="16.5" customHeight="1" thickBot="1">
      <c r="A5" s="428"/>
      <c r="B5" s="429"/>
      <c r="C5" s="683" t="s">
        <v>669</v>
      </c>
      <c r="D5" s="683"/>
      <c r="E5" s="683"/>
    </row>
    <row r="6" spans="1:5" ht="15.75" customHeight="1">
      <c r="A6" s="665" t="s">
        <v>454</v>
      </c>
      <c r="B6" s="668" t="s">
        <v>455</v>
      </c>
      <c r="C6" s="671" t="s">
        <v>456</v>
      </c>
      <c r="D6" s="671" t="s">
        <v>457</v>
      </c>
      <c r="E6" s="673" t="s">
        <v>458</v>
      </c>
    </row>
    <row r="7" spans="1:5" ht="11.25" customHeight="1">
      <c r="A7" s="666"/>
      <c r="B7" s="669"/>
      <c r="C7" s="672"/>
      <c r="D7" s="672"/>
      <c r="E7" s="674"/>
    </row>
    <row r="8" spans="1:5" ht="15.75">
      <c r="A8" s="667"/>
      <c r="B8" s="670"/>
      <c r="C8" s="675" t="s">
        <v>459</v>
      </c>
      <c r="D8" s="675"/>
      <c r="E8" s="676"/>
    </row>
    <row r="9" spans="1:5" s="324" customFormat="1" ht="16.5" thickBot="1">
      <c r="A9" s="430" t="s">
        <v>460</v>
      </c>
      <c r="B9" s="431" t="s">
        <v>326</v>
      </c>
      <c r="C9" s="431" t="s">
        <v>327</v>
      </c>
      <c r="D9" s="431" t="s">
        <v>329</v>
      </c>
      <c r="E9" s="432" t="s">
        <v>328</v>
      </c>
    </row>
    <row r="10" spans="1:5" s="329" customFormat="1" ht="15.75">
      <c r="A10" s="325" t="s">
        <v>461</v>
      </c>
      <c r="B10" s="326" t="s">
        <v>462</v>
      </c>
      <c r="C10" s="327"/>
      <c r="D10" s="327">
        <v>8631162</v>
      </c>
      <c r="E10" s="328"/>
    </row>
    <row r="11" spans="1:5" s="329" customFormat="1" ht="15.75">
      <c r="A11" s="330" t="s">
        <v>463</v>
      </c>
      <c r="B11" s="331" t="s">
        <v>464</v>
      </c>
      <c r="C11" s="332">
        <f>+C12+C17+C22+C27+C32</f>
        <v>0</v>
      </c>
      <c r="D11" s="332">
        <v>2195187464</v>
      </c>
      <c r="E11" s="333">
        <f>+E12+E17+E22+E27+E32</f>
        <v>0</v>
      </c>
    </row>
    <row r="12" spans="1:5" s="329" customFormat="1" ht="15.75">
      <c r="A12" s="330" t="s">
        <v>465</v>
      </c>
      <c r="B12" s="331" t="s">
        <v>466</v>
      </c>
      <c r="C12" s="332">
        <f>+C13+C14+C15+C16</f>
        <v>0</v>
      </c>
      <c r="D12" s="332">
        <f>+D13+D14+D15+D16</f>
        <v>0</v>
      </c>
      <c r="E12" s="333">
        <f>+E13+E14+E15+E16</f>
        <v>0</v>
      </c>
    </row>
    <row r="13" spans="1:5" s="329" customFormat="1" ht="15.75">
      <c r="A13" s="334" t="s">
        <v>467</v>
      </c>
      <c r="B13" s="331" t="s">
        <v>468</v>
      </c>
      <c r="C13" s="335"/>
      <c r="D13" s="335"/>
      <c r="E13" s="336"/>
    </row>
    <row r="14" spans="1:5" s="329" customFormat="1" ht="26.25" customHeight="1">
      <c r="A14" s="334" t="s">
        <v>469</v>
      </c>
      <c r="B14" s="331" t="s">
        <v>470</v>
      </c>
      <c r="C14" s="337"/>
      <c r="D14" s="337"/>
      <c r="E14" s="338"/>
    </row>
    <row r="15" spans="1:5" s="329" customFormat="1" ht="15.75">
      <c r="A15" s="334" t="s">
        <v>471</v>
      </c>
      <c r="B15" s="331" t="s">
        <v>472</v>
      </c>
      <c r="C15" s="337"/>
      <c r="D15" s="337">
        <v>0</v>
      </c>
      <c r="E15" s="338"/>
    </row>
    <row r="16" spans="1:5" s="329" customFormat="1" ht="15.75">
      <c r="A16" s="334" t="s">
        <v>473</v>
      </c>
      <c r="B16" s="331" t="s">
        <v>474</v>
      </c>
      <c r="C16" s="337"/>
      <c r="D16" s="337"/>
      <c r="E16" s="338"/>
    </row>
    <row r="17" spans="1:5" s="329" customFormat="1" ht="15.75">
      <c r="A17" s="330" t="s">
        <v>475</v>
      </c>
      <c r="B17" s="331" t="s">
        <v>476</v>
      </c>
      <c r="C17" s="339">
        <f>+C18+C19+C20+C21</f>
        <v>0</v>
      </c>
      <c r="D17" s="339">
        <f>+D18+D19+D20+D21</f>
        <v>0</v>
      </c>
      <c r="E17" s="340">
        <f>+E18+E19+E20+E21</f>
        <v>0</v>
      </c>
    </row>
    <row r="18" spans="1:5" s="329" customFormat="1" ht="15.75">
      <c r="A18" s="334" t="s">
        <v>477</v>
      </c>
      <c r="B18" s="331" t="s">
        <v>478</v>
      </c>
      <c r="C18" s="337"/>
      <c r="D18" s="337"/>
      <c r="E18" s="338"/>
    </row>
    <row r="19" spans="1:5" s="329" customFormat="1" ht="22.5">
      <c r="A19" s="334" t="s">
        <v>479</v>
      </c>
      <c r="B19" s="331" t="s">
        <v>14</v>
      </c>
      <c r="C19" s="337"/>
      <c r="D19" s="337"/>
      <c r="E19" s="338"/>
    </row>
    <row r="20" spans="1:5" s="329" customFormat="1" ht="15.75">
      <c r="A20" s="334" t="s">
        <v>480</v>
      </c>
      <c r="B20" s="331" t="s">
        <v>15</v>
      </c>
      <c r="C20" s="337"/>
      <c r="D20" s="337"/>
      <c r="E20" s="338"/>
    </row>
    <row r="21" spans="1:5" s="329" customFormat="1" ht="15.75">
      <c r="A21" s="334" t="s">
        <v>481</v>
      </c>
      <c r="B21" s="331" t="s">
        <v>16</v>
      </c>
      <c r="C21" s="337"/>
      <c r="D21" s="337"/>
      <c r="E21" s="338"/>
    </row>
    <row r="22" spans="1:5" s="329" customFormat="1" ht="15.75">
      <c r="A22" s="330" t="s">
        <v>482</v>
      </c>
      <c r="B22" s="331" t="s">
        <v>17</v>
      </c>
      <c r="C22" s="339">
        <f>+C23+C24+C25+C26</f>
        <v>0</v>
      </c>
      <c r="D22" s="339">
        <f>+D23+D24+D25+D26</f>
        <v>0</v>
      </c>
      <c r="E22" s="340">
        <f>+E23+E24+E25+E26</f>
        <v>0</v>
      </c>
    </row>
    <row r="23" spans="1:5" s="329" customFormat="1" ht="15.75">
      <c r="A23" s="334" t="s">
        <v>483</v>
      </c>
      <c r="B23" s="331" t="s">
        <v>18</v>
      </c>
      <c r="C23" s="337"/>
      <c r="D23" s="337"/>
      <c r="E23" s="338"/>
    </row>
    <row r="24" spans="1:5" s="329" customFormat="1" ht="15.75">
      <c r="A24" s="334" t="s">
        <v>484</v>
      </c>
      <c r="B24" s="331" t="s">
        <v>19</v>
      </c>
      <c r="C24" s="337"/>
      <c r="D24" s="337"/>
      <c r="E24" s="338"/>
    </row>
    <row r="25" spans="1:5" s="329" customFormat="1" ht="15.75">
      <c r="A25" s="334" t="s">
        <v>485</v>
      </c>
      <c r="B25" s="331" t="s">
        <v>20</v>
      </c>
      <c r="C25" s="337"/>
      <c r="D25" s="337"/>
      <c r="E25" s="338"/>
    </row>
    <row r="26" spans="1:5" s="329" customFormat="1" ht="15.75">
      <c r="A26" s="334" t="s">
        <v>486</v>
      </c>
      <c r="B26" s="331" t="s">
        <v>21</v>
      </c>
      <c r="C26" s="337"/>
      <c r="D26" s="337"/>
      <c r="E26" s="338"/>
    </row>
    <row r="27" spans="1:5" s="329" customFormat="1" ht="15.75">
      <c r="A27" s="330" t="s">
        <v>487</v>
      </c>
      <c r="B27" s="331" t="s">
        <v>22</v>
      </c>
      <c r="C27" s="339">
        <f>+C28+C29+C30+C31</f>
        <v>0</v>
      </c>
      <c r="D27" s="339">
        <f>+D28+D29+D30+D31</f>
        <v>0</v>
      </c>
      <c r="E27" s="340">
        <f>+E28+E29+E30+E31</f>
        <v>0</v>
      </c>
    </row>
    <row r="28" spans="1:5" s="329" customFormat="1" ht="15.75">
      <c r="A28" s="334" t="s">
        <v>488</v>
      </c>
      <c r="B28" s="331" t="s">
        <v>23</v>
      </c>
      <c r="C28" s="337"/>
      <c r="D28" s="337"/>
      <c r="E28" s="338"/>
    </row>
    <row r="29" spans="1:5" s="329" customFormat="1" ht="15.75">
      <c r="A29" s="334" t="s">
        <v>489</v>
      </c>
      <c r="B29" s="331" t="s">
        <v>24</v>
      </c>
      <c r="C29" s="337"/>
      <c r="D29" s="337"/>
      <c r="E29" s="338"/>
    </row>
    <row r="30" spans="1:5" s="329" customFormat="1" ht="15.75">
      <c r="A30" s="334" t="s">
        <v>490</v>
      </c>
      <c r="B30" s="331" t="s">
        <v>25</v>
      </c>
      <c r="C30" s="337"/>
      <c r="D30" s="337"/>
      <c r="E30" s="338"/>
    </row>
    <row r="31" spans="1:5" s="329" customFormat="1" ht="15.75">
      <c r="A31" s="334" t="s">
        <v>491</v>
      </c>
      <c r="B31" s="331" t="s">
        <v>26</v>
      </c>
      <c r="C31" s="337"/>
      <c r="D31" s="337"/>
      <c r="E31" s="338"/>
    </row>
    <row r="32" spans="1:5" s="329" customFormat="1" ht="15.75">
      <c r="A32" s="330" t="s">
        <v>492</v>
      </c>
      <c r="B32" s="331" t="s">
        <v>27</v>
      </c>
      <c r="C32" s="339">
        <f>+C33+C34+C35+C36</f>
        <v>0</v>
      </c>
      <c r="D32" s="339">
        <f>+D33+D34+D35+D36</f>
        <v>0</v>
      </c>
      <c r="E32" s="340">
        <f>+E33+E34+E35+E36</f>
        <v>0</v>
      </c>
    </row>
    <row r="33" spans="1:5" s="329" customFormat="1" ht="15.75">
      <c r="A33" s="334" t="s">
        <v>493</v>
      </c>
      <c r="B33" s="331" t="s">
        <v>28</v>
      </c>
      <c r="C33" s="337"/>
      <c r="D33" s="337"/>
      <c r="E33" s="338"/>
    </row>
    <row r="34" spans="1:5" s="329" customFormat="1" ht="22.5">
      <c r="A34" s="334" t="s">
        <v>494</v>
      </c>
      <c r="B34" s="331" t="s">
        <v>29</v>
      </c>
      <c r="C34" s="337"/>
      <c r="D34" s="337"/>
      <c r="E34" s="338"/>
    </row>
    <row r="35" spans="1:5" s="329" customFormat="1" ht="15.75">
      <c r="A35" s="334" t="s">
        <v>495</v>
      </c>
      <c r="B35" s="331" t="s">
        <v>30</v>
      </c>
      <c r="C35" s="337"/>
      <c r="D35" s="337"/>
      <c r="E35" s="338"/>
    </row>
    <row r="36" spans="1:5" s="329" customFormat="1" ht="15.75">
      <c r="A36" s="334" t="s">
        <v>496</v>
      </c>
      <c r="B36" s="331" t="s">
        <v>31</v>
      </c>
      <c r="C36" s="337"/>
      <c r="D36" s="337"/>
      <c r="E36" s="338"/>
    </row>
    <row r="37" spans="1:5" s="329" customFormat="1" ht="15.75">
      <c r="A37" s="330" t="s">
        <v>497</v>
      </c>
      <c r="B37" s="331" t="s">
        <v>32</v>
      </c>
      <c r="C37" s="339">
        <f>+C38+C43+C48</f>
        <v>0</v>
      </c>
      <c r="D37" s="339">
        <f>+D38+D43+D48</f>
        <v>250000</v>
      </c>
      <c r="E37" s="340">
        <f>+E38+E43+E48</f>
        <v>0</v>
      </c>
    </row>
    <row r="38" spans="1:5" s="329" customFormat="1" ht="15.75">
      <c r="A38" s="330" t="s">
        <v>498</v>
      </c>
      <c r="B38" s="331" t="s">
        <v>449</v>
      </c>
      <c r="C38" s="339">
        <f>+C39+C40+C41+C42</f>
        <v>0</v>
      </c>
      <c r="D38" s="339">
        <f>+D39+D40+D41+D42</f>
        <v>250000</v>
      </c>
      <c r="E38" s="340">
        <f>+E39+E40+E41+E42</f>
        <v>0</v>
      </c>
    </row>
    <row r="39" spans="1:5" s="329" customFormat="1" ht="15.75">
      <c r="A39" s="334" t="s">
        <v>499</v>
      </c>
      <c r="B39" s="331" t="s">
        <v>450</v>
      </c>
      <c r="C39" s="337"/>
      <c r="D39" s="337"/>
      <c r="E39" s="338"/>
    </row>
    <row r="40" spans="1:5" s="329" customFormat="1" ht="15.75">
      <c r="A40" s="334" t="s">
        <v>500</v>
      </c>
      <c r="B40" s="331" t="s">
        <v>451</v>
      </c>
      <c r="C40" s="337"/>
      <c r="D40" s="337"/>
      <c r="E40" s="338"/>
    </row>
    <row r="41" spans="1:5" s="329" customFormat="1" ht="15.75">
      <c r="A41" s="334" t="s">
        <v>501</v>
      </c>
      <c r="B41" s="331" t="s">
        <v>452</v>
      </c>
      <c r="C41" s="337"/>
      <c r="D41" s="337">
        <v>250000</v>
      </c>
      <c r="E41" s="338"/>
    </row>
    <row r="42" spans="1:5" s="329" customFormat="1" ht="15.75">
      <c r="A42" s="334" t="s">
        <v>502</v>
      </c>
      <c r="B42" s="331" t="s">
        <v>453</v>
      </c>
      <c r="C42" s="337"/>
      <c r="D42" s="337"/>
      <c r="E42" s="338"/>
    </row>
    <row r="43" spans="1:5" s="329" customFormat="1" ht="15.75">
      <c r="A43" s="330" t="s">
        <v>503</v>
      </c>
      <c r="B43" s="331" t="s">
        <v>504</v>
      </c>
      <c r="C43" s="339">
        <f>+C44+C45+C46+C47</f>
        <v>0</v>
      </c>
      <c r="D43" s="339">
        <f>+D44+D45+D46+D47</f>
        <v>0</v>
      </c>
      <c r="E43" s="340">
        <f>+E44+E45+E46+E47</f>
        <v>0</v>
      </c>
    </row>
    <row r="44" spans="1:5" s="329" customFormat="1" ht="15.75">
      <c r="A44" s="334" t="s">
        <v>505</v>
      </c>
      <c r="B44" s="331" t="s">
        <v>506</v>
      </c>
      <c r="C44" s="337"/>
      <c r="D44" s="337"/>
      <c r="E44" s="338"/>
    </row>
    <row r="45" spans="1:5" s="329" customFormat="1" ht="22.5">
      <c r="A45" s="334" t="s">
        <v>507</v>
      </c>
      <c r="B45" s="331" t="s">
        <v>508</v>
      </c>
      <c r="C45" s="337"/>
      <c r="D45" s="337"/>
      <c r="E45" s="338"/>
    </row>
    <row r="46" spans="1:5" s="329" customFormat="1" ht="15.75">
      <c r="A46" s="334" t="s">
        <v>509</v>
      </c>
      <c r="B46" s="331" t="s">
        <v>510</v>
      </c>
      <c r="C46" s="337"/>
      <c r="D46" s="337"/>
      <c r="E46" s="338"/>
    </row>
    <row r="47" spans="1:5" s="329" customFormat="1" ht="15.75">
      <c r="A47" s="334" t="s">
        <v>511</v>
      </c>
      <c r="B47" s="331" t="s">
        <v>512</v>
      </c>
      <c r="C47" s="337"/>
      <c r="D47" s="337"/>
      <c r="E47" s="338"/>
    </row>
    <row r="48" spans="1:5" s="329" customFormat="1" ht="15.75">
      <c r="A48" s="330" t="s">
        <v>513</v>
      </c>
      <c r="B48" s="331" t="s">
        <v>514</v>
      </c>
      <c r="C48" s="339">
        <f>+C49+C50+C51+C52</f>
        <v>0</v>
      </c>
      <c r="D48" s="339">
        <f>+D49+D50+D51+D52</f>
        <v>0</v>
      </c>
      <c r="E48" s="340">
        <f>+E49+E50+E51+E52</f>
        <v>0</v>
      </c>
    </row>
    <row r="49" spans="1:5" s="329" customFormat="1" ht="15.75">
      <c r="A49" s="334" t="s">
        <v>515</v>
      </c>
      <c r="B49" s="331" t="s">
        <v>516</v>
      </c>
      <c r="C49" s="337"/>
      <c r="D49" s="337"/>
      <c r="E49" s="338"/>
    </row>
    <row r="50" spans="1:5" s="329" customFormat="1" ht="22.5">
      <c r="A50" s="334" t="s">
        <v>517</v>
      </c>
      <c r="B50" s="331" t="s">
        <v>518</v>
      </c>
      <c r="C50" s="337"/>
      <c r="D50" s="337"/>
      <c r="E50" s="338"/>
    </row>
    <row r="51" spans="1:5" s="329" customFormat="1" ht="15.75">
      <c r="A51" s="334" t="s">
        <v>519</v>
      </c>
      <c r="B51" s="331" t="s">
        <v>520</v>
      </c>
      <c r="C51" s="337"/>
      <c r="D51" s="337"/>
      <c r="E51" s="338"/>
    </row>
    <row r="52" spans="1:5" s="329" customFormat="1" ht="15.75">
      <c r="A52" s="334" t="s">
        <v>521</v>
      </c>
      <c r="B52" s="331" t="s">
        <v>522</v>
      </c>
      <c r="C52" s="337"/>
      <c r="D52" s="337"/>
      <c r="E52" s="338"/>
    </row>
    <row r="53" spans="1:5" s="329" customFormat="1" ht="15.75">
      <c r="A53" s="330" t="s">
        <v>523</v>
      </c>
      <c r="B53" s="331" t="s">
        <v>524</v>
      </c>
      <c r="C53" s="337"/>
      <c r="D53" s="337">
        <v>131319166</v>
      </c>
      <c r="E53" s="338"/>
    </row>
    <row r="54" spans="1:5" s="329" customFormat="1" ht="21">
      <c r="A54" s="330" t="s">
        <v>525</v>
      </c>
      <c r="B54" s="331" t="s">
        <v>526</v>
      </c>
      <c r="C54" s="339">
        <f>+C10+C11+C37+C53</f>
        <v>0</v>
      </c>
      <c r="D54" s="339">
        <f>+D11+D10+D37+D53</f>
        <v>2335387792</v>
      </c>
      <c r="E54" s="340">
        <f>+E10+E11+E37+E53</f>
        <v>0</v>
      </c>
    </row>
    <row r="55" spans="1:5" s="329" customFormat="1" ht="15.75">
      <c r="A55" s="330" t="s">
        <v>527</v>
      </c>
      <c r="B55" s="331" t="s">
        <v>528</v>
      </c>
      <c r="C55" s="337"/>
      <c r="D55" s="337">
        <v>2973900</v>
      </c>
      <c r="E55" s="338"/>
    </row>
    <row r="56" spans="1:5" s="329" customFormat="1" ht="15.75">
      <c r="A56" s="330" t="s">
        <v>529</v>
      </c>
      <c r="B56" s="331" t="s">
        <v>530</v>
      </c>
      <c r="C56" s="337"/>
      <c r="D56" s="337"/>
      <c r="E56" s="338"/>
    </row>
    <row r="57" spans="1:5" s="329" customFormat="1" ht="15.75">
      <c r="A57" s="330" t="s">
        <v>531</v>
      </c>
      <c r="B57" s="331" t="s">
        <v>532</v>
      </c>
      <c r="C57" s="339">
        <f>+C55+C56</f>
        <v>0</v>
      </c>
      <c r="D57" s="339">
        <f>+D55+D56</f>
        <v>2973900</v>
      </c>
      <c r="E57" s="340">
        <f>+E55+E56</f>
        <v>0</v>
      </c>
    </row>
    <row r="58" spans="1:5" s="329" customFormat="1" ht="15.75">
      <c r="A58" s="330" t="s">
        <v>533</v>
      </c>
      <c r="B58" s="331" t="s">
        <v>534</v>
      </c>
      <c r="C58" s="337"/>
      <c r="D58" s="337"/>
      <c r="E58" s="338"/>
    </row>
    <row r="59" spans="1:5" s="329" customFormat="1" ht="15.75">
      <c r="A59" s="330" t="s">
        <v>535</v>
      </c>
      <c r="B59" s="331" t="s">
        <v>536</v>
      </c>
      <c r="C59" s="337"/>
      <c r="D59" s="337">
        <v>178310</v>
      </c>
      <c r="E59" s="338"/>
    </row>
    <row r="60" spans="1:5" s="329" customFormat="1" ht="15.75">
      <c r="A60" s="330" t="s">
        <v>537</v>
      </c>
      <c r="B60" s="331" t="s">
        <v>538</v>
      </c>
      <c r="C60" s="337"/>
      <c r="D60" s="337">
        <v>293648556</v>
      </c>
      <c r="E60" s="338"/>
    </row>
    <row r="61" spans="1:5" s="329" customFormat="1" ht="15.75">
      <c r="A61" s="330" t="s">
        <v>539</v>
      </c>
      <c r="B61" s="331" t="s">
        <v>540</v>
      </c>
      <c r="C61" s="337"/>
      <c r="D61" s="337"/>
      <c r="E61" s="338"/>
    </row>
    <row r="62" spans="1:5" s="329" customFormat="1" ht="15.75">
      <c r="A62" s="330" t="s">
        <v>541</v>
      </c>
      <c r="B62" s="331" t="s">
        <v>542</v>
      </c>
      <c r="C62" s="339">
        <f>+C58+C59+C60+C61</f>
        <v>0</v>
      </c>
      <c r="D62" s="339">
        <f>+D58+D59+D60+D61</f>
        <v>293826866</v>
      </c>
      <c r="E62" s="340">
        <f>+E58+E59+E60+E61</f>
        <v>0</v>
      </c>
    </row>
    <row r="63" spans="1:5" s="329" customFormat="1" ht="15.75">
      <c r="A63" s="330" t="s">
        <v>543</v>
      </c>
      <c r="B63" s="331" t="s">
        <v>544</v>
      </c>
      <c r="C63" s="337"/>
      <c r="D63" s="337">
        <v>53345369</v>
      </c>
      <c r="E63" s="338"/>
    </row>
    <row r="64" spans="1:5" s="329" customFormat="1" ht="15.75">
      <c r="A64" s="330" t="s">
        <v>545</v>
      </c>
      <c r="B64" s="331" t="s">
        <v>546</v>
      </c>
      <c r="C64" s="337"/>
      <c r="D64" s="337">
        <v>34218061</v>
      </c>
      <c r="E64" s="338"/>
    </row>
    <row r="65" spans="1:5" s="329" customFormat="1" ht="15.75">
      <c r="A65" s="330" t="s">
        <v>547</v>
      </c>
      <c r="B65" s="331" t="s">
        <v>548</v>
      </c>
      <c r="C65" s="337"/>
      <c r="D65" s="337">
        <v>100000</v>
      </c>
      <c r="E65" s="338"/>
    </row>
    <row r="66" spans="1:5" s="329" customFormat="1" ht="15.75">
      <c r="A66" s="330" t="s">
        <v>549</v>
      </c>
      <c r="B66" s="331" t="s">
        <v>550</v>
      </c>
      <c r="C66" s="339">
        <f>+C63+C64+C65</f>
        <v>0</v>
      </c>
      <c r="D66" s="339">
        <f>+D63+D64+D65</f>
        <v>87663430</v>
      </c>
      <c r="E66" s="340">
        <f>+E63+E64+E65</f>
        <v>0</v>
      </c>
    </row>
    <row r="67" spans="1:5" s="329" customFormat="1" ht="15.75">
      <c r="A67" s="330" t="s">
        <v>551</v>
      </c>
      <c r="B67" s="331" t="s">
        <v>552</v>
      </c>
      <c r="C67" s="337"/>
      <c r="D67" s="337"/>
      <c r="E67" s="338"/>
    </row>
    <row r="68" spans="1:5" s="329" customFormat="1" ht="21">
      <c r="A68" s="330" t="s">
        <v>553</v>
      </c>
      <c r="B68" s="331" t="s">
        <v>554</v>
      </c>
      <c r="C68" s="337"/>
      <c r="D68" s="337"/>
      <c r="E68" s="338"/>
    </row>
    <row r="69" spans="1:5" s="329" customFormat="1" ht="15.75">
      <c r="A69" s="330" t="s">
        <v>615</v>
      </c>
      <c r="B69" s="331" t="s">
        <v>555</v>
      </c>
      <c r="C69" s="339">
        <f>+C67+C68</f>
        <v>0</v>
      </c>
      <c r="D69" s="339"/>
      <c r="E69" s="340">
        <f>+E67+E68</f>
        <v>0</v>
      </c>
    </row>
    <row r="70" spans="1:5" s="329" customFormat="1" ht="15.75">
      <c r="A70" s="330" t="s">
        <v>556</v>
      </c>
      <c r="B70" s="331" t="s">
        <v>557</v>
      </c>
      <c r="C70" s="337"/>
      <c r="D70" s="337"/>
      <c r="E70" s="338"/>
    </row>
    <row r="71" spans="1:5" s="329" customFormat="1" ht="16.5" thickBot="1">
      <c r="A71" s="341" t="s">
        <v>558</v>
      </c>
      <c r="B71" s="342" t="s">
        <v>559</v>
      </c>
      <c r="C71" s="343">
        <f>+C54+C57+C62+C66+C69+C70</f>
        <v>0</v>
      </c>
      <c r="D71" s="343">
        <f>+D54+D57+D62+D66+D69+D70</f>
        <v>2719851988</v>
      </c>
      <c r="E71" s="344">
        <f>+E54+E57+E62+E66+E69+E70</f>
        <v>0</v>
      </c>
    </row>
    <row r="72" spans="1:5" ht="15.75">
      <c r="A72" s="345"/>
      <c r="C72" s="346"/>
      <c r="D72" s="346"/>
      <c r="E72" s="347"/>
    </row>
    <row r="73" spans="1:5" ht="15.75">
      <c r="A73" s="345"/>
      <c r="C73" s="346"/>
      <c r="D73" s="346"/>
      <c r="E73" s="347"/>
    </row>
    <row r="74" spans="1:5" ht="15.75">
      <c r="A74" s="348"/>
      <c r="C74" s="346"/>
      <c r="D74" s="346"/>
      <c r="E74" s="347"/>
    </row>
    <row r="75" spans="1:5" ht="15.75">
      <c r="A75" s="677"/>
      <c r="B75" s="677"/>
      <c r="C75" s="677"/>
      <c r="D75" s="677"/>
      <c r="E75" s="677"/>
    </row>
    <row r="76" spans="1:5" ht="15.75">
      <c r="A76" s="677"/>
      <c r="B76" s="677"/>
      <c r="C76" s="677"/>
      <c r="D76" s="677"/>
      <c r="E76" s="677"/>
    </row>
  </sheetData>
  <sheetProtection/>
  <mergeCells count="13"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  <mergeCell ref="D6:D7"/>
    <mergeCell ref="E6:E7"/>
    <mergeCell ref="C8:E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8"/>
  <sheetViews>
    <sheetView zoomScale="120" zoomScaleNormal="120" workbookViewId="0" topLeftCell="A1">
      <selection activeCell="F18" sqref="F18:H21"/>
    </sheetView>
  </sheetViews>
  <sheetFormatPr defaultColWidth="9.00390625" defaultRowHeight="12.75"/>
  <cols>
    <col min="1" max="1" width="71.125" style="351" customWidth="1"/>
    <col min="2" max="2" width="6.125" style="363" customWidth="1"/>
    <col min="3" max="3" width="18.00390625" style="350" customWidth="1"/>
    <col min="4" max="16384" width="9.375" style="350" customWidth="1"/>
  </cols>
  <sheetData>
    <row r="1" spans="1:3" ht="16.5" customHeight="1">
      <c r="A1" s="685" t="str">
        <f>CONCATENATE("10.2. melléklet ",Z_ALAPADATOK!A7," ",Z_ALAPADATOK!B7," ",Z_ALAPADATOK!C7," ",Z_ALAPADATOK!D7," ",Z_ALAPADATOK!E7," ",Z_ALAPADATOK!F7," ",Z_ALAPADATOK!G7," ",Z_ALAPADATOK!H7)</f>
        <v>10.2. melléklet a 12 / 2020. ( VI.11. ) önkormányzati rendelethez</v>
      </c>
      <c r="B1" s="686"/>
      <c r="C1" s="686"/>
    </row>
    <row r="2" spans="1:3" ht="16.5" customHeight="1">
      <c r="A2" s="433"/>
      <c r="B2" s="434"/>
      <c r="C2" s="435"/>
    </row>
    <row r="3" spans="1:3" ht="16.5" customHeight="1">
      <c r="A3" s="689" t="s">
        <v>617</v>
      </c>
      <c r="B3" s="689"/>
      <c r="C3" s="689"/>
    </row>
    <row r="4" spans="1:3" ht="16.5" customHeight="1">
      <c r="A4" s="687" t="s">
        <v>661</v>
      </c>
      <c r="B4" s="687"/>
      <c r="C4" s="687"/>
    </row>
    <row r="5" spans="1:3" ht="16.5" customHeight="1">
      <c r="A5" s="687" t="str">
        <f>'Vagyonkimutatás E.'!A4</f>
        <v>2019. év</v>
      </c>
      <c r="B5" s="688"/>
      <c r="C5" s="688"/>
    </row>
    <row r="6" spans="1:3" ht="13.5" thickBot="1">
      <c r="A6" s="433"/>
      <c r="B6" s="690" t="s">
        <v>669</v>
      </c>
      <c r="C6" s="690"/>
    </row>
    <row r="7" spans="1:3" s="352" customFormat="1" ht="31.5" customHeight="1">
      <c r="A7" s="691" t="s">
        <v>560</v>
      </c>
      <c r="B7" s="693" t="s">
        <v>455</v>
      </c>
      <c r="C7" s="695" t="s">
        <v>561</v>
      </c>
    </row>
    <row r="8" spans="1:3" s="352" customFormat="1" ht="12.75">
      <c r="A8" s="692"/>
      <c r="B8" s="694"/>
      <c r="C8" s="696"/>
    </row>
    <row r="9" spans="1:3" s="353" customFormat="1" ht="13.5" thickBot="1">
      <c r="A9" s="436" t="s">
        <v>325</v>
      </c>
      <c r="B9" s="437" t="s">
        <v>326</v>
      </c>
      <c r="C9" s="438" t="s">
        <v>327</v>
      </c>
    </row>
    <row r="10" spans="1:3" ht="15.75" customHeight="1">
      <c r="A10" s="330" t="s">
        <v>562</v>
      </c>
      <c r="B10" s="354" t="s">
        <v>462</v>
      </c>
      <c r="C10" s="355">
        <v>1037505816</v>
      </c>
    </row>
    <row r="11" spans="1:3" ht="15.75" customHeight="1">
      <c r="A11" s="330" t="s">
        <v>563</v>
      </c>
      <c r="B11" s="331" t="s">
        <v>464</v>
      </c>
      <c r="C11" s="355"/>
    </row>
    <row r="12" spans="1:3" ht="15.75" customHeight="1">
      <c r="A12" s="330" t="s">
        <v>564</v>
      </c>
      <c r="B12" s="331" t="s">
        <v>466</v>
      </c>
      <c r="C12" s="355"/>
    </row>
    <row r="13" spans="1:3" ht="15.75" customHeight="1">
      <c r="A13" s="330" t="s">
        <v>565</v>
      </c>
      <c r="B13" s="331" t="s">
        <v>468</v>
      </c>
      <c r="C13" s="356">
        <v>1161843636</v>
      </c>
    </row>
    <row r="14" spans="1:3" ht="15.75" customHeight="1">
      <c r="A14" s="330" t="s">
        <v>566</v>
      </c>
      <c r="B14" s="331" t="s">
        <v>470</v>
      </c>
      <c r="C14" s="356"/>
    </row>
    <row r="15" spans="1:3" ht="15.75" customHeight="1">
      <c r="A15" s="330" t="s">
        <v>567</v>
      </c>
      <c r="B15" s="331" t="s">
        <v>472</v>
      </c>
      <c r="C15" s="356">
        <v>203888095</v>
      </c>
    </row>
    <row r="16" spans="1:3" ht="15.75" customHeight="1">
      <c r="A16" s="330" t="s">
        <v>568</v>
      </c>
      <c r="B16" s="331" t="s">
        <v>474</v>
      </c>
      <c r="C16" s="357">
        <f>+C10+C11+C12+C13+C14+C15</f>
        <v>2403237547</v>
      </c>
    </row>
    <row r="17" spans="1:3" ht="15.75" customHeight="1">
      <c r="A17" s="330" t="s">
        <v>569</v>
      </c>
      <c r="B17" s="331" t="s">
        <v>476</v>
      </c>
      <c r="C17" s="358">
        <v>2081404</v>
      </c>
    </row>
    <row r="18" spans="1:3" ht="15.75" customHeight="1">
      <c r="A18" s="330" t="s">
        <v>570</v>
      </c>
      <c r="B18" s="331" t="s">
        <v>478</v>
      </c>
      <c r="C18" s="356">
        <v>6385218</v>
      </c>
    </row>
    <row r="19" spans="1:3" ht="15.75" customHeight="1">
      <c r="A19" s="330" t="s">
        <v>571</v>
      </c>
      <c r="B19" s="331" t="s">
        <v>14</v>
      </c>
      <c r="C19" s="356">
        <v>3939928</v>
      </c>
    </row>
    <row r="20" spans="1:3" ht="15.75" customHeight="1">
      <c r="A20" s="330" t="s">
        <v>572</v>
      </c>
      <c r="B20" s="331" t="s">
        <v>15</v>
      </c>
      <c r="C20" s="357">
        <f>+C17+C18+C19</f>
        <v>12406550</v>
      </c>
    </row>
    <row r="21" spans="1:3" s="359" customFormat="1" ht="15.75" customHeight="1">
      <c r="A21" s="330" t="s">
        <v>573</v>
      </c>
      <c r="B21" s="331" t="s">
        <v>16</v>
      </c>
      <c r="C21" s="356"/>
    </row>
    <row r="22" spans="1:3" ht="15.75" customHeight="1">
      <c r="A22" s="330" t="s">
        <v>574</v>
      </c>
      <c r="B22" s="331" t="s">
        <v>17</v>
      </c>
      <c r="C22" s="356">
        <v>304207891</v>
      </c>
    </row>
    <row r="23" spans="1:3" ht="15.75" customHeight="1" thickBot="1">
      <c r="A23" s="360" t="s">
        <v>575</v>
      </c>
      <c r="B23" s="342" t="s">
        <v>18</v>
      </c>
      <c r="C23" s="361">
        <f>+C16+C20+C21+C22</f>
        <v>2719851988</v>
      </c>
    </row>
    <row r="24" spans="1:5" ht="15.75">
      <c r="A24" s="345"/>
      <c r="B24" s="348"/>
      <c r="C24" s="346"/>
      <c r="D24" s="346"/>
      <c r="E24" s="346"/>
    </row>
    <row r="25" spans="1:5" ht="15.75">
      <c r="A25" s="345"/>
      <c r="B25" s="348"/>
      <c r="C25" s="346"/>
      <c r="D25" s="346"/>
      <c r="E25" s="346"/>
    </row>
    <row r="26" spans="1:5" ht="15.75">
      <c r="A26" s="348"/>
      <c r="B26" s="348"/>
      <c r="C26" s="346"/>
      <c r="D26" s="346"/>
      <c r="E26" s="346"/>
    </row>
    <row r="27" spans="1:5" ht="15.75">
      <c r="A27" s="684"/>
      <c r="B27" s="684"/>
      <c r="C27" s="684"/>
      <c r="D27" s="362"/>
      <c r="E27" s="362"/>
    </row>
    <row r="28" spans="1:5" ht="15.75">
      <c r="A28" s="684"/>
      <c r="B28" s="684"/>
      <c r="C28" s="684"/>
      <c r="D28" s="362"/>
      <c r="E28" s="362"/>
    </row>
  </sheetData>
  <sheetProtection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E46"/>
  <sheetViews>
    <sheetView zoomScale="120" zoomScaleNormal="120" workbookViewId="0" topLeftCell="A22">
      <selection activeCell="E16" sqref="E16"/>
    </sheetView>
  </sheetViews>
  <sheetFormatPr defaultColWidth="12.00390625" defaultRowHeight="12.75"/>
  <cols>
    <col min="1" max="1" width="58.875" style="364" customWidth="1"/>
    <col min="2" max="2" width="6.875" style="364" customWidth="1"/>
    <col min="3" max="3" width="19.125" style="364" customWidth="1"/>
    <col min="4" max="16384" width="12.00390625" style="364" customWidth="1"/>
  </cols>
  <sheetData>
    <row r="1" spans="1:3" ht="16.5" customHeight="1">
      <c r="A1" s="701" t="str">
        <f>CONCATENATE("10.3. melléklet ",Z_ALAPADATOK!A7," ",Z_ALAPADATOK!B7," ",Z_ALAPADATOK!C7," ",Z_ALAPADATOK!D7," ",Z_ALAPADATOK!E7," ",Z_ALAPADATOK!F7," ",Z_ALAPADATOK!G7," ",Z_ALAPADATOK!H7)</f>
        <v>10.3. melléklet a 12 / 2020. ( VI.11. ) önkormányzati rendelethez</v>
      </c>
      <c r="B1" s="701"/>
      <c r="C1" s="701"/>
    </row>
    <row r="2" s="439" customFormat="1" ht="16.5" customHeight="1"/>
    <row r="3" spans="1:3" s="387" customFormat="1" ht="16.5" customHeight="1">
      <c r="A3" s="702" t="s">
        <v>617</v>
      </c>
      <c r="B3" s="702"/>
      <c r="C3" s="702"/>
    </row>
    <row r="4" spans="1:3" s="387" customFormat="1" ht="16.5" customHeight="1">
      <c r="A4" s="702" t="s">
        <v>621</v>
      </c>
      <c r="B4" s="702"/>
      <c r="C4" s="702"/>
    </row>
    <row r="5" spans="1:3" s="387" customFormat="1" ht="16.5" customHeight="1">
      <c r="A5" s="697" t="str">
        <f>'Vagyonkimutatás E.'!A4</f>
        <v>2019. év</v>
      </c>
      <c r="B5" s="698"/>
      <c r="C5" s="698"/>
    </row>
    <row r="6" ht="16.5" customHeight="1" thickBot="1"/>
    <row r="7" spans="1:3" ht="43.5" customHeight="1" thickBot="1">
      <c r="A7" s="365" t="s">
        <v>43</v>
      </c>
      <c r="B7" s="366" t="s">
        <v>455</v>
      </c>
      <c r="C7" s="367" t="s">
        <v>576</v>
      </c>
    </row>
    <row r="8" spans="1:3" ht="16.5" thickBot="1">
      <c r="A8" s="368" t="s">
        <v>325</v>
      </c>
      <c r="B8" s="369" t="s">
        <v>326</v>
      </c>
      <c r="C8" s="370" t="s">
        <v>329</v>
      </c>
    </row>
    <row r="9" spans="1:3" ht="15.75" customHeight="1">
      <c r="A9" s="371" t="s">
        <v>577</v>
      </c>
      <c r="B9" s="372" t="s">
        <v>5</v>
      </c>
      <c r="C9" s="373"/>
    </row>
    <row r="10" spans="1:3" ht="15.75" customHeight="1">
      <c r="A10" s="371" t="s">
        <v>578</v>
      </c>
      <c r="B10" s="374" t="s">
        <v>6</v>
      </c>
      <c r="C10" s="375"/>
    </row>
    <row r="11" spans="1:3" ht="15.75" customHeight="1">
      <c r="A11" s="371" t="s">
        <v>579</v>
      </c>
      <c r="B11" s="374" t="s">
        <v>7</v>
      </c>
      <c r="C11" s="375"/>
    </row>
    <row r="12" spans="1:3" ht="15.75" customHeight="1" thickBot="1">
      <c r="A12" s="376" t="s">
        <v>580</v>
      </c>
      <c r="B12" s="377" t="s">
        <v>8</v>
      </c>
      <c r="C12" s="378"/>
    </row>
    <row r="13" spans="1:3" ht="15.75" customHeight="1" thickBot="1">
      <c r="A13" s="379" t="s">
        <v>581</v>
      </c>
      <c r="B13" s="380" t="s">
        <v>9</v>
      </c>
      <c r="C13" s="381">
        <v>55147028</v>
      </c>
    </row>
    <row r="14" spans="1:3" ht="15.75" customHeight="1">
      <c r="A14" s="382" t="s">
        <v>582</v>
      </c>
      <c r="B14" s="372" t="s">
        <v>10</v>
      </c>
      <c r="C14" s="373"/>
    </row>
    <row r="15" spans="1:3" ht="15.75" customHeight="1">
      <c r="A15" s="371" t="s">
        <v>583</v>
      </c>
      <c r="B15" s="374" t="s">
        <v>11</v>
      </c>
      <c r="C15" s="375"/>
    </row>
    <row r="16" spans="1:3" ht="15.75" customHeight="1">
      <c r="A16" s="371" t="s">
        <v>584</v>
      </c>
      <c r="B16" s="374" t="s">
        <v>12</v>
      </c>
      <c r="C16" s="375"/>
    </row>
    <row r="17" spans="1:3" ht="15.75" customHeight="1" thickBot="1">
      <c r="A17" s="376" t="s">
        <v>585</v>
      </c>
      <c r="B17" s="377" t="s">
        <v>13</v>
      </c>
      <c r="C17" s="378"/>
    </row>
    <row r="18" spans="1:3" ht="15.75" customHeight="1" thickBot="1">
      <c r="A18" s="379" t="s">
        <v>586</v>
      </c>
      <c r="B18" s="380" t="s">
        <v>14</v>
      </c>
      <c r="C18" s="381">
        <f>+C19+C20+C21</f>
        <v>0</v>
      </c>
    </row>
    <row r="19" spans="1:3" ht="15.75" customHeight="1">
      <c r="A19" s="382" t="s">
        <v>587</v>
      </c>
      <c r="B19" s="372" t="s">
        <v>15</v>
      </c>
      <c r="C19" s="373"/>
    </row>
    <row r="20" spans="1:3" ht="15.75" customHeight="1">
      <c r="A20" s="371" t="s">
        <v>588</v>
      </c>
      <c r="B20" s="374" t="s">
        <v>16</v>
      </c>
      <c r="C20" s="375"/>
    </row>
    <row r="21" spans="1:3" ht="15.75" customHeight="1" thickBot="1">
      <c r="A21" s="376" t="s">
        <v>589</v>
      </c>
      <c r="B21" s="377" t="s">
        <v>17</v>
      </c>
      <c r="C21" s="378"/>
    </row>
    <row r="22" spans="1:3" ht="15.75" customHeight="1" thickBot="1">
      <c r="A22" s="379" t="s">
        <v>590</v>
      </c>
      <c r="B22" s="380" t="s">
        <v>18</v>
      </c>
      <c r="C22" s="381">
        <f>+C23+C24+C25</f>
        <v>0</v>
      </c>
    </row>
    <row r="23" spans="1:3" ht="15.75" customHeight="1">
      <c r="A23" s="382" t="s">
        <v>591</v>
      </c>
      <c r="B23" s="372" t="s">
        <v>19</v>
      </c>
      <c r="C23" s="373"/>
    </row>
    <row r="24" spans="1:3" ht="15.75" customHeight="1">
      <c r="A24" s="371" t="s">
        <v>592</v>
      </c>
      <c r="B24" s="374" t="s">
        <v>20</v>
      </c>
      <c r="C24" s="375"/>
    </row>
    <row r="25" spans="1:3" ht="15.75" customHeight="1">
      <c r="A25" s="371" t="s">
        <v>593</v>
      </c>
      <c r="B25" s="374" t="s">
        <v>21</v>
      </c>
      <c r="C25" s="375"/>
    </row>
    <row r="26" spans="1:3" ht="15.75" customHeight="1">
      <c r="A26" s="371" t="s">
        <v>594</v>
      </c>
      <c r="B26" s="374" t="s">
        <v>22</v>
      </c>
      <c r="C26" s="375"/>
    </row>
    <row r="27" spans="1:3" ht="15.75" customHeight="1">
      <c r="A27" s="371"/>
      <c r="B27" s="374" t="s">
        <v>23</v>
      </c>
      <c r="C27" s="375"/>
    </row>
    <row r="28" spans="1:3" ht="15.75" customHeight="1">
      <c r="A28" s="371"/>
      <c r="B28" s="374" t="s">
        <v>24</v>
      </c>
      <c r="C28" s="375"/>
    </row>
    <row r="29" spans="1:3" ht="15.75" customHeight="1">
      <c r="A29" s="371"/>
      <c r="B29" s="374" t="s">
        <v>25</v>
      </c>
      <c r="C29" s="375"/>
    </row>
    <row r="30" spans="1:3" ht="15.75" customHeight="1">
      <c r="A30" s="371"/>
      <c r="B30" s="374" t="s">
        <v>26</v>
      </c>
      <c r="C30" s="375"/>
    </row>
    <row r="31" spans="1:3" ht="15.75" customHeight="1">
      <c r="A31" s="371"/>
      <c r="B31" s="374" t="s">
        <v>27</v>
      </c>
      <c r="C31" s="375"/>
    </row>
    <row r="32" spans="1:3" ht="15.75" customHeight="1">
      <c r="A32" s="371"/>
      <c r="B32" s="374" t="s">
        <v>28</v>
      </c>
      <c r="C32" s="375"/>
    </row>
    <row r="33" spans="1:3" ht="15.75" customHeight="1">
      <c r="A33" s="371"/>
      <c r="B33" s="374" t="s">
        <v>29</v>
      </c>
      <c r="C33" s="375"/>
    </row>
    <row r="34" spans="1:3" ht="15.75" customHeight="1">
      <c r="A34" s="371"/>
      <c r="B34" s="374" t="s">
        <v>30</v>
      </c>
      <c r="C34" s="375"/>
    </row>
    <row r="35" spans="1:3" ht="15.75" customHeight="1">
      <c r="A35" s="371"/>
      <c r="B35" s="374" t="s">
        <v>31</v>
      </c>
      <c r="C35" s="375"/>
    </row>
    <row r="36" spans="1:3" ht="15.75" customHeight="1">
      <c r="A36" s="371"/>
      <c r="B36" s="374" t="s">
        <v>32</v>
      </c>
      <c r="C36" s="375"/>
    </row>
    <row r="37" spans="1:3" ht="15.75" customHeight="1">
      <c r="A37" s="371"/>
      <c r="B37" s="374" t="s">
        <v>449</v>
      </c>
      <c r="C37" s="375"/>
    </row>
    <row r="38" spans="1:3" ht="15.75" customHeight="1">
      <c r="A38" s="371"/>
      <c r="B38" s="374" t="s">
        <v>450</v>
      </c>
      <c r="C38" s="375"/>
    </row>
    <row r="39" spans="1:3" ht="15.75" customHeight="1">
      <c r="A39" s="371"/>
      <c r="B39" s="374" t="s">
        <v>451</v>
      </c>
      <c r="C39" s="375"/>
    </row>
    <row r="40" spans="1:3" ht="15.75" customHeight="1">
      <c r="A40" s="371"/>
      <c r="B40" s="374" t="s">
        <v>452</v>
      </c>
      <c r="C40" s="375"/>
    </row>
    <row r="41" spans="1:3" ht="15.75" customHeight="1" thickBot="1">
      <c r="A41" s="376"/>
      <c r="B41" s="377" t="s">
        <v>453</v>
      </c>
      <c r="C41" s="378"/>
    </row>
    <row r="42" spans="1:5" ht="15.75" customHeight="1" thickBot="1">
      <c r="A42" s="699" t="s">
        <v>595</v>
      </c>
      <c r="B42" s="700"/>
      <c r="C42" s="381">
        <f>+C9+C10+C11+C12+C13+C18+C22+C26+C27+C28+C29+C30+C31+C32+C33+C34+C35+C36+C37+C38+C39+C40+C41</f>
        <v>55147028</v>
      </c>
      <c r="E42" s="383"/>
    </row>
    <row r="43" ht="15.75">
      <c r="A43" s="384" t="s">
        <v>596</v>
      </c>
    </row>
    <row r="44" spans="1:3" ht="15.75">
      <c r="A44" s="385"/>
      <c r="B44" s="385"/>
      <c r="C44" s="567"/>
    </row>
    <row r="45" spans="1:2" ht="15.75">
      <c r="A45" s="386"/>
      <c r="B45" s="386"/>
    </row>
    <row r="46" spans="1:2" ht="15.75">
      <c r="A46" s="386"/>
      <c r="B46" s="386"/>
    </row>
  </sheetData>
  <sheetProtection/>
  <mergeCells count="5">
    <mergeCell ref="A5:C5"/>
    <mergeCell ref="A42:B42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4"/>
  <sheetViews>
    <sheetView zoomScale="120" zoomScaleNormal="120" zoomScalePageLayoutView="0" workbookViewId="0" topLeftCell="A1">
      <selection activeCell="F24" sqref="F24"/>
    </sheetView>
  </sheetViews>
  <sheetFormatPr defaultColWidth="9.00390625" defaultRowHeight="12.75"/>
  <cols>
    <col min="1" max="1" width="9.375" style="72" customWidth="1"/>
    <col min="2" max="2" width="55.875" style="72" customWidth="1"/>
    <col min="3" max="3" width="25.00390625" style="72" customWidth="1"/>
    <col min="4" max="4" width="22.875" style="72" customWidth="1"/>
    <col min="5" max="5" width="25.00390625" style="72" customWidth="1"/>
    <col min="6" max="6" width="5.50390625" style="72" customWidth="1"/>
    <col min="7" max="16384" width="9.375" style="72" customWidth="1"/>
  </cols>
  <sheetData>
    <row r="1" spans="1:5" ht="12.75">
      <c r="A1" s="443"/>
      <c r="B1" s="443"/>
      <c r="C1" s="443"/>
      <c r="D1" s="443"/>
      <c r="E1" s="443"/>
    </row>
    <row r="2" spans="1:5" ht="15.75">
      <c r="A2" s="572" t="str">
        <f>CONCATENATE(PROPER(Z_ALAPADATOK!A3)," tulajdonában álló gazdálkodó szervezetek működéséből származó")</f>
        <v>Karácsond Községi Önkormányzat tulajdonában álló gazdálkodó szervezetek működéséből származó</v>
      </c>
      <c r="B2" s="572"/>
      <c r="C2" s="572"/>
      <c r="D2" s="572"/>
      <c r="E2" s="572"/>
    </row>
    <row r="3" spans="1:6" ht="15.75">
      <c r="A3" s="706" t="str">
        <f>CONCATENATE("kötelezettségek és részesedések alakulása ",Z_ALAPADATOK!B1,". évben")</f>
        <v>kötelezettségek és részesedések alakulása 2019. évben</v>
      </c>
      <c r="B3" s="572"/>
      <c r="C3" s="572"/>
      <c r="D3" s="572"/>
      <c r="E3" s="572"/>
      <c r="F3" s="703" t="str">
        <f>CONCATENATE("11. melléklet ",Z_ALAPADATOK!A7," ",Z_ALAPADATOK!B7," ",Z_ALAPADATOK!C7," ",Z_ALAPADATOK!D7," ",Z_ALAPADATOK!E7," ",Z_ALAPADATOK!F7," ",Z_ALAPADATOK!G7," ",Z_ALAPADATOK!H7)</f>
        <v>11. melléklet a 12 / 2020. ( VI.11. ) önkormányzati rendelethez</v>
      </c>
    </row>
    <row r="4" spans="1:6" ht="16.5" thickBot="1">
      <c r="A4" s="444"/>
      <c r="B4" s="443"/>
      <c r="C4" s="443"/>
      <c r="D4" s="443"/>
      <c r="E4" s="443"/>
      <c r="F4" s="703"/>
    </row>
    <row r="5" spans="1:6" ht="79.5" thickBot="1">
      <c r="A5" s="445" t="s">
        <v>455</v>
      </c>
      <c r="B5" s="446" t="s">
        <v>597</v>
      </c>
      <c r="C5" s="446" t="s">
        <v>598</v>
      </c>
      <c r="D5" s="446" t="s">
        <v>599</v>
      </c>
      <c r="E5" s="447" t="s">
        <v>600</v>
      </c>
      <c r="F5" s="703"/>
    </row>
    <row r="6" spans="1:6" ht="15.75">
      <c r="A6" s="440" t="s">
        <v>5</v>
      </c>
      <c r="B6" s="389" t="s">
        <v>739</v>
      </c>
      <c r="C6" s="390">
        <v>0.26</v>
      </c>
      <c r="D6" s="391">
        <v>100000</v>
      </c>
      <c r="E6" s="392"/>
      <c r="F6" s="703"/>
    </row>
    <row r="7" spans="1:6" ht="15.75">
      <c r="A7" s="441" t="s">
        <v>6</v>
      </c>
      <c r="B7" s="393" t="s">
        <v>740</v>
      </c>
      <c r="C7" s="394">
        <v>0.62</v>
      </c>
      <c r="D7" s="395">
        <v>150000</v>
      </c>
      <c r="E7" s="396"/>
      <c r="F7" s="703"/>
    </row>
    <row r="8" spans="1:6" ht="15.75">
      <c r="A8" s="441" t="s">
        <v>7</v>
      </c>
      <c r="B8" s="393"/>
      <c r="C8" s="394"/>
      <c r="D8" s="395"/>
      <c r="E8" s="396"/>
      <c r="F8" s="703"/>
    </row>
    <row r="9" spans="1:6" ht="15.75">
      <c r="A9" s="441" t="s">
        <v>8</v>
      </c>
      <c r="B9" s="393"/>
      <c r="C9" s="394"/>
      <c r="D9" s="395"/>
      <c r="E9" s="396"/>
      <c r="F9" s="703"/>
    </row>
    <row r="10" spans="1:6" ht="15.75">
      <c r="A10" s="441" t="s">
        <v>9</v>
      </c>
      <c r="B10" s="393"/>
      <c r="C10" s="394"/>
      <c r="D10" s="395"/>
      <c r="E10" s="396"/>
      <c r="F10" s="703"/>
    </row>
    <row r="11" spans="1:6" ht="15.75">
      <c r="A11" s="441" t="s">
        <v>10</v>
      </c>
      <c r="B11" s="393"/>
      <c r="C11" s="394"/>
      <c r="D11" s="395"/>
      <c r="E11" s="396"/>
      <c r="F11" s="703"/>
    </row>
    <row r="12" spans="1:6" ht="15.75">
      <c r="A12" s="441" t="s">
        <v>11</v>
      </c>
      <c r="B12" s="393"/>
      <c r="C12" s="394"/>
      <c r="D12" s="395"/>
      <c r="E12" s="396"/>
      <c r="F12" s="703"/>
    </row>
    <row r="13" spans="1:6" ht="15.75">
      <c r="A13" s="441" t="s">
        <v>12</v>
      </c>
      <c r="B13" s="393"/>
      <c r="C13" s="394"/>
      <c r="D13" s="395"/>
      <c r="E13" s="396"/>
      <c r="F13" s="703"/>
    </row>
    <row r="14" spans="1:6" ht="15.75">
      <c r="A14" s="441" t="s">
        <v>13</v>
      </c>
      <c r="B14" s="393"/>
      <c r="C14" s="394"/>
      <c r="D14" s="395"/>
      <c r="E14" s="396"/>
      <c r="F14" s="703"/>
    </row>
    <row r="15" spans="1:6" ht="15.75">
      <c r="A15" s="441" t="s">
        <v>14</v>
      </c>
      <c r="B15" s="393"/>
      <c r="C15" s="394"/>
      <c r="D15" s="395"/>
      <c r="E15" s="396"/>
      <c r="F15" s="703"/>
    </row>
    <row r="16" spans="1:6" ht="15.75">
      <c r="A16" s="441" t="s">
        <v>15</v>
      </c>
      <c r="B16" s="393"/>
      <c r="C16" s="394"/>
      <c r="D16" s="395"/>
      <c r="E16" s="396"/>
      <c r="F16" s="703"/>
    </row>
    <row r="17" spans="1:6" ht="15.75">
      <c r="A17" s="441" t="s">
        <v>16</v>
      </c>
      <c r="B17" s="393"/>
      <c r="C17" s="394"/>
      <c r="D17" s="395"/>
      <c r="E17" s="396"/>
      <c r="F17" s="703"/>
    </row>
    <row r="18" spans="1:6" ht="15.75">
      <c r="A18" s="441" t="s">
        <v>17</v>
      </c>
      <c r="B18" s="393"/>
      <c r="C18" s="394"/>
      <c r="D18" s="395"/>
      <c r="E18" s="396"/>
      <c r="F18" s="703"/>
    </row>
    <row r="19" spans="1:6" ht="15.75">
      <c r="A19" s="441" t="s">
        <v>18</v>
      </c>
      <c r="B19" s="393"/>
      <c r="C19" s="394"/>
      <c r="D19" s="395"/>
      <c r="E19" s="396"/>
      <c r="F19" s="703"/>
    </row>
    <row r="20" spans="1:6" ht="15.75">
      <c r="A20" s="441" t="s">
        <v>19</v>
      </c>
      <c r="B20" s="393"/>
      <c r="C20" s="394"/>
      <c r="D20" s="395"/>
      <c r="E20" s="396"/>
      <c r="F20" s="703"/>
    </row>
    <row r="21" spans="1:6" ht="15.75">
      <c r="A21" s="441" t="s">
        <v>20</v>
      </c>
      <c r="B21" s="393"/>
      <c r="C21" s="394"/>
      <c r="D21" s="395"/>
      <c r="E21" s="396"/>
      <c r="F21" s="703"/>
    </row>
    <row r="22" spans="1:6" ht="16.5" thickBot="1">
      <c r="A22" s="442" t="s">
        <v>21</v>
      </c>
      <c r="B22" s="397"/>
      <c r="C22" s="398"/>
      <c r="D22" s="399"/>
      <c r="E22" s="400"/>
      <c r="F22" s="703"/>
    </row>
    <row r="23" spans="1:6" ht="16.5" thickBot="1">
      <c r="A23" s="704" t="s">
        <v>601</v>
      </c>
      <c r="B23" s="705"/>
      <c r="C23" s="401"/>
      <c r="D23" s="402">
        <f>IF(SUM(D6:D22)=0,"",SUM(D6:D22))</f>
        <v>250000</v>
      </c>
      <c r="E23" s="403">
        <f>IF(SUM(E6:E22)=0,"",SUM(E6:E22))</f>
      </c>
      <c r="F23" s="703"/>
    </row>
    <row r="24" ht="15.75">
      <c r="A24" s="388"/>
    </row>
  </sheetData>
  <sheetProtection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2:C15"/>
  <sheetViews>
    <sheetView zoomScale="120" zoomScaleNormal="120" workbookViewId="0" topLeftCell="A1">
      <selection activeCell="L23" sqref="L23"/>
    </sheetView>
  </sheetViews>
  <sheetFormatPr defaultColWidth="9.00390625" defaultRowHeight="12.75"/>
  <cols>
    <col min="1" max="1" width="7.625" style="30" customWidth="1"/>
    <col min="2" max="2" width="60.875" style="30" customWidth="1"/>
    <col min="3" max="3" width="25.625" style="30" customWidth="1"/>
    <col min="4" max="16384" width="9.375" style="30" customWidth="1"/>
  </cols>
  <sheetData>
    <row r="2" spans="1:3" ht="15">
      <c r="A2" s="708" t="str">
        <f>CONCATENATE("12. melléklet ",Z_ALAPADATOK!A7," ",Z_ALAPADATOK!B7," ",Z_ALAPADATOK!C7," ",Z_ALAPADATOK!D7," ",Z_ALAPADATOK!E7," ",Z_ALAPADATOK!F7," ",Z_ALAPADATOK!G7," ",Z_ALAPADATOK!H7)</f>
        <v>12. melléklet a 12 / 2020. ( VI.11. ) önkormányzati rendelethez</v>
      </c>
      <c r="B2" s="709"/>
      <c r="C2" s="709"/>
    </row>
    <row r="3" spans="1:3" ht="14.25">
      <c r="A3" s="404"/>
      <c r="B3" s="404"/>
      <c r="C3" s="404"/>
    </row>
    <row r="4" spans="1:3" ht="33.75" customHeight="1">
      <c r="A4" s="707" t="s">
        <v>602</v>
      </c>
      <c r="B4" s="707"/>
      <c r="C4" s="707"/>
    </row>
    <row r="5" ht="13.5" thickBot="1">
      <c r="C5" s="405"/>
    </row>
    <row r="6" spans="1:3" s="409" customFormat="1" ht="43.5" customHeight="1" thickBot="1">
      <c r="A6" s="406" t="s">
        <v>3</v>
      </c>
      <c r="B6" s="407" t="s">
        <v>43</v>
      </c>
      <c r="C6" s="408" t="s">
        <v>603</v>
      </c>
    </row>
    <row r="7" spans="1:3" ht="28.5" customHeight="1">
      <c r="A7" s="410" t="s">
        <v>5</v>
      </c>
      <c r="B7" s="411" t="str">
        <f>CONCATENATE("Pénzkészlet ",Z_ALAPADATOK!B1,". január 1-jén
Ebből:")</f>
        <v>Pénzkészlet 2019. január 1-jén
Ebből:</v>
      </c>
      <c r="C7" s="498">
        <v>456938995</v>
      </c>
    </row>
    <row r="8" spans="1:3" ht="18" customHeight="1">
      <c r="A8" s="412" t="s">
        <v>6</v>
      </c>
      <c r="B8" s="413" t="s">
        <v>604</v>
      </c>
      <c r="C8" s="448">
        <v>456729845</v>
      </c>
    </row>
    <row r="9" spans="1:3" ht="18" customHeight="1">
      <c r="A9" s="412" t="s">
        <v>7</v>
      </c>
      <c r="B9" s="413" t="s">
        <v>605</v>
      </c>
      <c r="C9" s="448">
        <v>209150</v>
      </c>
    </row>
    <row r="10" spans="1:3" ht="18" customHeight="1">
      <c r="A10" s="412" t="s">
        <v>8</v>
      </c>
      <c r="B10" s="414" t="s">
        <v>606</v>
      </c>
      <c r="C10" s="448">
        <v>636599093</v>
      </c>
    </row>
    <row r="11" spans="1:3" ht="18" customHeight="1">
      <c r="A11" s="415" t="s">
        <v>9</v>
      </c>
      <c r="B11" s="416" t="s">
        <v>607</v>
      </c>
      <c r="C11" s="449">
        <v>799711222</v>
      </c>
    </row>
    <row r="12" spans="1:3" ht="18" customHeight="1" thickBot="1">
      <c r="A12" s="417" t="s">
        <v>10</v>
      </c>
      <c r="B12" s="418" t="s">
        <v>608</v>
      </c>
      <c r="C12" s="450"/>
    </row>
    <row r="13" spans="1:3" ht="25.5" customHeight="1">
      <c r="A13" s="419" t="s">
        <v>11</v>
      </c>
      <c r="B13" s="420" t="str">
        <f>CONCATENATE("Pénzkészlet ",Z_ALAPADATOK!B1,". december 31-én
Ebből:")</f>
        <v>Pénzkészlet 2019. december 31-én
Ebből:</v>
      </c>
      <c r="C13" s="451">
        <f>C7+C10-C11+C12</f>
        <v>293826866</v>
      </c>
    </row>
    <row r="14" spans="1:3" ht="18" customHeight="1">
      <c r="A14" s="412" t="s">
        <v>12</v>
      </c>
      <c r="B14" s="413" t="s">
        <v>604</v>
      </c>
      <c r="C14" s="448">
        <v>293648556</v>
      </c>
    </row>
    <row r="15" spans="1:3" ht="18" customHeight="1" thickBot="1">
      <c r="A15" s="417" t="s">
        <v>13</v>
      </c>
      <c r="B15" s="421" t="s">
        <v>605</v>
      </c>
      <c r="C15" s="450">
        <v>178310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28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6" t="s">
        <v>430</v>
      </c>
      <c r="B1" s="72"/>
    </row>
    <row r="2" spans="1:2" ht="12.75">
      <c r="A2" s="72"/>
      <c r="B2" s="72"/>
    </row>
    <row r="3" spans="1:2" ht="12.75">
      <c r="A3" s="227"/>
      <c r="B3" s="227"/>
    </row>
    <row r="4" spans="1:2" ht="15.75">
      <c r="A4" s="73"/>
      <c r="B4" s="228"/>
    </row>
    <row r="5" spans="1:2" ht="15.75">
      <c r="A5" s="73"/>
      <c r="B5" s="228"/>
    </row>
    <row r="6" spans="1:2" s="65" customFormat="1" ht="15.75">
      <c r="A6" s="73" t="str">
        <f>CONCATENATE(Z_ALAPADATOK!B1,". évi eredeti előirányzat BEVÉTELEK")</f>
        <v>2019. évi eredeti előirányzat BEVÉTELEK</v>
      </c>
      <c r="B6" s="227"/>
    </row>
    <row r="7" spans="1:2" s="65" customFormat="1" ht="12.75">
      <c r="A7" s="227"/>
      <c r="B7" s="227"/>
    </row>
    <row r="8" spans="1:2" s="65" customFormat="1" ht="12.75">
      <c r="A8" s="227"/>
      <c r="B8" s="227"/>
    </row>
    <row r="9" spans="1:2" ht="12.75">
      <c r="A9" s="227" t="s">
        <v>393</v>
      </c>
      <c r="B9" s="227" t="s">
        <v>363</v>
      </c>
    </row>
    <row r="10" spans="1:2" ht="12.75">
      <c r="A10" s="227" t="s">
        <v>391</v>
      </c>
      <c r="B10" s="227" t="s">
        <v>369</v>
      </c>
    </row>
    <row r="11" spans="1:2" ht="12.75">
      <c r="A11" s="227" t="s">
        <v>392</v>
      </c>
      <c r="B11" s="227" t="s">
        <v>370</v>
      </c>
    </row>
    <row r="12" spans="1:2" ht="12.75">
      <c r="A12" s="227"/>
      <c r="B12" s="227"/>
    </row>
    <row r="13" spans="1:2" ht="15.75">
      <c r="A13" s="73" t="str">
        <f>+CONCATENATE(LEFT(A6,4),". évi módosított előirányzat BEVÉTELEK")</f>
        <v>2019. évi módosított előirányzat BEVÉTELEK</v>
      </c>
      <c r="B13" s="228"/>
    </row>
    <row r="14" spans="1:2" ht="12.75">
      <c r="A14" s="227"/>
      <c r="B14" s="227"/>
    </row>
    <row r="15" spans="1:2" s="65" customFormat="1" ht="12.75">
      <c r="A15" s="227" t="s">
        <v>394</v>
      </c>
      <c r="B15" s="227" t="s">
        <v>364</v>
      </c>
    </row>
    <row r="16" spans="1:2" ht="12.75">
      <c r="A16" s="227" t="s">
        <v>395</v>
      </c>
      <c r="B16" s="227" t="s">
        <v>371</v>
      </c>
    </row>
    <row r="17" spans="1:2" ht="12.75">
      <c r="A17" s="227" t="s">
        <v>396</v>
      </c>
      <c r="B17" s="227" t="s">
        <v>372</v>
      </c>
    </row>
    <row r="18" spans="1:2" ht="12.75">
      <c r="A18" s="227"/>
      <c r="B18" s="227"/>
    </row>
    <row r="19" spans="1:2" ht="14.25">
      <c r="A19" s="230" t="str">
        <f>+CONCATENATE(LEFT(A6,4),".évi teljesített BEVÉTELEK")</f>
        <v>2019.évi teljesített BEVÉTELEK</v>
      </c>
      <c r="B19" s="228"/>
    </row>
    <row r="20" spans="1:2" ht="12.75">
      <c r="A20" s="227"/>
      <c r="B20" s="227"/>
    </row>
    <row r="21" spans="1:2" ht="12.75">
      <c r="A21" s="227" t="s">
        <v>397</v>
      </c>
      <c r="B21" s="227" t="s">
        <v>365</v>
      </c>
    </row>
    <row r="22" spans="1:2" ht="12.75">
      <c r="A22" s="227" t="s">
        <v>398</v>
      </c>
      <c r="B22" s="227" t="s">
        <v>373</v>
      </c>
    </row>
    <row r="23" spans="1:2" ht="12.75">
      <c r="A23" s="227" t="s">
        <v>399</v>
      </c>
      <c r="B23" s="227" t="s">
        <v>374</v>
      </c>
    </row>
    <row r="24" spans="1:2" ht="12.75">
      <c r="A24" s="227"/>
      <c r="B24" s="227"/>
    </row>
    <row r="25" spans="1:2" ht="15.75">
      <c r="A25" s="73" t="str">
        <f>+CONCATENATE(LEFT(A6,4),". évi eredeti előirányzat KIADÁSOK")</f>
        <v>2019. évi eredeti előirányzat KIADÁSOK</v>
      </c>
      <c r="B25" s="228"/>
    </row>
    <row r="26" spans="1:2" ht="12.75">
      <c r="A26" s="227"/>
      <c r="B26" s="227"/>
    </row>
    <row r="27" spans="1:2" ht="12.75">
      <c r="A27" s="227" t="s">
        <v>400</v>
      </c>
      <c r="B27" s="227" t="s">
        <v>366</v>
      </c>
    </row>
    <row r="28" spans="1:2" ht="12.75">
      <c r="A28" s="227" t="s">
        <v>401</v>
      </c>
      <c r="B28" s="227" t="s">
        <v>375</v>
      </c>
    </row>
    <row r="29" spans="1:2" ht="12.75">
      <c r="A29" s="227" t="s">
        <v>402</v>
      </c>
      <c r="B29" s="227" t="s">
        <v>376</v>
      </c>
    </row>
    <row r="30" spans="1:2" ht="12.75">
      <c r="A30" s="227"/>
      <c r="B30" s="227"/>
    </row>
    <row r="31" spans="1:2" ht="15.75">
      <c r="A31" s="73" t="str">
        <f>+CONCATENATE(LEFT(A6,4),". évi módosított előirányzat KIADÁSOK")</f>
        <v>2019. évi módosított előirányzat KIADÁSOK</v>
      </c>
      <c r="B31" s="228"/>
    </row>
    <row r="32" spans="1:2" ht="12.75">
      <c r="A32" s="227"/>
      <c r="B32" s="227"/>
    </row>
    <row r="33" spans="1:2" ht="12.75">
      <c r="A33" s="227" t="s">
        <v>403</v>
      </c>
      <c r="B33" s="227" t="s">
        <v>367</v>
      </c>
    </row>
    <row r="34" spans="1:2" ht="12.75">
      <c r="A34" s="227" t="s">
        <v>404</v>
      </c>
      <c r="B34" s="227" t="s">
        <v>377</v>
      </c>
    </row>
    <row r="35" spans="1:2" ht="12.75">
      <c r="A35" s="227" t="s">
        <v>405</v>
      </c>
      <c r="B35" s="227" t="s">
        <v>378</v>
      </c>
    </row>
    <row r="36" spans="1:2" ht="12.75">
      <c r="A36" s="227"/>
      <c r="B36" s="227"/>
    </row>
    <row r="37" spans="1:2" ht="15.75">
      <c r="A37" s="229" t="str">
        <f>+CONCATENATE(LEFT(A6,4),".évi teljesített KIADÁSOK")</f>
        <v>2019.évi teljesített KIADÁSOK</v>
      </c>
      <c r="B37" s="228"/>
    </row>
    <row r="38" spans="1:2" ht="12.75">
      <c r="A38" s="227"/>
      <c r="B38" s="227"/>
    </row>
    <row r="39" spans="1:2" ht="12.75">
      <c r="A39" s="227" t="s">
        <v>406</v>
      </c>
      <c r="B39" s="227" t="s">
        <v>368</v>
      </c>
    </row>
    <row r="40" spans="1:2" ht="12.75">
      <c r="A40" s="227" t="s">
        <v>407</v>
      </c>
      <c r="B40" s="227" t="s">
        <v>379</v>
      </c>
    </row>
    <row r="41" spans="1:2" ht="12.75">
      <c r="A41" s="227" t="s">
        <v>408</v>
      </c>
      <c r="B41" s="227" t="s">
        <v>380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67"/>
  <sheetViews>
    <sheetView zoomScale="120" zoomScaleNormal="120" zoomScaleSheetLayoutView="100" workbookViewId="0" topLeftCell="A163">
      <selection activeCell="N42" sqref="N42"/>
    </sheetView>
  </sheetViews>
  <sheetFormatPr defaultColWidth="9.00390625" defaultRowHeight="12.75"/>
  <cols>
    <col min="1" max="1" width="9.50390625" style="114" customWidth="1"/>
    <col min="2" max="2" width="65.875" style="114" customWidth="1"/>
    <col min="3" max="3" width="17.875" style="115" customWidth="1"/>
    <col min="4" max="5" width="17.875" style="133" customWidth="1"/>
    <col min="6" max="16384" width="9.375" style="133" customWidth="1"/>
  </cols>
  <sheetData>
    <row r="1" spans="1:5" ht="15.75">
      <c r="A1" s="258"/>
      <c r="B1" s="576" t="str">
        <f>CONCATENATE("1.1. melléklet ",Z_ALAPADATOK!A7," ",Z_ALAPADATOK!B7," ",Z_ALAPADATOK!C7," ",Z_ALAPADATOK!D7," ",Z_ALAPADATOK!E7," ",Z_ALAPADATOK!F7," ",Z_ALAPADATOK!G7," ",Z_ALAPADATOK!H7)</f>
        <v>1.1. melléklet a 12 / 2020. ( VI.11. ) önkormányzati rendelethez</v>
      </c>
      <c r="C1" s="577"/>
      <c r="D1" s="577"/>
      <c r="E1" s="577"/>
    </row>
    <row r="2" spans="1:5" ht="15.75">
      <c r="A2" s="578" t="str">
        <f>CONCATENATE(Z_ALAPADATOK!A3)</f>
        <v>Karácsond Községi Önkormányzat</v>
      </c>
      <c r="B2" s="579"/>
      <c r="C2" s="579"/>
      <c r="D2" s="579"/>
      <c r="E2" s="579"/>
    </row>
    <row r="3" spans="1:5" ht="15.75">
      <c r="A3" s="578" t="str">
        <f>CONCATENATE(Z_ALAPADATOK!B1,". évi ZÁRSZÁMADÁSÁNAK PÉNZÜGYI MÉRLEGE")</f>
        <v>2019. évi ZÁRSZÁMADÁSÁNAK PÉNZÜGYI MÉRLEGE</v>
      </c>
      <c r="B3" s="578"/>
      <c r="C3" s="580"/>
      <c r="D3" s="578"/>
      <c r="E3" s="578"/>
    </row>
    <row r="4" spans="1:5" ht="12" customHeight="1">
      <c r="A4" s="578"/>
      <c r="B4" s="578"/>
      <c r="C4" s="580"/>
      <c r="D4" s="578"/>
      <c r="E4" s="578"/>
    </row>
    <row r="5" spans="1:5" ht="15.75">
      <c r="A5" s="258"/>
      <c r="B5" s="258"/>
      <c r="C5" s="259"/>
      <c r="D5" s="260"/>
      <c r="E5" s="260"/>
    </row>
    <row r="6" spans="1:5" ht="15.75" customHeight="1">
      <c r="A6" s="590" t="s">
        <v>2</v>
      </c>
      <c r="B6" s="590"/>
      <c r="C6" s="590"/>
      <c r="D6" s="590"/>
      <c r="E6" s="590"/>
    </row>
    <row r="7" spans="1:5" ht="15.75" customHeight="1" thickBot="1">
      <c r="A7" s="592" t="s">
        <v>97</v>
      </c>
      <c r="B7" s="592"/>
      <c r="C7" s="261"/>
      <c r="D7" s="260"/>
      <c r="E7" s="261" t="s">
        <v>418</v>
      </c>
    </row>
    <row r="8" spans="1:5" ht="15.75">
      <c r="A8" s="582" t="s">
        <v>49</v>
      </c>
      <c r="B8" s="584" t="s">
        <v>4</v>
      </c>
      <c r="C8" s="586" t="str">
        <f>+CONCATENATE(LEFT(Z_ÖSSZEFÜGGÉSEK!A6,4),". évi")</f>
        <v>2019. évi</v>
      </c>
      <c r="D8" s="587"/>
      <c r="E8" s="588"/>
    </row>
    <row r="9" spans="1:5" ht="24.75" thickBot="1">
      <c r="A9" s="583"/>
      <c r="B9" s="585"/>
      <c r="C9" s="201" t="s">
        <v>358</v>
      </c>
      <c r="D9" s="200" t="s">
        <v>359</v>
      </c>
      <c r="E9" s="253" t="str">
        <f>+CONCATENATE(LEFT(Z_ÖSSZEFÜGGÉSEK!A6,4),". XII. 31.",CHAR(10),"teljesítés")</f>
        <v>2019. XII. 31.
teljesítés</v>
      </c>
    </row>
    <row r="10" spans="1:5" s="134" customFormat="1" ht="12" customHeight="1" thickBot="1">
      <c r="A10" s="130" t="s">
        <v>325</v>
      </c>
      <c r="B10" s="131" t="s">
        <v>326</v>
      </c>
      <c r="C10" s="131" t="s">
        <v>327</v>
      </c>
      <c r="D10" s="131" t="s">
        <v>329</v>
      </c>
      <c r="E10" s="202" t="s">
        <v>328</v>
      </c>
    </row>
    <row r="11" spans="1:5" s="135" customFormat="1" ht="12" customHeight="1" thickBot="1">
      <c r="A11" s="18" t="s">
        <v>5</v>
      </c>
      <c r="B11" s="19" t="s">
        <v>126</v>
      </c>
      <c r="C11" s="123">
        <f>+C12+C13+C14+C15+C16+C17</f>
        <v>144049665</v>
      </c>
      <c r="D11" s="123">
        <f>+D12+D13+D14+D15+D16+D17</f>
        <v>160401796</v>
      </c>
      <c r="E11" s="88">
        <f>+E12+E13+E14+E15+E16+E17</f>
        <v>160401796</v>
      </c>
    </row>
    <row r="12" spans="1:5" s="135" customFormat="1" ht="12" customHeight="1">
      <c r="A12" s="13" t="s">
        <v>61</v>
      </c>
      <c r="B12" s="136" t="s">
        <v>127</v>
      </c>
      <c r="C12" s="125">
        <v>59867636</v>
      </c>
      <c r="D12" s="125">
        <v>61198667</v>
      </c>
      <c r="E12" s="90">
        <v>61198667</v>
      </c>
    </row>
    <row r="13" spans="1:5" s="135" customFormat="1" ht="12" customHeight="1">
      <c r="A13" s="12" t="s">
        <v>62</v>
      </c>
      <c r="B13" s="137" t="s">
        <v>128</v>
      </c>
      <c r="C13" s="124">
        <v>52961800</v>
      </c>
      <c r="D13" s="124">
        <v>55830268</v>
      </c>
      <c r="E13" s="89">
        <v>55830268</v>
      </c>
    </row>
    <row r="14" spans="1:5" s="135" customFormat="1" ht="12" customHeight="1">
      <c r="A14" s="12" t="s">
        <v>63</v>
      </c>
      <c r="B14" s="137" t="s">
        <v>129</v>
      </c>
      <c r="C14" s="124">
        <v>27582969</v>
      </c>
      <c r="D14" s="124">
        <v>28186074</v>
      </c>
      <c r="E14" s="89">
        <v>28186074</v>
      </c>
    </row>
    <row r="15" spans="1:5" s="135" customFormat="1" ht="12" customHeight="1">
      <c r="A15" s="12" t="s">
        <v>64</v>
      </c>
      <c r="B15" s="137" t="s">
        <v>130</v>
      </c>
      <c r="C15" s="124">
        <v>3637260</v>
      </c>
      <c r="D15" s="124">
        <v>4215922</v>
      </c>
      <c r="E15" s="89">
        <v>4215922</v>
      </c>
    </row>
    <row r="16" spans="1:5" s="135" customFormat="1" ht="12" customHeight="1">
      <c r="A16" s="12" t="s">
        <v>94</v>
      </c>
      <c r="B16" s="96" t="s">
        <v>276</v>
      </c>
      <c r="C16" s="124"/>
      <c r="D16" s="124">
        <v>10970865</v>
      </c>
      <c r="E16" s="89">
        <v>10970865</v>
      </c>
    </row>
    <row r="17" spans="1:5" s="135" customFormat="1" ht="12" customHeight="1" thickBot="1">
      <c r="A17" s="14" t="s">
        <v>65</v>
      </c>
      <c r="B17" s="97" t="s">
        <v>277</v>
      </c>
      <c r="C17" s="124"/>
      <c r="D17" s="124"/>
      <c r="E17" s="89"/>
    </row>
    <row r="18" spans="1:5" s="135" customFormat="1" ht="12" customHeight="1" thickBot="1">
      <c r="A18" s="18" t="s">
        <v>6</v>
      </c>
      <c r="B18" s="95" t="s">
        <v>131</v>
      </c>
      <c r="C18" s="123">
        <f>+C19+C20+C21+C22+C23</f>
        <v>27156114</v>
      </c>
      <c r="D18" s="123">
        <f>+D19+D20+D21+D22+D23</f>
        <v>30256698</v>
      </c>
      <c r="E18" s="88">
        <f>+E19+E20+E21+E22+E23</f>
        <v>30584865</v>
      </c>
    </row>
    <row r="19" spans="1:5" s="135" customFormat="1" ht="12" customHeight="1">
      <c r="A19" s="13" t="s">
        <v>67</v>
      </c>
      <c r="B19" s="136" t="s">
        <v>132</v>
      </c>
      <c r="C19" s="125"/>
      <c r="D19" s="125"/>
      <c r="E19" s="90"/>
    </row>
    <row r="20" spans="1:5" s="135" customFormat="1" ht="12" customHeight="1">
      <c r="A20" s="12" t="s">
        <v>68</v>
      </c>
      <c r="B20" s="137" t="s">
        <v>133</v>
      </c>
      <c r="C20" s="124"/>
      <c r="D20" s="124"/>
      <c r="E20" s="89"/>
    </row>
    <row r="21" spans="1:5" s="135" customFormat="1" ht="12" customHeight="1">
      <c r="A21" s="12" t="s">
        <v>69</v>
      </c>
      <c r="B21" s="137" t="s">
        <v>269</v>
      </c>
      <c r="C21" s="124"/>
      <c r="D21" s="124"/>
      <c r="E21" s="89"/>
    </row>
    <row r="22" spans="1:5" s="135" customFormat="1" ht="12" customHeight="1">
      <c r="A22" s="12" t="s">
        <v>70</v>
      </c>
      <c r="B22" s="137" t="s">
        <v>270</v>
      </c>
      <c r="C22" s="124"/>
      <c r="D22" s="124"/>
      <c r="E22" s="89"/>
    </row>
    <row r="23" spans="1:5" s="135" customFormat="1" ht="12" customHeight="1">
      <c r="A23" s="12" t="s">
        <v>71</v>
      </c>
      <c r="B23" s="137" t="s">
        <v>134</v>
      </c>
      <c r="C23" s="124">
        <v>27156114</v>
      </c>
      <c r="D23" s="124">
        <v>30256698</v>
      </c>
      <c r="E23" s="89">
        <v>30584865</v>
      </c>
    </row>
    <row r="24" spans="1:5" s="135" customFormat="1" ht="12" customHeight="1" thickBot="1">
      <c r="A24" s="14" t="s">
        <v>78</v>
      </c>
      <c r="B24" s="97" t="s">
        <v>135</v>
      </c>
      <c r="C24" s="126"/>
      <c r="D24" s="126"/>
      <c r="E24" s="91">
        <v>6488564</v>
      </c>
    </row>
    <row r="25" spans="1:5" s="135" customFormat="1" ht="12" customHeight="1" thickBot="1">
      <c r="A25" s="18" t="s">
        <v>7</v>
      </c>
      <c r="B25" s="19" t="s">
        <v>136</v>
      </c>
      <c r="C25" s="123">
        <f>+C26+C27+C28+C29+C30</f>
        <v>148219000</v>
      </c>
      <c r="D25" s="123">
        <f>+D26+D27+D28+D29+D30</f>
        <v>147949885</v>
      </c>
      <c r="E25" s="88">
        <f>+E26+E27+E28+E29+E30</f>
        <v>194616085</v>
      </c>
    </row>
    <row r="26" spans="1:5" s="135" customFormat="1" ht="12" customHeight="1">
      <c r="A26" s="13" t="s">
        <v>50</v>
      </c>
      <c r="B26" s="136" t="s">
        <v>137</v>
      </c>
      <c r="C26" s="125">
        <v>141219000</v>
      </c>
      <c r="D26" s="125">
        <v>140949885</v>
      </c>
      <c r="E26" s="90">
        <v>140949885</v>
      </c>
    </row>
    <row r="27" spans="1:5" s="135" customFormat="1" ht="12" customHeight="1">
      <c r="A27" s="12" t="s">
        <v>51</v>
      </c>
      <c r="B27" s="137" t="s">
        <v>138</v>
      </c>
      <c r="C27" s="124"/>
      <c r="D27" s="124"/>
      <c r="E27" s="89"/>
    </row>
    <row r="28" spans="1:5" s="135" customFormat="1" ht="12" customHeight="1">
      <c r="A28" s="12" t="s">
        <v>52</v>
      </c>
      <c r="B28" s="137" t="s">
        <v>271</v>
      </c>
      <c r="C28" s="124"/>
      <c r="D28" s="124"/>
      <c r="E28" s="89"/>
    </row>
    <row r="29" spans="1:5" s="135" customFormat="1" ht="12" customHeight="1">
      <c r="A29" s="12" t="s">
        <v>53</v>
      </c>
      <c r="B29" s="137" t="s">
        <v>272</v>
      </c>
      <c r="C29" s="124"/>
      <c r="D29" s="124"/>
      <c r="E29" s="89"/>
    </row>
    <row r="30" spans="1:5" s="135" customFormat="1" ht="12" customHeight="1">
      <c r="A30" s="12" t="s">
        <v>100</v>
      </c>
      <c r="B30" s="137" t="s">
        <v>139</v>
      </c>
      <c r="C30" s="124">
        <v>7000000</v>
      </c>
      <c r="D30" s="124">
        <v>7000000</v>
      </c>
      <c r="E30" s="89">
        <v>53666200</v>
      </c>
    </row>
    <row r="31" spans="1:5" s="135" customFormat="1" ht="12" customHeight="1" thickBot="1">
      <c r="A31" s="14" t="s">
        <v>101</v>
      </c>
      <c r="B31" s="138" t="s">
        <v>140</v>
      </c>
      <c r="C31" s="126"/>
      <c r="D31" s="126"/>
      <c r="E31" s="91">
        <v>13665361</v>
      </c>
    </row>
    <row r="32" spans="1:5" s="135" customFormat="1" ht="12" customHeight="1" thickBot="1">
      <c r="A32" s="18" t="s">
        <v>102</v>
      </c>
      <c r="B32" s="19" t="s">
        <v>409</v>
      </c>
      <c r="C32" s="129">
        <f>SUM(C33:C39)</f>
        <v>75580000</v>
      </c>
      <c r="D32" s="129">
        <f>SUM(D33:D39)</f>
        <v>91118230</v>
      </c>
      <c r="E32" s="160">
        <f>SUM(E33:E37)</f>
        <v>94644027</v>
      </c>
    </row>
    <row r="33" spans="1:5" s="135" customFormat="1" ht="12" customHeight="1">
      <c r="A33" s="13" t="s">
        <v>141</v>
      </c>
      <c r="B33" s="542" t="s">
        <v>689</v>
      </c>
      <c r="C33" s="125">
        <v>8000000</v>
      </c>
      <c r="D33" s="125">
        <v>8538230</v>
      </c>
      <c r="E33" s="90">
        <v>8373299</v>
      </c>
    </row>
    <row r="34" spans="1:5" s="135" customFormat="1" ht="12" customHeight="1">
      <c r="A34" s="12" t="s">
        <v>142</v>
      </c>
      <c r="B34" s="543" t="s">
        <v>410</v>
      </c>
      <c r="C34" s="124">
        <v>60000000</v>
      </c>
      <c r="D34" s="124">
        <v>72000000</v>
      </c>
      <c r="E34" s="89">
        <v>74340462</v>
      </c>
    </row>
    <row r="35" spans="1:5" s="135" customFormat="1" ht="12" customHeight="1">
      <c r="A35" s="12" t="s">
        <v>143</v>
      </c>
      <c r="B35" s="543" t="s">
        <v>145</v>
      </c>
      <c r="C35" s="124">
        <v>6000000</v>
      </c>
      <c r="D35" s="124">
        <v>6000000</v>
      </c>
      <c r="E35" s="89">
        <v>7031379</v>
      </c>
    </row>
    <row r="36" spans="1:5" s="135" customFormat="1" ht="12" customHeight="1">
      <c r="A36" s="12" t="s">
        <v>144</v>
      </c>
      <c r="B36" s="543" t="s">
        <v>700</v>
      </c>
      <c r="C36" s="124">
        <v>400000</v>
      </c>
      <c r="D36" s="124">
        <v>400000</v>
      </c>
      <c r="E36" s="89">
        <v>659600</v>
      </c>
    </row>
    <row r="37" spans="1:5" s="135" customFormat="1" ht="12" customHeight="1">
      <c r="A37" s="12" t="s">
        <v>411</v>
      </c>
      <c r="B37" s="543" t="s">
        <v>715</v>
      </c>
      <c r="C37" s="124">
        <v>1180000</v>
      </c>
      <c r="D37" s="124">
        <v>4180000</v>
      </c>
      <c r="E37" s="89">
        <v>4239287</v>
      </c>
    </row>
    <row r="38" spans="1:5" s="135" customFormat="1" ht="12" customHeight="1">
      <c r="A38" s="12" t="s">
        <v>412</v>
      </c>
      <c r="B38" s="543" t="s">
        <v>723</v>
      </c>
      <c r="C38" s="124"/>
      <c r="D38" s="124"/>
      <c r="E38" s="89">
        <v>9400</v>
      </c>
    </row>
    <row r="39" spans="1:5" s="135" customFormat="1" ht="12" customHeight="1">
      <c r="A39" s="14" t="s">
        <v>413</v>
      </c>
      <c r="B39" s="544" t="s">
        <v>721</v>
      </c>
      <c r="C39" s="126"/>
      <c r="D39" s="126"/>
      <c r="E39" s="91">
        <v>1771091</v>
      </c>
    </row>
    <row r="40" spans="1:5" s="135" customFormat="1" ht="12" customHeight="1" thickBot="1">
      <c r="A40" s="11" t="s">
        <v>720</v>
      </c>
      <c r="B40" s="557" t="s">
        <v>722</v>
      </c>
      <c r="C40" s="551"/>
      <c r="D40" s="551"/>
      <c r="E40" s="552">
        <v>1981231</v>
      </c>
    </row>
    <row r="41" spans="1:5" s="135" customFormat="1" ht="12" customHeight="1" thickBot="1">
      <c r="A41" s="18" t="s">
        <v>9</v>
      </c>
      <c r="B41" s="19" t="s">
        <v>278</v>
      </c>
      <c r="C41" s="123">
        <f>SUM(C42:C52)</f>
        <v>7858000</v>
      </c>
      <c r="D41" s="123">
        <f>SUM(D42:D52)</f>
        <v>8842350</v>
      </c>
      <c r="E41" s="88">
        <f>SUM(E42:E52)</f>
        <v>12379782</v>
      </c>
    </row>
    <row r="42" spans="1:5" s="135" customFormat="1" ht="12" customHeight="1">
      <c r="A42" s="13" t="s">
        <v>54</v>
      </c>
      <c r="B42" s="136" t="s">
        <v>148</v>
      </c>
      <c r="C42" s="125"/>
      <c r="D42" s="125"/>
      <c r="E42" s="90"/>
    </row>
    <row r="43" spans="1:5" s="135" customFormat="1" ht="12" customHeight="1">
      <c r="A43" s="12" t="s">
        <v>55</v>
      </c>
      <c r="B43" s="137" t="s">
        <v>149</v>
      </c>
      <c r="C43" s="124"/>
      <c r="D43" s="124"/>
      <c r="E43" s="89"/>
    </row>
    <row r="44" spans="1:5" s="135" customFormat="1" ht="12" customHeight="1">
      <c r="A44" s="12" t="s">
        <v>56</v>
      </c>
      <c r="B44" s="137" t="s">
        <v>150</v>
      </c>
      <c r="C44" s="124"/>
      <c r="D44" s="124"/>
      <c r="E44" s="89"/>
    </row>
    <row r="45" spans="1:5" s="135" customFormat="1" ht="12" customHeight="1">
      <c r="A45" s="12" t="s">
        <v>104</v>
      </c>
      <c r="B45" s="137" t="s">
        <v>151</v>
      </c>
      <c r="C45" s="124">
        <v>4000000</v>
      </c>
      <c r="D45" s="124">
        <v>4884350</v>
      </c>
      <c r="E45" s="89">
        <v>4112559</v>
      </c>
    </row>
    <row r="46" spans="1:5" s="135" customFormat="1" ht="12" customHeight="1">
      <c r="A46" s="12" t="s">
        <v>105</v>
      </c>
      <c r="B46" s="137" t="s">
        <v>152</v>
      </c>
      <c r="C46" s="124">
        <v>400000</v>
      </c>
      <c r="D46" s="124">
        <v>400000</v>
      </c>
      <c r="E46" s="89">
        <v>334981</v>
      </c>
    </row>
    <row r="47" spans="1:5" s="135" customFormat="1" ht="12" customHeight="1">
      <c r="A47" s="12" t="s">
        <v>106</v>
      </c>
      <c r="B47" s="137" t="s">
        <v>153</v>
      </c>
      <c r="C47" s="124">
        <v>258000</v>
      </c>
      <c r="D47" s="124">
        <v>258000</v>
      </c>
      <c r="E47" s="89">
        <v>98948</v>
      </c>
    </row>
    <row r="48" spans="1:5" s="135" customFormat="1" ht="12" customHeight="1">
      <c r="A48" s="12" t="s">
        <v>107</v>
      </c>
      <c r="B48" s="137" t="s">
        <v>154</v>
      </c>
      <c r="C48" s="124"/>
      <c r="D48" s="124"/>
      <c r="E48" s="89"/>
    </row>
    <row r="49" spans="1:5" s="135" customFormat="1" ht="12" customHeight="1">
      <c r="A49" s="12" t="s">
        <v>108</v>
      </c>
      <c r="B49" s="137" t="s">
        <v>414</v>
      </c>
      <c r="C49" s="124"/>
      <c r="D49" s="124"/>
      <c r="E49" s="89"/>
    </row>
    <row r="50" spans="1:5" s="135" customFormat="1" ht="12" customHeight="1">
      <c r="A50" s="12" t="s">
        <v>146</v>
      </c>
      <c r="B50" s="137" t="s">
        <v>156</v>
      </c>
      <c r="C50" s="127"/>
      <c r="D50" s="127"/>
      <c r="E50" s="92"/>
    </row>
    <row r="51" spans="1:5" s="135" customFormat="1" ht="12" customHeight="1">
      <c r="A51" s="14" t="s">
        <v>147</v>
      </c>
      <c r="B51" s="138" t="s">
        <v>280</v>
      </c>
      <c r="C51" s="128"/>
      <c r="D51" s="128"/>
      <c r="E51" s="93">
        <v>264048</v>
      </c>
    </row>
    <row r="52" spans="1:5" s="135" customFormat="1" ht="12" customHeight="1" thickBot="1">
      <c r="A52" s="14" t="s">
        <v>279</v>
      </c>
      <c r="B52" s="97" t="s">
        <v>157</v>
      </c>
      <c r="C52" s="128">
        <v>3200000</v>
      </c>
      <c r="D52" s="128">
        <v>3300000</v>
      </c>
      <c r="E52" s="93">
        <v>7569246</v>
      </c>
    </row>
    <row r="53" spans="1:5" s="135" customFormat="1" ht="12" customHeight="1" thickBot="1">
      <c r="A53" s="18" t="s">
        <v>10</v>
      </c>
      <c r="B53" s="19" t="s">
        <v>158</v>
      </c>
      <c r="C53" s="123">
        <f>SUM(C54:C58)</f>
        <v>0</v>
      </c>
      <c r="D53" s="123">
        <f>SUM(D54:D58)</f>
        <v>0</v>
      </c>
      <c r="E53" s="88">
        <f>SUM(E54:E58)</f>
        <v>0</v>
      </c>
    </row>
    <row r="54" spans="1:5" s="135" customFormat="1" ht="12" customHeight="1">
      <c r="A54" s="13" t="s">
        <v>57</v>
      </c>
      <c r="B54" s="136" t="s">
        <v>162</v>
      </c>
      <c r="C54" s="171"/>
      <c r="D54" s="171"/>
      <c r="E54" s="94"/>
    </row>
    <row r="55" spans="1:5" s="135" customFormat="1" ht="12" customHeight="1">
      <c r="A55" s="12" t="s">
        <v>58</v>
      </c>
      <c r="B55" s="137" t="s">
        <v>163</v>
      </c>
      <c r="C55" s="127"/>
      <c r="D55" s="127"/>
      <c r="E55" s="92"/>
    </row>
    <row r="56" spans="1:5" s="135" customFormat="1" ht="12" customHeight="1">
      <c r="A56" s="12" t="s">
        <v>159</v>
      </c>
      <c r="B56" s="137" t="s">
        <v>164</v>
      </c>
      <c r="C56" s="127"/>
      <c r="D56" s="127"/>
      <c r="E56" s="92"/>
    </row>
    <row r="57" spans="1:5" s="135" customFormat="1" ht="12" customHeight="1">
      <c r="A57" s="12" t="s">
        <v>160</v>
      </c>
      <c r="B57" s="137" t="s">
        <v>165</v>
      </c>
      <c r="C57" s="127"/>
      <c r="D57" s="127"/>
      <c r="E57" s="92"/>
    </row>
    <row r="58" spans="1:5" s="135" customFormat="1" ht="12" customHeight="1" thickBot="1">
      <c r="A58" s="14" t="s">
        <v>161</v>
      </c>
      <c r="B58" s="97" t="s">
        <v>166</v>
      </c>
      <c r="C58" s="128"/>
      <c r="D58" s="128"/>
      <c r="E58" s="93"/>
    </row>
    <row r="59" spans="1:5" s="135" customFormat="1" ht="12" customHeight="1" thickBot="1">
      <c r="A59" s="18" t="s">
        <v>109</v>
      </c>
      <c r="B59" s="19" t="s">
        <v>167</v>
      </c>
      <c r="C59" s="123">
        <f>SUM(C60:C62)</f>
        <v>0</v>
      </c>
      <c r="D59" s="123">
        <f>SUM(D60:D62)</f>
        <v>0</v>
      </c>
      <c r="E59" s="88">
        <f>SUM(E60:E62)</f>
        <v>500000</v>
      </c>
    </row>
    <row r="60" spans="1:5" s="135" customFormat="1" ht="12" customHeight="1">
      <c r="A60" s="13" t="s">
        <v>59</v>
      </c>
      <c r="B60" s="136" t="s">
        <v>168</v>
      </c>
      <c r="C60" s="125"/>
      <c r="D60" s="125"/>
      <c r="E60" s="90"/>
    </row>
    <row r="61" spans="1:5" s="135" customFormat="1" ht="12" customHeight="1">
      <c r="A61" s="12" t="s">
        <v>60</v>
      </c>
      <c r="B61" s="137" t="s">
        <v>273</v>
      </c>
      <c r="C61" s="124"/>
      <c r="D61" s="124"/>
      <c r="E61" s="89"/>
    </row>
    <row r="62" spans="1:5" s="135" customFormat="1" ht="12" customHeight="1">
      <c r="A62" s="12" t="s">
        <v>171</v>
      </c>
      <c r="B62" s="137" t="s">
        <v>169</v>
      </c>
      <c r="C62" s="124"/>
      <c r="D62" s="124"/>
      <c r="E62" s="89">
        <v>500000</v>
      </c>
    </row>
    <row r="63" spans="1:5" s="135" customFormat="1" ht="12" customHeight="1" thickBot="1">
      <c r="A63" s="14" t="s">
        <v>172</v>
      </c>
      <c r="B63" s="97" t="s">
        <v>170</v>
      </c>
      <c r="C63" s="126"/>
      <c r="D63" s="126"/>
      <c r="E63" s="91"/>
    </row>
    <row r="64" spans="1:5" s="135" customFormat="1" ht="12" customHeight="1" thickBot="1">
      <c r="A64" s="18" t="s">
        <v>12</v>
      </c>
      <c r="B64" s="95" t="s">
        <v>173</v>
      </c>
      <c r="C64" s="123">
        <f>SUM(C65:C67)</f>
        <v>2358395</v>
      </c>
      <c r="D64" s="123">
        <f>SUM(D65:D67)</f>
        <v>2358395</v>
      </c>
      <c r="E64" s="88">
        <f>SUM(E65:E67)</f>
        <v>600000</v>
      </c>
    </row>
    <row r="65" spans="1:5" s="135" customFormat="1" ht="12" customHeight="1">
      <c r="A65" s="13" t="s">
        <v>110</v>
      </c>
      <c r="B65" s="136" t="s">
        <v>175</v>
      </c>
      <c r="C65" s="127"/>
      <c r="D65" s="127"/>
      <c r="E65" s="92"/>
    </row>
    <row r="66" spans="1:5" s="135" customFormat="1" ht="12" customHeight="1">
      <c r="A66" s="12" t="s">
        <v>111</v>
      </c>
      <c r="B66" s="137" t="s">
        <v>274</v>
      </c>
      <c r="C66" s="127">
        <v>2358395</v>
      </c>
      <c r="D66" s="127">
        <v>2358395</v>
      </c>
      <c r="E66" s="92">
        <v>600000</v>
      </c>
    </row>
    <row r="67" spans="1:5" s="135" customFormat="1" ht="12" customHeight="1">
      <c r="A67" s="12" t="s">
        <v>123</v>
      </c>
      <c r="B67" s="137" t="s">
        <v>176</v>
      </c>
      <c r="C67" s="127"/>
      <c r="D67" s="127"/>
      <c r="E67" s="92"/>
    </row>
    <row r="68" spans="1:5" s="135" customFormat="1" ht="12" customHeight="1" thickBot="1">
      <c r="A68" s="14" t="s">
        <v>174</v>
      </c>
      <c r="B68" s="97" t="s">
        <v>177</v>
      </c>
      <c r="C68" s="127"/>
      <c r="D68" s="127"/>
      <c r="E68" s="92"/>
    </row>
    <row r="69" spans="1:5" s="135" customFormat="1" ht="12" customHeight="1" thickBot="1">
      <c r="A69" s="185" t="s">
        <v>320</v>
      </c>
      <c r="B69" s="19" t="s">
        <v>178</v>
      </c>
      <c r="C69" s="129">
        <f>+C11+C18+C25+C32+C41+C53+C59+C64</f>
        <v>405221174</v>
      </c>
      <c r="D69" s="129">
        <f>+D11+D18+D25+D32+D41+D53+D59+D64</f>
        <v>440927354</v>
      </c>
      <c r="E69" s="160">
        <f>+E11+E18+E25+E32+E41+E53+E59+E64</f>
        <v>493726555</v>
      </c>
    </row>
    <row r="70" spans="1:5" s="135" customFormat="1" ht="12" customHeight="1" thickBot="1">
      <c r="A70" s="172" t="s">
        <v>179</v>
      </c>
      <c r="B70" s="95" t="s">
        <v>180</v>
      </c>
      <c r="C70" s="123">
        <f>SUM(C71:C73)</f>
        <v>0</v>
      </c>
      <c r="D70" s="123">
        <f>SUM(D71:D73)</f>
        <v>0</v>
      </c>
      <c r="E70" s="88">
        <f>SUM(E71:E73)</f>
        <v>0</v>
      </c>
    </row>
    <row r="71" spans="1:5" s="135" customFormat="1" ht="12" customHeight="1">
      <c r="A71" s="13" t="s">
        <v>208</v>
      </c>
      <c r="B71" s="136" t="s">
        <v>181</v>
      </c>
      <c r="C71" s="127"/>
      <c r="D71" s="127"/>
      <c r="E71" s="92"/>
    </row>
    <row r="72" spans="1:5" s="135" customFormat="1" ht="12" customHeight="1">
      <c r="A72" s="12" t="s">
        <v>217</v>
      </c>
      <c r="B72" s="137" t="s">
        <v>182</v>
      </c>
      <c r="C72" s="127"/>
      <c r="D72" s="127"/>
      <c r="E72" s="92"/>
    </row>
    <row r="73" spans="1:5" s="135" customFormat="1" ht="12" customHeight="1" thickBot="1">
      <c r="A73" s="14" t="s">
        <v>218</v>
      </c>
      <c r="B73" s="181" t="s">
        <v>305</v>
      </c>
      <c r="C73" s="127"/>
      <c r="D73" s="127"/>
      <c r="E73" s="92"/>
    </row>
    <row r="74" spans="1:5" s="135" customFormat="1" ht="12" customHeight="1" thickBot="1">
      <c r="A74" s="172" t="s">
        <v>184</v>
      </c>
      <c r="B74" s="95" t="s">
        <v>185</v>
      </c>
      <c r="C74" s="123">
        <f>SUM(C75:C78)</f>
        <v>0</v>
      </c>
      <c r="D74" s="123">
        <f>SUM(D75:D78)</f>
        <v>0</v>
      </c>
      <c r="E74" s="88">
        <f>SUM(E75:E78)</f>
        <v>0</v>
      </c>
    </row>
    <row r="75" spans="1:5" s="135" customFormat="1" ht="12" customHeight="1">
      <c r="A75" s="13" t="s">
        <v>95</v>
      </c>
      <c r="B75" s="251" t="s">
        <v>186</v>
      </c>
      <c r="C75" s="127"/>
      <c r="D75" s="127"/>
      <c r="E75" s="92"/>
    </row>
    <row r="76" spans="1:5" s="135" customFormat="1" ht="12" customHeight="1">
      <c r="A76" s="12" t="s">
        <v>96</v>
      </c>
      <c r="B76" s="251" t="s">
        <v>419</v>
      </c>
      <c r="C76" s="127"/>
      <c r="D76" s="127"/>
      <c r="E76" s="92"/>
    </row>
    <row r="77" spans="1:5" s="135" customFormat="1" ht="12" customHeight="1">
      <c r="A77" s="12" t="s">
        <v>209</v>
      </c>
      <c r="B77" s="251" t="s">
        <v>187</v>
      </c>
      <c r="C77" s="127"/>
      <c r="D77" s="127"/>
      <c r="E77" s="92"/>
    </row>
    <row r="78" spans="1:5" s="135" customFormat="1" ht="12" customHeight="1" thickBot="1">
      <c r="A78" s="14" t="s">
        <v>210</v>
      </c>
      <c r="B78" s="252" t="s">
        <v>420</v>
      </c>
      <c r="C78" s="127"/>
      <c r="D78" s="127"/>
      <c r="E78" s="92"/>
    </row>
    <row r="79" spans="1:5" s="135" customFormat="1" ht="12" customHeight="1" thickBot="1">
      <c r="A79" s="172" t="s">
        <v>188</v>
      </c>
      <c r="B79" s="95" t="s">
        <v>189</v>
      </c>
      <c r="C79" s="123">
        <f>SUM(C80:C81)</f>
        <v>456939023</v>
      </c>
      <c r="D79" s="123">
        <f>SUM(D80:D81)</f>
        <v>456939023</v>
      </c>
      <c r="E79" s="88">
        <f>SUM(E80:E81)</f>
        <v>397168057</v>
      </c>
    </row>
    <row r="80" spans="1:5" s="135" customFormat="1" ht="12" customHeight="1">
      <c r="A80" s="13" t="s">
        <v>211</v>
      </c>
      <c r="B80" s="136" t="s">
        <v>190</v>
      </c>
      <c r="C80" s="127">
        <v>456939023</v>
      </c>
      <c r="D80" s="127">
        <v>456939023</v>
      </c>
      <c r="E80" s="92">
        <v>397168057</v>
      </c>
    </row>
    <row r="81" spans="1:5" s="135" customFormat="1" ht="12" customHeight="1" thickBot="1">
      <c r="A81" s="14" t="s">
        <v>212</v>
      </c>
      <c r="B81" s="97" t="s">
        <v>191</v>
      </c>
      <c r="C81" s="127"/>
      <c r="D81" s="127"/>
      <c r="E81" s="92"/>
    </row>
    <row r="82" spans="1:5" s="135" customFormat="1" ht="12" customHeight="1" thickBot="1">
      <c r="A82" s="172" t="s">
        <v>192</v>
      </c>
      <c r="B82" s="95" t="s">
        <v>193</v>
      </c>
      <c r="C82" s="123">
        <f>SUM(C83:C85)</f>
        <v>5034671</v>
      </c>
      <c r="D82" s="123">
        <f>SUM(D83:D85)</f>
        <v>5034671</v>
      </c>
      <c r="E82" s="88">
        <f>SUM(E83:E85)</f>
        <v>6385218</v>
      </c>
    </row>
    <row r="83" spans="1:5" s="135" customFormat="1" ht="12" customHeight="1">
      <c r="A83" s="13" t="s">
        <v>213</v>
      </c>
      <c r="B83" s="136" t="s">
        <v>194</v>
      </c>
      <c r="C83" s="127">
        <v>5034671</v>
      </c>
      <c r="D83" s="127">
        <v>5034671</v>
      </c>
      <c r="E83" s="92">
        <v>6385218</v>
      </c>
    </row>
    <row r="84" spans="1:5" s="135" customFormat="1" ht="12" customHeight="1">
      <c r="A84" s="12" t="s">
        <v>214</v>
      </c>
      <c r="B84" s="137" t="s">
        <v>195</v>
      </c>
      <c r="C84" s="127"/>
      <c r="D84" s="127"/>
      <c r="E84" s="92"/>
    </row>
    <row r="85" spans="1:5" s="135" customFormat="1" ht="12" customHeight="1" thickBot="1">
      <c r="A85" s="14" t="s">
        <v>215</v>
      </c>
      <c r="B85" s="97" t="s">
        <v>421</v>
      </c>
      <c r="C85" s="127"/>
      <c r="D85" s="127"/>
      <c r="E85" s="92"/>
    </row>
    <row r="86" spans="1:5" s="135" customFormat="1" ht="12" customHeight="1" thickBot="1">
      <c r="A86" s="172" t="s">
        <v>196</v>
      </c>
      <c r="B86" s="95" t="s">
        <v>216</v>
      </c>
      <c r="C86" s="123">
        <f>SUM(C87:C90)</f>
        <v>0</v>
      </c>
      <c r="D86" s="123">
        <f>SUM(D87:D90)</f>
        <v>0</v>
      </c>
      <c r="E86" s="88">
        <f>SUM(E87:E90)</f>
        <v>0</v>
      </c>
    </row>
    <row r="87" spans="1:5" s="135" customFormat="1" ht="12" customHeight="1">
      <c r="A87" s="140" t="s">
        <v>197</v>
      </c>
      <c r="B87" s="136" t="s">
        <v>198</v>
      </c>
      <c r="C87" s="127"/>
      <c r="D87" s="127"/>
      <c r="E87" s="92"/>
    </row>
    <row r="88" spans="1:5" s="135" customFormat="1" ht="12" customHeight="1">
      <c r="A88" s="141" t="s">
        <v>199</v>
      </c>
      <c r="B88" s="137" t="s">
        <v>200</v>
      </c>
      <c r="C88" s="127"/>
      <c r="D88" s="127"/>
      <c r="E88" s="92"/>
    </row>
    <row r="89" spans="1:5" s="135" customFormat="1" ht="12" customHeight="1">
      <c r="A89" s="141" t="s">
        <v>201</v>
      </c>
      <c r="B89" s="137" t="s">
        <v>202</v>
      </c>
      <c r="C89" s="127"/>
      <c r="D89" s="127"/>
      <c r="E89" s="92"/>
    </row>
    <row r="90" spans="1:5" s="135" customFormat="1" ht="12" customHeight="1" thickBot="1">
      <c r="A90" s="142" t="s">
        <v>203</v>
      </c>
      <c r="B90" s="97" t="s">
        <v>204</v>
      </c>
      <c r="C90" s="127"/>
      <c r="D90" s="127"/>
      <c r="E90" s="92"/>
    </row>
    <row r="91" spans="1:5" s="135" customFormat="1" ht="12" customHeight="1" thickBot="1">
      <c r="A91" s="172" t="s">
        <v>205</v>
      </c>
      <c r="B91" s="95" t="s">
        <v>319</v>
      </c>
      <c r="C91" s="174"/>
      <c r="D91" s="174"/>
      <c r="E91" s="175"/>
    </row>
    <row r="92" spans="1:5" s="135" customFormat="1" ht="13.5" customHeight="1" thickBot="1">
      <c r="A92" s="172" t="s">
        <v>207</v>
      </c>
      <c r="B92" s="95" t="s">
        <v>206</v>
      </c>
      <c r="C92" s="174"/>
      <c r="D92" s="174"/>
      <c r="E92" s="175"/>
    </row>
    <row r="93" spans="1:5" s="135" customFormat="1" ht="15.75" customHeight="1" thickBot="1">
      <c r="A93" s="172" t="s">
        <v>219</v>
      </c>
      <c r="B93" s="143" t="s">
        <v>322</v>
      </c>
      <c r="C93" s="129">
        <f>+C70+C74+C79+C82+C86+C92+C91</f>
        <v>461973694</v>
      </c>
      <c r="D93" s="129">
        <f>+D70+D74+D79+D82+D86+D92+D91</f>
        <v>461973694</v>
      </c>
      <c r="E93" s="160">
        <f>+E70+E74+E79+E82+E86+E92+E91</f>
        <v>403553275</v>
      </c>
    </row>
    <row r="94" spans="1:5" s="135" customFormat="1" ht="25.5" customHeight="1" thickBot="1">
      <c r="A94" s="173" t="s">
        <v>321</v>
      </c>
      <c r="B94" s="144" t="s">
        <v>323</v>
      </c>
      <c r="C94" s="129">
        <f>+C69+C93</f>
        <v>867194868</v>
      </c>
      <c r="D94" s="129">
        <f>+D69+D93</f>
        <v>902901048</v>
      </c>
      <c r="E94" s="160">
        <f>+E69+E93</f>
        <v>897279830</v>
      </c>
    </row>
    <row r="95" spans="1:3" s="135" customFormat="1" ht="15" customHeight="1">
      <c r="A95" s="3"/>
      <c r="B95" s="4"/>
      <c r="C95" s="99"/>
    </row>
    <row r="96" spans="1:5" ht="16.5" customHeight="1">
      <c r="A96" s="591" t="s">
        <v>33</v>
      </c>
      <c r="B96" s="591"/>
      <c r="C96" s="591"/>
      <c r="D96" s="591"/>
      <c r="E96" s="591"/>
    </row>
    <row r="97" spans="1:5" s="145" customFormat="1" ht="16.5" customHeight="1" thickBot="1">
      <c r="A97" s="593" t="s">
        <v>98</v>
      </c>
      <c r="B97" s="593"/>
      <c r="C97" s="59"/>
      <c r="E97" s="59" t="str">
        <f>E7</f>
        <v> Forintban!</v>
      </c>
    </row>
    <row r="98" spans="1:5" ht="15.75">
      <c r="A98" s="582" t="s">
        <v>49</v>
      </c>
      <c r="B98" s="584" t="s">
        <v>360</v>
      </c>
      <c r="C98" s="586" t="str">
        <f>+CONCATENATE(LEFT(Z_ÖSSZEFÜGGÉSEK!A6,4),". évi")</f>
        <v>2019. évi</v>
      </c>
      <c r="D98" s="587"/>
      <c r="E98" s="588"/>
    </row>
    <row r="99" spans="1:5" ht="24.75" thickBot="1">
      <c r="A99" s="583"/>
      <c r="B99" s="585"/>
      <c r="C99" s="201" t="s">
        <v>358</v>
      </c>
      <c r="D99" s="200" t="s">
        <v>359</v>
      </c>
      <c r="E99" s="253" t="str">
        <f>CONCATENATE(E9)</f>
        <v>2019. XII. 31.
teljesítés</v>
      </c>
    </row>
    <row r="100" spans="1:5" s="134" customFormat="1" ht="12" customHeight="1" thickBot="1">
      <c r="A100" s="25" t="s">
        <v>325</v>
      </c>
      <c r="B100" s="26" t="s">
        <v>326</v>
      </c>
      <c r="C100" s="26" t="s">
        <v>327</v>
      </c>
      <c r="D100" s="26" t="s">
        <v>329</v>
      </c>
      <c r="E100" s="212" t="s">
        <v>328</v>
      </c>
    </row>
    <row r="101" spans="1:5" ht="12" customHeight="1" thickBot="1">
      <c r="A101" s="20" t="s">
        <v>5</v>
      </c>
      <c r="B101" s="24" t="s">
        <v>281</v>
      </c>
      <c r="C101" s="122">
        <f>C102+C103+C104+C105+C106</f>
        <v>311845342</v>
      </c>
      <c r="D101" s="122">
        <f>D102+D103+D104+D105+D106</f>
        <v>350200162</v>
      </c>
      <c r="E101" s="187">
        <f>E102+E103+E104+E105+E106+E119</f>
        <v>274371576</v>
      </c>
    </row>
    <row r="102" spans="1:5" ht="12" customHeight="1">
      <c r="A102" s="15" t="s">
        <v>61</v>
      </c>
      <c r="B102" s="8" t="s">
        <v>34</v>
      </c>
      <c r="C102" s="194">
        <v>152250224</v>
      </c>
      <c r="D102" s="194">
        <v>167207891</v>
      </c>
      <c r="E102" s="188">
        <v>138753575</v>
      </c>
    </row>
    <row r="103" spans="1:5" ht="12" customHeight="1">
      <c r="A103" s="12" t="s">
        <v>62</v>
      </c>
      <c r="B103" s="6" t="s">
        <v>112</v>
      </c>
      <c r="C103" s="124">
        <v>30157889</v>
      </c>
      <c r="D103" s="124">
        <v>28791963</v>
      </c>
      <c r="E103" s="89">
        <v>24786250</v>
      </c>
    </row>
    <row r="104" spans="1:5" ht="12" customHeight="1">
      <c r="A104" s="12" t="s">
        <v>63</v>
      </c>
      <c r="B104" s="6" t="s">
        <v>87</v>
      </c>
      <c r="C104" s="126">
        <v>71534850</v>
      </c>
      <c r="D104" s="126">
        <v>100284768</v>
      </c>
      <c r="E104" s="91">
        <v>86298032</v>
      </c>
    </row>
    <row r="105" spans="1:5" ht="12" customHeight="1">
      <c r="A105" s="12" t="s">
        <v>64</v>
      </c>
      <c r="B105" s="9" t="s">
        <v>113</v>
      </c>
      <c r="C105" s="126">
        <v>3900000</v>
      </c>
      <c r="D105" s="126">
        <v>2951000</v>
      </c>
      <c r="E105" s="91">
        <v>1667282</v>
      </c>
    </row>
    <row r="106" spans="1:5" ht="12" customHeight="1">
      <c r="A106" s="12" t="s">
        <v>73</v>
      </c>
      <c r="B106" s="17" t="s">
        <v>114</v>
      </c>
      <c r="C106" s="126">
        <v>54002379</v>
      </c>
      <c r="D106" s="126">
        <v>50964540</v>
      </c>
      <c r="E106" s="91">
        <v>22866437</v>
      </c>
    </row>
    <row r="107" spans="1:5" ht="12" customHeight="1">
      <c r="A107" s="12" t="s">
        <v>65</v>
      </c>
      <c r="B107" s="6" t="s">
        <v>286</v>
      </c>
      <c r="C107" s="126"/>
      <c r="D107" s="126"/>
      <c r="E107" s="91">
        <v>231312</v>
      </c>
    </row>
    <row r="108" spans="1:5" ht="12" customHeight="1">
      <c r="A108" s="12" t="s">
        <v>66</v>
      </c>
      <c r="B108" s="63" t="s">
        <v>285</v>
      </c>
      <c r="C108" s="126"/>
      <c r="D108" s="126"/>
      <c r="E108" s="91"/>
    </row>
    <row r="109" spans="1:5" ht="12" customHeight="1">
      <c r="A109" s="12" t="s">
        <v>74</v>
      </c>
      <c r="B109" s="63" t="s">
        <v>284</v>
      </c>
      <c r="C109" s="126"/>
      <c r="D109" s="126"/>
      <c r="E109" s="91"/>
    </row>
    <row r="110" spans="1:5" ht="12" customHeight="1">
      <c r="A110" s="12" t="s">
        <v>75</v>
      </c>
      <c r="B110" s="61" t="s">
        <v>222</v>
      </c>
      <c r="C110" s="126"/>
      <c r="D110" s="126"/>
      <c r="E110" s="91"/>
    </row>
    <row r="111" spans="1:5" ht="12" customHeight="1">
      <c r="A111" s="12" t="s">
        <v>76</v>
      </c>
      <c r="B111" s="62" t="s">
        <v>223</v>
      </c>
      <c r="C111" s="126"/>
      <c r="D111" s="126"/>
      <c r="E111" s="91"/>
    </row>
    <row r="112" spans="1:5" ht="12" customHeight="1">
      <c r="A112" s="12" t="s">
        <v>77</v>
      </c>
      <c r="B112" s="62" t="s">
        <v>224</v>
      </c>
      <c r="C112" s="126"/>
      <c r="D112" s="126"/>
      <c r="E112" s="91"/>
    </row>
    <row r="113" spans="1:5" ht="12" customHeight="1">
      <c r="A113" s="12" t="s">
        <v>79</v>
      </c>
      <c r="B113" s="61" t="s">
        <v>225</v>
      </c>
      <c r="C113" s="126">
        <v>14000000</v>
      </c>
      <c r="D113" s="126">
        <v>14880000</v>
      </c>
      <c r="E113" s="91">
        <v>13988795</v>
      </c>
    </row>
    <row r="114" spans="1:5" ht="12" customHeight="1">
      <c r="A114" s="12" t="s">
        <v>115</v>
      </c>
      <c r="B114" s="61" t="s">
        <v>226</v>
      </c>
      <c r="C114" s="126"/>
      <c r="D114" s="126"/>
      <c r="E114" s="91"/>
    </row>
    <row r="115" spans="1:5" ht="12" customHeight="1">
      <c r="A115" s="12" t="s">
        <v>220</v>
      </c>
      <c r="B115" s="62" t="s">
        <v>227</v>
      </c>
      <c r="C115" s="126">
        <v>9296492</v>
      </c>
      <c r="D115" s="126"/>
      <c r="E115" s="91"/>
    </row>
    <row r="116" spans="1:5" ht="12" customHeight="1">
      <c r="A116" s="11" t="s">
        <v>221</v>
      </c>
      <c r="B116" s="63" t="s">
        <v>228</v>
      </c>
      <c r="C116" s="126"/>
      <c r="D116" s="126"/>
      <c r="E116" s="91"/>
    </row>
    <row r="117" spans="1:5" ht="12" customHeight="1">
      <c r="A117" s="12" t="s">
        <v>282</v>
      </c>
      <c r="B117" s="63" t="s">
        <v>229</v>
      </c>
      <c r="C117" s="126"/>
      <c r="D117" s="126"/>
      <c r="E117" s="91"/>
    </row>
    <row r="118" spans="1:5" ht="12" customHeight="1">
      <c r="A118" s="14" t="s">
        <v>283</v>
      </c>
      <c r="B118" s="63" t="s">
        <v>230</v>
      </c>
      <c r="C118" s="126"/>
      <c r="D118" s="126"/>
      <c r="E118" s="91">
        <v>8646330</v>
      </c>
    </row>
    <row r="119" spans="1:5" ht="12" customHeight="1">
      <c r="A119" s="12" t="s">
        <v>287</v>
      </c>
      <c r="B119" s="9" t="s">
        <v>724</v>
      </c>
      <c r="C119" s="124">
        <v>27205887</v>
      </c>
      <c r="D119" s="124">
        <v>27205887</v>
      </c>
      <c r="E119" s="89"/>
    </row>
    <row r="120" spans="1:5" ht="12" customHeight="1">
      <c r="A120" s="12" t="s">
        <v>288</v>
      </c>
      <c r="B120" s="6" t="s">
        <v>290</v>
      </c>
      <c r="C120" s="124">
        <v>27205887</v>
      </c>
      <c r="D120" s="124">
        <v>27205887</v>
      </c>
      <c r="E120" s="89"/>
    </row>
    <row r="121" spans="1:5" ht="12" customHeight="1" thickBot="1">
      <c r="A121" s="16" t="s">
        <v>289</v>
      </c>
      <c r="B121" s="184" t="s">
        <v>291</v>
      </c>
      <c r="C121" s="195"/>
      <c r="D121" s="195"/>
      <c r="E121" s="189"/>
    </row>
    <row r="122" spans="1:5" ht="12" customHeight="1" thickBot="1">
      <c r="A122" s="182" t="s">
        <v>6</v>
      </c>
      <c r="B122" s="183" t="s">
        <v>231</v>
      </c>
      <c r="C122" s="196">
        <f>+C123+C125+C127</f>
        <v>550314855</v>
      </c>
      <c r="D122" s="123">
        <f>+D123+D125+D127</f>
        <v>547666215</v>
      </c>
      <c r="E122" s="190">
        <f>+E123+E125+E127</f>
        <v>384435312</v>
      </c>
    </row>
    <row r="123" spans="1:5" ht="12" customHeight="1">
      <c r="A123" s="13" t="s">
        <v>67</v>
      </c>
      <c r="B123" s="6" t="s">
        <v>122</v>
      </c>
      <c r="C123" s="125">
        <v>29792890</v>
      </c>
      <c r="D123" s="205">
        <v>32815029</v>
      </c>
      <c r="E123" s="90">
        <v>32772220</v>
      </c>
    </row>
    <row r="124" spans="1:5" ht="12" customHeight="1">
      <c r="A124" s="13" t="s">
        <v>68</v>
      </c>
      <c r="B124" s="10" t="s">
        <v>235</v>
      </c>
      <c r="C124" s="125"/>
      <c r="D124" s="205"/>
      <c r="E124" s="90"/>
    </row>
    <row r="125" spans="1:5" ht="12" customHeight="1">
      <c r="A125" s="13" t="s">
        <v>69</v>
      </c>
      <c r="B125" s="10" t="s">
        <v>116</v>
      </c>
      <c r="C125" s="124">
        <v>516921965</v>
      </c>
      <c r="D125" s="206">
        <v>511251186</v>
      </c>
      <c r="E125" s="89">
        <v>351663092</v>
      </c>
    </row>
    <row r="126" spans="1:5" ht="12" customHeight="1">
      <c r="A126" s="13" t="s">
        <v>70</v>
      </c>
      <c r="B126" s="10" t="s">
        <v>236</v>
      </c>
      <c r="C126" s="124"/>
      <c r="D126" s="206"/>
      <c r="E126" s="89"/>
    </row>
    <row r="127" spans="1:5" ht="12" customHeight="1">
      <c r="A127" s="13" t="s">
        <v>71</v>
      </c>
      <c r="B127" s="97" t="s">
        <v>124</v>
      </c>
      <c r="C127" s="124">
        <v>3600000</v>
      </c>
      <c r="D127" s="206">
        <v>3600000</v>
      </c>
      <c r="E127" s="89"/>
    </row>
    <row r="128" spans="1:5" ht="12" customHeight="1">
      <c r="A128" s="13" t="s">
        <v>78</v>
      </c>
      <c r="B128" s="96" t="s">
        <v>275</v>
      </c>
      <c r="C128" s="124"/>
      <c r="D128" s="206"/>
      <c r="E128" s="89"/>
    </row>
    <row r="129" spans="1:5" ht="12" customHeight="1">
      <c r="A129" s="13" t="s">
        <v>80</v>
      </c>
      <c r="B129" s="132" t="s">
        <v>241</v>
      </c>
      <c r="C129" s="124"/>
      <c r="D129" s="206"/>
      <c r="E129" s="89"/>
    </row>
    <row r="130" spans="1:5" ht="15.75">
      <c r="A130" s="13" t="s">
        <v>117</v>
      </c>
      <c r="B130" s="62" t="s">
        <v>224</v>
      </c>
      <c r="C130" s="124"/>
      <c r="D130" s="206"/>
      <c r="E130" s="89"/>
    </row>
    <row r="131" spans="1:5" ht="12" customHeight="1">
      <c r="A131" s="13" t="s">
        <v>118</v>
      </c>
      <c r="B131" s="62" t="s">
        <v>240</v>
      </c>
      <c r="C131" s="124"/>
      <c r="D131" s="206"/>
      <c r="E131" s="89"/>
    </row>
    <row r="132" spans="1:5" ht="12" customHeight="1">
      <c r="A132" s="13" t="s">
        <v>119</v>
      </c>
      <c r="B132" s="62" t="s">
        <v>239</v>
      </c>
      <c r="C132" s="124"/>
      <c r="D132" s="206"/>
      <c r="E132" s="89"/>
    </row>
    <row r="133" spans="1:5" ht="12" customHeight="1">
      <c r="A133" s="13" t="s">
        <v>232</v>
      </c>
      <c r="B133" s="62" t="s">
        <v>227</v>
      </c>
      <c r="C133" s="124"/>
      <c r="D133" s="206"/>
      <c r="E133" s="89"/>
    </row>
    <row r="134" spans="1:5" ht="12" customHeight="1">
      <c r="A134" s="13" t="s">
        <v>233</v>
      </c>
      <c r="B134" s="62" t="s">
        <v>238</v>
      </c>
      <c r="C134" s="124"/>
      <c r="D134" s="206"/>
      <c r="E134" s="89"/>
    </row>
    <row r="135" spans="1:12" ht="16.5" thickBot="1">
      <c r="A135" s="11" t="s">
        <v>234</v>
      </c>
      <c r="B135" s="62" t="s">
        <v>237</v>
      </c>
      <c r="C135" s="126">
        <v>3600000</v>
      </c>
      <c r="D135" s="207">
        <v>3600000</v>
      </c>
      <c r="E135" s="91"/>
      <c r="L135" s="133" t="s">
        <v>716</v>
      </c>
    </row>
    <row r="136" spans="1:5" ht="12" customHeight="1" thickBot="1">
      <c r="A136" s="18" t="s">
        <v>7</v>
      </c>
      <c r="B136" s="56" t="s">
        <v>292</v>
      </c>
      <c r="C136" s="123">
        <f>+C101+C122</f>
        <v>862160197</v>
      </c>
      <c r="D136" s="204">
        <f>+D101+D122</f>
        <v>897866377</v>
      </c>
      <c r="E136" s="88">
        <f>+E101+E122</f>
        <v>658806888</v>
      </c>
    </row>
    <row r="137" spans="1:5" ht="12" customHeight="1" thickBot="1">
      <c r="A137" s="18" t="s">
        <v>8</v>
      </c>
      <c r="B137" s="56" t="s">
        <v>361</v>
      </c>
      <c r="C137" s="123">
        <f>+C138+C139+C140</f>
        <v>0</v>
      </c>
      <c r="D137" s="204">
        <f>+D138+D139+D140</f>
        <v>0</v>
      </c>
      <c r="E137" s="88">
        <f>+E138+E139+E140</f>
        <v>0</v>
      </c>
    </row>
    <row r="138" spans="1:5" ht="12" customHeight="1">
      <c r="A138" s="13" t="s">
        <v>141</v>
      </c>
      <c r="B138" s="10" t="s">
        <v>300</v>
      </c>
      <c r="C138" s="124"/>
      <c r="D138" s="206"/>
      <c r="E138" s="89"/>
    </row>
    <row r="139" spans="1:5" ht="12" customHeight="1">
      <c r="A139" s="13" t="s">
        <v>142</v>
      </c>
      <c r="B139" s="10" t="s">
        <v>301</v>
      </c>
      <c r="C139" s="124"/>
      <c r="D139" s="206"/>
      <c r="E139" s="89"/>
    </row>
    <row r="140" spans="1:5" ht="12" customHeight="1" thickBot="1">
      <c r="A140" s="11" t="s">
        <v>143</v>
      </c>
      <c r="B140" s="10" t="s">
        <v>302</v>
      </c>
      <c r="C140" s="124"/>
      <c r="D140" s="206"/>
      <c r="E140" s="89"/>
    </row>
    <row r="141" spans="1:5" ht="12" customHeight="1" thickBot="1">
      <c r="A141" s="18" t="s">
        <v>9</v>
      </c>
      <c r="B141" s="56" t="s">
        <v>294</v>
      </c>
      <c r="C141" s="123">
        <f>SUM(C142:C147)</f>
        <v>0</v>
      </c>
      <c r="D141" s="204">
        <f>SUM(D142:D147)</f>
        <v>0</v>
      </c>
      <c r="E141" s="88">
        <f>SUM(E142:E147)</f>
        <v>0</v>
      </c>
    </row>
    <row r="142" spans="1:5" ht="12" customHeight="1">
      <c r="A142" s="13" t="s">
        <v>54</v>
      </c>
      <c r="B142" s="7" t="s">
        <v>303</v>
      </c>
      <c r="C142" s="124"/>
      <c r="D142" s="206"/>
      <c r="E142" s="89"/>
    </row>
    <row r="143" spans="1:5" ht="12" customHeight="1">
      <c r="A143" s="13" t="s">
        <v>55</v>
      </c>
      <c r="B143" s="7" t="s">
        <v>295</v>
      </c>
      <c r="C143" s="124"/>
      <c r="D143" s="206"/>
      <c r="E143" s="89"/>
    </row>
    <row r="144" spans="1:5" ht="12" customHeight="1">
      <c r="A144" s="13" t="s">
        <v>56</v>
      </c>
      <c r="B144" s="7" t="s">
        <v>296</v>
      </c>
      <c r="C144" s="124"/>
      <c r="D144" s="206"/>
      <c r="E144" s="89"/>
    </row>
    <row r="145" spans="1:5" ht="12" customHeight="1">
      <c r="A145" s="13" t="s">
        <v>104</v>
      </c>
      <c r="B145" s="7" t="s">
        <v>297</v>
      </c>
      <c r="C145" s="124"/>
      <c r="D145" s="206"/>
      <c r="E145" s="89"/>
    </row>
    <row r="146" spans="1:5" ht="12" customHeight="1">
      <c r="A146" s="13" t="s">
        <v>105</v>
      </c>
      <c r="B146" s="7" t="s">
        <v>298</v>
      </c>
      <c r="C146" s="124"/>
      <c r="D146" s="206"/>
      <c r="E146" s="89"/>
    </row>
    <row r="147" spans="1:5" ht="12" customHeight="1" thickBot="1">
      <c r="A147" s="16" t="s">
        <v>106</v>
      </c>
      <c r="B147" s="257" t="s">
        <v>299</v>
      </c>
      <c r="C147" s="195"/>
      <c r="D147" s="238"/>
      <c r="E147" s="189"/>
    </row>
    <row r="148" spans="1:5" ht="12" customHeight="1" thickBot="1">
      <c r="A148" s="18" t="s">
        <v>10</v>
      </c>
      <c r="B148" s="56" t="s">
        <v>307</v>
      </c>
      <c r="C148" s="129">
        <f>+C149+C150+C151+C152</f>
        <v>5034671</v>
      </c>
      <c r="D148" s="208">
        <f>+D149+D150+D151+D152</f>
        <v>5034671</v>
      </c>
      <c r="E148" s="160">
        <f>+E149+E150+E151+E152</f>
        <v>5034671</v>
      </c>
    </row>
    <row r="149" spans="1:5" ht="12" customHeight="1">
      <c r="A149" s="13" t="s">
        <v>57</v>
      </c>
      <c r="B149" s="7" t="s">
        <v>242</v>
      </c>
      <c r="C149" s="124"/>
      <c r="D149" s="206"/>
      <c r="E149" s="89"/>
    </row>
    <row r="150" spans="1:5" ht="12" customHeight="1">
      <c r="A150" s="13" t="s">
        <v>58</v>
      </c>
      <c r="B150" s="7" t="s">
        <v>243</v>
      </c>
      <c r="C150" s="124">
        <v>5034671</v>
      </c>
      <c r="D150" s="206">
        <v>5034671</v>
      </c>
      <c r="E150" s="89">
        <v>5034671</v>
      </c>
    </row>
    <row r="151" spans="1:5" ht="12" customHeight="1">
      <c r="A151" s="13" t="s">
        <v>159</v>
      </c>
      <c r="B151" s="7" t="s">
        <v>308</v>
      </c>
      <c r="C151" s="124"/>
      <c r="D151" s="206"/>
      <c r="E151" s="89"/>
    </row>
    <row r="152" spans="1:5" ht="12" customHeight="1" thickBot="1">
      <c r="A152" s="11" t="s">
        <v>160</v>
      </c>
      <c r="B152" s="5" t="s">
        <v>246</v>
      </c>
      <c r="C152" s="124"/>
      <c r="D152" s="206"/>
      <c r="E152" s="89"/>
    </row>
    <row r="153" spans="1:5" ht="12" customHeight="1" thickBot="1">
      <c r="A153" s="18" t="s">
        <v>11</v>
      </c>
      <c r="B153" s="56" t="s">
        <v>309</v>
      </c>
      <c r="C153" s="197">
        <f>SUM(C154:C158)</f>
        <v>0</v>
      </c>
      <c r="D153" s="209">
        <f>SUM(D154:D158)</f>
        <v>0</v>
      </c>
      <c r="E153" s="191">
        <f>SUM(E154:E158)</f>
        <v>0</v>
      </c>
    </row>
    <row r="154" spans="1:5" ht="12" customHeight="1">
      <c r="A154" s="13" t="s">
        <v>59</v>
      </c>
      <c r="B154" s="7" t="s">
        <v>304</v>
      </c>
      <c r="C154" s="124"/>
      <c r="D154" s="206"/>
      <c r="E154" s="89"/>
    </row>
    <row r="155" spans="1:5" ht="12" customHeight="1">
      <c r="A155" s="13" t="s">
        <v>60</v>
      </c>
      <c r="B155" s="7" t="s">
        <v>311</v>
      </c>
      <c r="C155" s="124"/>
      <c r="D155" s="206"/>
      <c r="E155" s="89"/>
    </row>
    <row r="156" spans="1:5" ht="12" customHeight="1">
      <c r="A156" s="13" t="s">
        <v>171</v>
      </c>
      <c r="B156" s="7" t="s">
        <v>306</v>
      </c>
      <c r="C156" s="124"/>
      <c r="D156" s="206"/>
      <c r="E156" s="89"/>
    </row>
    <row r="157" spans="1:5" ht="12" customHeight="1">
      <c r="A157" s="13" t="s">
        <v>172</v>
      </c>
      <c r="B157" s="7" t="s">
        <v>312</v>
      </c>
      <c r="C157" s="124"/>
      <c r="D157" s="206"/>
      <c r="E157" s="89"/>
    </row>
    <row r="158" spans="1:5" ht="12" customHeight="1" thickBot="1">
      <c r="A158" s="13" t="s">
        <v>310</v>
      </c>
      <c r="B158" s="7" t="s">
        <v>313</v>
      </c>
      <c r="C158" s="124"/>
      <c r="D158" s="206"/>
      <c r="E158" s="89"/>
    </row>
    <row r="159" spans="1:5" ht="12" customHeight="1" thickBot="1">
      <c r="A159" s="18" t="s">
        <v>12</v>
      </c>
      <c r="B159" s="56" t="s">
        <v>314</v>
      </c>
      <c r="C159" s="198"/>
      <c r="D159" s="210"/>
      <c r="E159" s="192"/>
    </row>
    <row r="160" spans="1:5" ht="12" customHeight="1" thickBot="1">
      <c r="A160" s="18" t="s">
        <v>13</v>
      </c>
      <c r="B160" s="56" t="s">
        <v>315</v>
      </c>
      <c r="C160" s="198"/>
      <c r="D160" s="210"/>
      <c r="E160" s="192"/>
    </row>
    <row r="161" spans="1:9" ht="15" customHeight="1" thickBot="1">
      <c r="A161" s="18" t="s">
        <v>14</v>
      </c>
      <c r="B161" s="56" t="s">
        <v>317</v>
      </c>
      <c r="C161" s="199">
        <f>+C137+C141+C148+C153+C159+C160</f>
        <v>5034671</v>
      </c>
      <c r="D161" s="211">
        <f>+D137+D141+D148+D153+D159+D160</f>
        <v>5034671</v>
      </c>
      <c r="E161" s="193">
        <f>+E137+E141+E148+E153+E159+E160</f>
        <v>5034671</v>
      </c>
      <c r="F161" s="146"/>
      <c r="G161" s="147"/>
      <c r="H161" s="147"/>
      <c r="I161" s="147"/>
    </row>
    <row r="162" spans="1:5" s="135" customFormat="1" ht="12.75" customHeight="1" thickBot="1">
      <c r="A162" s="98" t="s">
        <v>15</v>
      </c>
      <c r="B162" s="113" t="s">
        <v>316</v>
      </c>
      <c r="C162" s="199">
        <f>+C136+C161</f>
        <v>867194868</v>
      </c>
      <c r="D162" s="211">
        <f>+D136+D161</f>
        <v>902901048</v>
      </c>
      <c r="E162" s="193">
        <f>+E136+E161</f>
        <v>663841559</v>
      </c>
    </row>
    <row r="163" spans="3:4" ht="15.75">
      <c r="C163" s="460">
        <f>C94-C162</f>
        <v>0</v>
      </c>
      <c r="D163" s="460">
        <f>D94-D162</f>
        <v>0</v>
      </c>
    </row>
    <row r="164" spans="1:5" ht="15.75">
      <c r="A164" s="589" t="s">
        <v>244</v>
      </c>
      <c r="B164" s="589"/>
      <c r="C164" s="589"/>
      <c r="D164" s="589"/>
      <c r="E164" s="589"/>
    </row>
    <row r="165" spans="1:5" ht="15" customHeight="1" thickBot="1">
      <c r="A165" s="581" t="s">
        <v>99</v>
      </c>
      <c r="B165" s="581"/>
      <c r="C165" s="100"/>
      <c r="E165" s="100" t="str">
        <f>E97</f>
        <v> Forintban!</v>
      </c>
    </row>
    <row r="166" spans="1:5" ht="25.5" customHeight="1" thickBot="1">
      <c r="A166" s="18">
        <v>1</v>
      </c>
      <c r="B166" s="23" t="s">
        <v>318</v>
      </c>
      <c r="C166" s="203">
        <f>+C69-C136</f>
        <v>-456939023</v>
      </c>
      <c r="D166" s="123">
        <f>+D69-D136</f>
        <v>-456939023</v>
      </c>
      <c r="E166" s="88">
        <f>+E69-E136</f>
        <v>-165080333</v>
      </c>
    </row>
    <row r="167" spans="1:5" ht="32.25" customHeight="1" thickBot="1">
      <c r="A167" s="18" t="s">
        <v>6</v>
      </c>
      <c r="B167" s="23" t="s">
        <v>324</v>
      </c>
      <c r="C167" s="123">
        <f>+C93-C161</f>
        <v>456939023</v>
      </c>
      <c r="D167" s="123">
        <f>+D93-D161</f>
        <v>456939023</v>
      </c>
      <c r="E167" s="88">
        <f>+E93-E161</f>
        <v>398518604</v>
      </c>
    </row>
  </sheetData>
  <sheetProtection/>
  <mergeCells count="16">
    <mergeCell ref="C98:E98"/>
    <mergeCell ref="A164:E164"/>
    <mergeCell ref="A6:E6"/>
    <mergeCell ref="A96:E96"/>
    <mergeCell ref="A7:B7"/>
    <mergeCell ref="A97:B97"/>
    <mergeCell ref="B1:E1"/>
    <mergeCell ref="A2:E2"/>
    <mergeCell ref="A3:E3"/>
    <mergeCell ref="A4:E4"/>
    <mergeCell ref="A165:B165"/>
    <mergeCell ref="A8:A9"/>
    <mergeCell ref="B8:B9"/>
    <mergeCell ref="C8:E8"/>
    <mergeCell ref="A98:A99"/>
    <mergeCell ref="B98:B99"/>
  </mergeCells>
  <printOptions horizontalCentered="1"/>
  <pageMargins left="0.6692913385826772" right="0.6692913385826772" top="0.8661417322834646" bottom="0.8661417322834646" header="0" footer="0"/>
  <pageSetup fitToHeight="0" fitToWidth="1" horizontalDpi="600" verticalDpi="600" orientation="portrait" paperSize="8" r:id="rId1"/>
  <rowBreaks count="2" manualBreakCount="2">
    <brk id="69" max="4" man="1"/>
    <brk id="14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7"/>
  <sheetViews>
    <sheetView zoomScale="120" zoomScaleNormal="120" zoomScaleSheetLayoutView="100" workbookViewId="0" topLeftCell="A142">
      <selection activeCell="G69" sqref="G69"/>
    </sheetView>
  </sheetViews>
  <sheetFormatPr defaultColWidth="9.00390625" defaultRowHeight="12.75"/>
  <cols>
    <col min="1" max="1" width="9.50390625" style="114" customWidth="1"/>
    <col min="2" max="2" width="65.875" style="114" customWidth="1"/>
    <col min="3" max="3" width="17.875" style="115" customWidth="1"/>
    <col min="4" max="5" width="17.875" style="133" customWidth="1"/>
    <col min="6" max="16384" width="9.375" style="133" customWidth="1"/>
  </cols>
  <sheetData>
    <row r="1" spans="1:5" ht="15.75">
      <c r="A1" s="258"/>
      <c r="B1" s="576" t="str">
        <f>CONCATENATE("1.2. melléklet ",Z_ALAPADATOK!A7," ",Z_ALAPADATOK!B7," ",Z_ALAPADATOK!C7," ",Z_ALAPADATOK!D7," ",Z_ALAPADATOK!E7," ",Z_ALAPADATOK!F7," ",Z_ALAPADATOK!G7," ",Z_ALAPADATOK!H7)</f>
        <v>1.2. melléklet a 12 / 2020. ( VI.11. ) önkormányzati rendelethez</v>
      </c>
      <c r="C1" s="577"/>
      <c r="D1" s="577"/>
      <c r="E1" s="577"/>
    </row>
    <row r="2" spans="1:5" ht="15.75">
      <c r="A2" s="578" t="str">
        <f>CONCATENATE(Z_ALAPADATOK!A3)</f>
        <v>Karácsond Községi Önkormányzat</v>
      </c>
      <c r="B2" s="579"/>
      <c r="C2" s="579"/>
      <c r="D2" s="579"/>
      <c r="E2" s="579"/>
    </row>
    <row r="3" spans="1:5" ht="15.75">
      <c r="A3" s="578" t="str">
        <f>CONCATENATE(Z_ALAPADATOK!B1,". ÉVI ZÁRSZÁMADÁS")</f>
        <v>2019. ÉVI ZÁRSZÁMADÁS</v>
      </c>
      <c r="B3" s="578"/>
      <c r="C3" s="580"/>
      <c r="D3" s="578"/>
      <c r="E3" s="578"/>
    </row>
    <row r="4" spans="1:5" ht="17.25" customHeight="1">
      <c r="A4" s="578" t="s">
        <v>686</v>
      </c>
      <c r="B4" s="578"/>
      <c r="C4" s="580"/>
      <c r="D4" s="578"/>
      <c r="E4" s="578"/>
    </row>
    <row r="5" spans="1:5" ht="15.75">
      <c r="A5" s="258"/>
      <c r="B5" s="258"/>
      <c r="C5" s="259"/>
      <c r="D5" s="260"/>
      <c r="E5" s="260"/>
    </row>
    <row r="6" spans="1:5" ht="15.75" customHeight="1">
      <c r="A6" s="590" t="s">
        <v>2</v>
      </c>
      <c r="B6" s="590"/>
      <c r="C6" s="590"/>
      <c r="D6" s="590"/>
      <c r="E6" s="590"/>
    </row>
    <row r="7" spans="1:5" ht="15.75" customHeight="1" thickBot="1">
      <c r="A7" s="592" t="s">
        <v>97</v>
      </c>
      <c r="B7" s="592"/>
      <c r="C7" s="261"/>
      <c r="D7" s="260"/>
      <c r="E7" s="261" t="str">
        <f>CONCATENATE('ÖSSZ.ÖNK'!E7)</f>
        <v> Forintban!</v>
      </c>
    </row>
    <row r="8" spans="1:5" ht="15.75">
      <c r="A8" s="582" t="s">
        <v>49</v>
      </c>
      <c r="B8" s="584" t="s">
        <v>4</v>
      </c>
      <c r="C8" s="586" t="str">
        <f>+CONCATENATE(LEFT(Z_ÖSSZEFÜGGÉSEK!A6,4),". évi")</f>
        <v>2019. évi</v>
      </c>
      <c r="D8" s="587"/>
      <c r="E8" s="588"/>
    </row>
    <row r="9" spans="1:5" ht="24.75" thickBot="1">
      <c r="A9" s="583"/>
      <c r="B9" s="585"/>
      <c r="C9" s="201" t="s">
        <v>358</v>
      </c>
      <c r="D9" s="200" t="s">
        <v>359</v>
      </c>
      <c r="E9" s="253" t="str">
        <f>CONCATENATE('ÖSSZ.ÖNK'!E9)</f>
        <v>2019. XII. 31.
teljesítés</v>
      </c>
    </row>
    <row r="10" spans="1:5" s="134" customFormat="1" ht="12" customHeight="1" thickBot="1">
      <c r="A10" s="130" t="s">
        <v>325</v>
      </c>
      <c r="B10" s="131" t="s">
        <v>326</v>
      </c>
      <c r="C10" s="131" t="s">
        <v>327</v>
      </c>
      <c r="D10" s="131" t="s">
        <v>329</v>
      </c>
      <c r="E10" s="202" t="s">
        <v>328</v>
      </c>
    </row>
    <row r="11" spans="1:5" s="135" customFormat="1" ht="12" customHeight="1" thickBot="1">
      <c r="A11" s="18" t="s">
        <v>5</v>
      </c>
      <c r="B11" s="19" t="s">
        <v>126</v>
      </c>
      <c r="C11" s="123">
        <f>+C12+C13+C14+C15+C16+C17</f>
        <v>144049665</v>
      </c>
      <c r="D11" s="123">
        <f>+D12+D13+D14+D15+D16+D17</f>
        <v>160401896</v>
      </c>
      <c r="E11" s="88">
        <f>+E12+E13+E14+E15+E16+E17</f>
        <v>160401796</v>
      </c>
    </row>
    <row r="12" spans="1:5" s="135" customFormat="1" ht="12" customHeight="1">
      <c r="A12" s="13" t="s">
        <v>61</v>
      </c>
      <c r="B12" s="136" t="s">
        <v>127</v>
      </c>
      <c r="C12" s="125">
        <v>59867636</v>
      </c>
      <c r="D12" s="125">
        <v>61198667</v>
      </c>
      <c r="E12" s="90">
        <v>61198667</v>
      </c>
    </row>
    <row r="13" spans="1:5" s="135" customFormat="1" ht="12" customHeight="1">
      <c r="A13" s="12" t="s">
        <v>62</v>
      </c>
      <c r="B13" s="137" t="s">
        <v>128</v>
      </c>
      <c r="C13" s="124">
        <v>52961800</v>
      </c>
      <c r="D13" s="124">
        <v>55830268</v>
      </c>
      <c r="E13" s="89">
        <v>55830268</v>
      </c>
    </row>
    <row r="14" spans="1:5" s="135" customFormat="1" ht="12" customHeight="1">
      <c r="A14" s="12" t="s">
        <v>63</v>
      </c>
      <c r="B14" s="137" t="s">
        <v>129</v>
      </c>
      <c r="C14" s="124">
        <v>27582969</v>
      </c>
      <c r="D14" s="124">
        <v>28186174</v>
      </c>
      <c r="E14" s="89">
        <v>28186074</v>
      </c>
    </row>
    <row r="15" spans="1:5" s="135" customFormat="1" ht="12" customHeight="1">
      <c r="A15" s="12" t="s">
        <v>64</v>
      </c>
      <c r="B15" s="137" t="s">
        <v>130</v>
      </c>
      <c r="C15" s="124">
        <v>3637260</v>
      </c>
      <c r="D15" s="124">
        <v>4215922</v>
      </c>
      <c r="E15" s="89">
        <v>4215922</v>
      </c>
    </row>
    <row r="16" spans="1:5" s="135" customFormat="1" ht="12" customHeight="1">
      <c r="A16" s="12" t="s">
        <v>94</v>
      </c>
      <c r="B16" s="96" t="s">
        <v>276</v>
      </c>
      <c r="C16" s="124"/>
      <c r="D16" s="124">
        <v>10970865</v>
      </c>
      <c r="E16" s="89">
        <v>10970865</v>
      </c>
    </row>
    <row r="17" spans="1:5" s="135" customFormat="1" ht="12" customHeight="1" thickBot="1">
      <c r="A17" s="14" t="s">
        <v>65</v>
      </c>
      <c r="B17" s="97" t="s">
        <v>277</v>
      </c>
      <c r="C17" s="124"/>
      <c r="D17" s="124"/>
      <c r="E17" s="89"/>
    </row>
    <row r="18" spans="1:5" s="135" customFormat="1" ht="12" customHeight="1" thickBot="1">
      <c r="A18" s="18" t="s">
        <v>6</v>
      </c>
      <c r="B18" s="95" t="s">
        <v>131</v>
      </c>
      <c r="C18" s="123">
        <f>+C19+C20+C21+C22+C23</f>
        <v>27156114</v>
      </c>
      <c r="D18" s="123">
        <f>+D19+D20+D21+D22+D23</f>
        <v>30256698</v>
      </c>
      <c r="E18" s="88">
        <f>+E19+E20+E21+E22+E23</f>
        <v>30584865</v>
      </c>
    </row>
    <row r="19" spans="1:5" s="135" customFormat="1" ht="12" customHeight="1">
      <c r="A19" s="13" t="s">
        <v>67</v>
      </c>
      <c r="B19" s="136" t="s">
        <v>132</v>
      </c>
      <c r="C19" s="125"/>
      <c r="D19" s="125"/>
      <c r="E19" s="90"/>
    </row>
    <row r="20" spans="1:5" s="135" customFormat="1" ht="12" customHeight="1">
      <c r="A20" s="12" t="s">
        <v>68</v>
      </c>
      <c r="B20" s="137" t="s">
        <v>133</v>
      </c>
      <c r="C20" s="124"/>
      <c r="D20" s="124"/>
      <c r="E20" s="89"/>
    </row>
    <row r="21" spans="1:5" s="135" customFormat="1" ht="12" customHeight="1">
      <c r="A21" s="12" t="s">
        <v>69</v>
      </c>
      <c r="B21" s="137" t="s">
        <v>269</v>
      </c>
      <c r="C21" s="124"/>
      <c r="D21" s="124"/>
      <c r="E21" s="89"/>
    </row>
    <row r="22" spans="1:5" s="135" customFormat="1" ht="12" customHeight="1">
      <c r="A22" s="12" t="s">
        <v>70</v>
      </c>
      <c r="B22" s="137" t="s">
        <v>270</v>
      </c>
      <c r="C22" s="124"/>
      <c r="D22" s="124"/>
      <c r="E22" s="89"/>
    </row>
    <row r="23" spans="1:5" s="135" customFormat="1" ht="12" customHeight="1">
      <c r="A23" s="12" t="s">
        <v>71</v>
      </c>
      <c r="B23" s="137" t="s">
        <v>134</v>
      </c>
      <c r="C23" s="124">
        <v>27156114</v>
      </c>
      <c r="D23" s="124">
        <v>30256698</v>
      </c>
      <c r="E23" s="89">
        <v>30584865</v>
      </c>
    </row>
    <row r="24" spans="1:5" s="135" customFormat="1" ht="12" customHeight="1" thickBot="1">
      <c r="A24" s="14" t="s">
        <v>78</v>
      </c>
      <c r="B24" s="97" t="s">
        <v>135</v>
      </c>
      <c r="C24" s="126"/>
      <c r="D24" s="126"/>
      <c r="E24" s="91"/>
    </row>
    <row r="25" spans="1:5" s="135" customFormat="1" ht="12" customHeight="1" thickBot="1">
      <c r="A25" s="18" t="s">
        <v>7</v>
      </c>
      <c r="B25" s="19" t="s">
        <v>136</v>
      </c>
      <c r="C25" s="123">
        <f>+C26+C27+C28+C29+C30</f>
        <v>0</v>
      </c>
      <c r="D25" s="123">
        <f>+D26+D27+D28+D29+D30</f>
        <v>0</v>
      </c>
      <c r="E25" s="88">
        <f>+E26+E27+E28+E29+E30</f>
        <v>0</v>
      </c>
    </row>
    <row r="26" spans="1:5" s="135" customFormat="1" ht="12" customHeight="1">
      <c r="A26" s="13" t="s">
        <v>50</v>
      </c>
      <c r="B26" s="136" t="s">
        <v>137</v>
      </c>
      <c r="C26" s="125"/>
      <c r="D26" s="125"/>
      <c r="E26" s="90"/>
    </row>
    <row r="27" spans="1:5" s="135" customFormat="1" ht="12" customHeight="1">
      <c r="A27" s="12" t="s">
        <v>51</v>
      </c>
      <c r="B27" s="137" t="s">
        <v>138</v>
      </c>
      <c r="C27" s="124"/>
      <c r="D27" s="124"/>
      <c r="E27" s="89"/>
    </row>
    <row r="28" spans="1:5" s="135" customFormat="1" ht="12" customHeight="1">
      <c r="A28" s="12" t="s">
        <v>52</v>
      </c>
      <c r="B28" s="137" t="s">
        <v>271</v>
      </c>
      <c r="C28" s="124"/>
      <c r="D28" s="124"/>
      <c r="E28" s="89"/>
    </row>
    <row r="29" spans="1:5" s="135" customFormat="1" ht="12" customHeight="1">
      <c r="A29" s="12" t="s">
        <v>53</v>
      </c>
      <c r="B29" s="137" t="s">
        <v>272</v>
      </c>
      <c r="C29" s="124"/>
      <c r="D29" s="124"/>
      <c r="E29" s="89"/>
    </row>
    <row r="30" spans="1:5" s="135" customFormat="1" ht="12" customHeight="1">
      <c r="A30" s="12" t="s">
        <v>100</v>
      </c>
      <c r="B30" s="137" t="s">
        <v>139</v>
      </c>
      <c r="C30" s="124"/>
      <c r="D30" s="124"/>
      <c r="E30" s="89"/>
    </row>
    <row r="31" spans="1:5" s="135" customFormat="1" ht="12" customHeight="1" thickBot="1">
      <c r="A31" s="14" t="s">
        <v>101</v>
      </c>
      <c r="B31" s="138" t="s">
        <v>140</v>
      </c>
      <c r="C31" s="126"/>
      <c r="D31" s="126"/>
      <c r="E31" s="91"/>
    </row>
    <row r="32" spans="1:5" s="135" customFormat="1" ht="12" customHeight="1" thickBot="1">
      <c r="A32" s="18" t="s">
        <v>102</v>
      </c>
      <c r="B32" s="19" t="s">
        <v>409</v>
      </c>
      <c r="C32" s="129">
        <f>SUM(C33:C39)</f>
        <v>75580000</v>
      </c>
      <c r="D32" s="129">
        <f>SUM(D33:D39)</f>
        <v>91118230</v>
      </c>
      <c r="E32" s="160">
        <f>SUM(E33:E37)</f>
        <v>94644027</v>
      </c>
    </row>
    <row r="33" spans="1:5" s="135" customFormat="1" ht="12" customHeight="1">
      <c r="A33" s="13" t="s">
        <v>141</v>
      </c>
      <c r="B33" s="136" t="str">
        <f>'ÖSSZ.ÖNK'!B33</f>
        <v>Kommunális adó</v>
      </c>
      <c r="C33" s="125">
        <v>8000000</v>
      </c>
      <c r="D33" s="125">
        <v>8538230</v>
      </c>
      <c r="E33" s="90">
        <v>8373299</v>
      </c>
    </row>
    <row r="34" spans="1:5" s="135" customFormat="1" ht="12" customHeight="1">
      <c r="A34" s="12" t="s">
        <v>142</v>
      </c>
      <c r="B34" s="136" t="str">
        <f>'ÖSSZ.ÖNK'!B34</f>
        <v>Iparűzési adó</v>
      </c>
      <c r="C34" s="124">
        <v>60000000</v>
      </c>
      <c r="D34" s="124">
        <v>72000000</v>
      </c>
      <c r="E34" s="89">
        <v>74340462</v>
      </c>
    </row>
    <row r="35" spans="1:5" s="135" customFormat="1" ht="12" customHeight="1">
      <c r="A35" s="12" t="s">
        <v>143</v>
      </c>
      <c r="B35" s="136" t="str">
        <f>'ÖSSZ.ÖNK'!B35</f>
        <v>Gépjárműadó</v>
      </c>
      <c r="C35" s="124">
        <v>6000000</v>
      </c>
      <c r="D35" s="124">
        <v>6000000</v>
      </c>
      <c r="E35" s="89">
        <v>7031379</v>
      </c>
    </row>
    <row r="36" spans="1:5" s="135" customFormat="1" ht="12" customHeight="1">
      <c r="A36" s="12" t="s">
        <v>144</v>
      </c>
      <c r="B36" s="136" t="str">
        <f>'ÖSSZ.ÖNK'!B36</f>
        <v>Idegenforgalmi adó</v>
      </c>
      <c r="C36" s="124">
        <v>400000</v>
      </c>
      <c r="D36" s="124">
        <v>400000</v>
      </c>
      <c r="E36" s="89">
        <v>659600</v>
      </c>
    </row>
    <row r="37" spans="1:5" s="135" customFormat="1" ht="12" customHeight="1">
      <c r="A37" s="12" t="s">
        <v>411</v>
      </c>
      <c r="B37" s="136" t="str">
        <f>'ÖSSZ.ÖNK'!B37</f>
        <v>Egyéb közhatalmi bevételek</v>
      </c>
      <c r="C37" s="124">
        <v>1180000</v>
      </c>
      <c r="D37" s="124">
        <v>4180000</v>
      </c>
      <c r="E37" s="89">
        <v>4239287</v>
      </c>
    </row>
    <row r="38" spans="1:5" s="135" customFormat="1" ht="12" customHeight="1">
      <c r="A38" s="12" t="s">
        <v>412</v>
      </c>
      <c r="B38" s="136" t="str">
        <f>'ÖSSZ.ÖNK'!B38</f>
        <v>     -ebből: igazgatási szolgáltatási díjak</v>
      </c>
      <c r="C38" s="124"/>
      <c r="D38" s="124"/>
      <c r="E38" s="89">
        <v>9400</v>
      </c>
    </row>
    <row r="39" spans="1:5" s="135" customFormat="1" ht="12" customHeight="1">
      <c r="A39" s="14" t="s">
        <v>413</v>
      </c>
      <c r="B39" s="136" t="str">
        <f>'ÖSSZ.ÖNK'!B39</f>
        <v>     -ebből: egyéb bírság</v>
      </c>
      <c r="C39" s="126"/>
      <c r="D39" s="126"/>
      <c r="E39" s="91">
        <v>1771091</v>
      </c>
    </row>
    <row r="40" spans="1:5" s="135" customFormat="1" ht="12" customHeight="1" thickBot="1">
      <c r="A40" s="11" t="s">
        <v>720</v>
      </c>
      <c r="B40" s="563" t="s">
        <v>771</v>
      </c>
      <c r="C40" s="551"/>
      <c r="D40" s="551"/>
      <c r="E40" s="552">
        <v>1981231</v>
      </c>
    </row>
    <row r="41" spans="1:5" s="135" customFormat="1" ht="12" customHeight="1" thickBot="1">
      <c r="A41" s="18" t="s">
        <v>9</v>
      </c>
      <c r="B41" s="19" t="s">
        <v>278</v>
      </c>
      <c r="C41" s="123">
        <f>SUM(C42:C52)</f>
        <v>7858000</v>
      </c>
      <c r="D41" s="123">
        <f>SUM(D42:D52)</f>
        <v>8842350</v>
      </c>
      <c r="E41" s="88">
        <f>SUM(E42:E52)</f>
        <v>12379782</v>
      </c>
    </row>
    <row r="42" spans="1:5" s="135" customFormat="1" ht="12" customHeight="1">
      <c r="A42" s="13" t="s">
        <v>54</v>
      </c>
      <c r="B42" s="136" t="s">
        <v>148</v>
      </c>
      <c r="C42" s="125"/>
      <c r="D42" s="125"/>
      <c r="E42" s="90"/>
    </row>
    <row r="43" spans="1:5" s="135" customFormat="1" ht="12" customHeight="1">
      <c r="A43" s="12" t="s">
        <v>55</v>
      </c>
      <c r="B43" s="137" t="s">
        <v>149</v>
      </c>
      <c r="C43" s="124"/>
      <c r="D43" s="124"/>
      <c r="E43" s="89"/>
    </row>
    <row r="44" spans="1:5" s="135" customFormat="1" ht="12" customHeight="1">
      <c r="A44" s="12" t="s">
        <v>56</v>
      </c>
      <c r="B44" s="137" t="s">
        <v>150</v>
      </c>
      <c r="C44" s="124"/>
      <c r="D44" s="124"/>
      <c r="E44" s="89"/>
    </row>
    <row r="45" spans="1:5" s="135" customFormat="1" ht="12" customHeight="1">
      <c r="A45" s="12" t="s">
        <v>104</v>
      </c>
      <c r="B45" s="137" t="s">
        <v>151</v>
      </c>
      <c r="C45" s="124">
        <v>4000000</v>
      </c>
      <c r="D45" s="124">
        <v>4884350</v>
      </c>
      <c r="E45" s="89">
        <v>4112559</v>
      </c>
    </row>
    <row r="46" spans="1:5" s="135" customFormat="1" ht="12" customHeight="1">
      <c r="A46" s="12" t="s">
        <v>105</v>
      </c>
      <c r="B46" s="137" t="s">
        <v>152</v>
      </c>
      <c r="C46" s="124">
        <v>400000</v>
      </c>
      <c r="D46" s="124">
        <v>400000</v>
      </c>
      <c r="E46" s="89">
        <v>334981</v>
      </c>
    </row>
    <row r="47" spans="1:5" s="135" customFormat="1" ht="12" customHeight="1">
      <c r="A47" s="12" t="s">
        <v>106</v>
      </c>
      <c r="B47" s="137" t="s">
        <v>153</v>
      </c>
      <c r="C47" s="124">
        <v>258000</v>
      </c>
      <c r="D47" s="124">
        <v>258000</v>
      </c>
      <c r="E47" s="89">
        <v>98948</v>
      </c>
    </row>
    <row r="48" spans="1:5" s="135" customFormat="1" ht="12" customHeight="1">
      <c r="A48" s="12" t="s">
        <v>107</v>
      </c>
      <c r="B48" s="137" t="s">
        <v>154</v>
      </c>
      <c r="C48" s="124"/>
      <c r="D48" s="124"/>
      <c r="E48" s="89"/>
    </row>
    <row r="49" spans="1:5" s="135" customFormat="1" ht="12" customHeight="1">
      <c r="A49" s="12" t="s">
        <v>108</v>
      </c>
      <c r="B49" s="137" t="s">
        <v>414</v>
      </c>
      <c r="C49" s="124"/>
      <c r="D49" s="124"/>
      <c r="E49" s="89"/>
    </row>
    <row r="50" spans="1:5" s="135" customFormat="1" ht="12" customHeight="1">
      <c r="A50" s="12" t="s">
        <v>146</v>
      </c>
      <c r="B50" s="137" t="s">
        <v>156</v>
      </c>
      <c r="C50" s="127"/>
      <c r="D50" s="127"/>
      <c r="E50" s="92"/>
    </row>
    <row r="51" spans="1:5" s="135" customFormat="1" ht="12" customHeight="1">
      <c r="A51" s="14" t="s">
        <v>147</v>
      </c>
      <c r="B51" s="138" t="s">
        <v>280</v>
      </c>
      <c r="C51" s="128"/>
      <c r="D51" s="128"/>
      <c r="E51" s="93">
        <v>264048</v>
      </c>
    </row>
    <row r="52" spans="1:5" s="135" customFormat="1" ht="12" customHeight="1" thickBot="1">
      <c r="A52" s="14" t="s">
        <v>279</v>
      </c>
      <c r="B52" s="97" t="s">
        <v>157</v>
      </c>
      <c r="C52" s="128">
        <v>3200000</v>
      </c>
      <c r="D52" s="128">
        <v>3300000</v>
      </c>
      <c r="E52" s="93">
        <v>7569246</v>
      </c>
    </row>
    <row r="53" spans="1:5" s="135" customFormat="1" ht="12" customHeight="1" thickBot="1">
      <c r="A53" s="18" t="s">
        <v>10</v>
      </c>
      <c r="B53" s="19" t="s">
        <v>158</v>
      </c>
      <c r="C53" s="123">
        <f>SUM(C54:C58)</f>
        <v>0</v>
      </c>
      <c r="D53" s="123">
        <f>SUM(D54:D58)</f>
        <v>0</v>
      </c>
      <c r="E53" s="88">
        <f>SUM(E54:E58)</f>
        <v>0</v>
      </c>
    </row>
    <row r="54" spans="1:5" s="135" customFormat="1" ht="12" customHeight="1">
      <c r="A54" s="13" t="s">
        <v>57</v>
      </c>
      <c r="B54" s="136" t="s">
        <v>162</v>
      </c>
      <c r="C54" s="171"/>
      <c r="D54" s="171"/>
      <c r="E54" s="94"/>
    </row>
    <row r="55" spans="1:5" s="135" customFormat="1" ht="12" customHeight="1">
      <c r="A55" s="12" t="s">
        <v>58</v>
      </c>
      <c r="B55" s="137" t="s">
        <v>163</v>
      </c>
      <c r="C55" s="127"/>
      <c r="D55" s="127"/>
      <c r="E55" s="92"/>
    </row>
    <row r="56" spans="1:5" s="135" customFormat="1" ht="12" customHeight="1">
      <c r="A56" s="12" t="s">
        <v>159</v>
      </c>
      <c r="B56" s="137" t="s">
        <v>164</v>
      </c>
      <c r="C56" s="127"/>
      <c r="D56" s="127"/>
      <c r="E56" s="92"/>
    </row>
    <row r="57" spans="1:5" s="135" customFormat="1" ht="12" customHeight="1">
      <c r="A57" s="12" t="s">
        <v>160</v>
      </c>
      <c r="B57" s="137" t="s">
        <v>165</v>
      </c>
      <c r="C57" s="127"/>
      <c r="D57" s="127"/>
      <c r="E57" s="92"/>
    </row>
    <row r="58" spans="1:5" s="135" customFormat="1" ht="12" customHeight="1" thickBot="1">
      <c r="A58" s="14" t="s">
        <v>161</v>
      </c>
      <c r="B58" s="97" t="s">
        <v>166</v>
      </c>
      <c r="C58" s="128"/>
      <c r="D58" s="128"/>
      <c r="E58" s="93"/>
    </row>
    <row r="59" spans="1:5" s="135" customFormat="1" ht="12" customHeight="1" thickBot="1">
      <c r="A59" s="18" t="s">
        <v>109</v>
      </c>
      <c r="B59" s="19" t="s">
        <v>167</v>
      </c>
      <c r="C59" s="123">
        <f>SUM(C60:C62)</f>
        <v>0</v>
      </c>
      <c r="D59" s="123">
        <f>SUM(D60:D62)</f>
        <v>0</v>
      </c>
      <c r="E59" s="88">
        <f>SUM(E60:E62)</f>
        <v>500000</v>
      </c>
    </row>
    <row r="60" spans="1:5" s="135" customFormat="1" ht="12" customHeight="1">
      <c r="A60" s="13" t="s">
        <v>59</v>
      </c>
      <c r="B60" s="136" t="s">
        <v>168</v>
      </c>
      <c r="C60" s="125"/>
      <c r="D60" s="125"/>
      <c r="E60" s="90"/>
    </row>
    <row r="61" spans="1:5" s="135" customFormat="1" ht="12" customHeight="1">
      <c r="A61" s="12" t="s">
        <v>60</v>
      </c>
      <c r="B61" s="137" t="s">
        <v>273</v>
      </c>
      <c r="C61" s="124"/>
      <c r="D61" s="124"/>
      <c r="E61" s="89"/>
    </row>
    <row r="62" spans="1:5" s="135" customFormat="1" ht="12" customHeight="1">
      <c r="A62" s="12" t="s">
        <v>171</v>
      </c>
      <c r="B62" s="137" t="s">
        <v>169</v>
      </c>
      <c r="C62" s="124"/>
      <c r="D62" s="124"/>
      <c r="E62" s="89">
        <v>500000</v>
      </c>
    </row>
    <row r="63" spans="1:5" s="135" customFormat="1" ht="12" customHeight="1" thickBot="1">
      <c r="A63" s="14" t="s">
        <v>172</v>
      </c>
      <c r="B63" s="97" t="s">
        <v>170</v>
      </c>
      <c r="C63" s="126"/>
      <c r="D63" s="126"/>
      <c r="E63" s="91"/>
    </row>
    <row r="64" spans="1:5" s="135" customFormat="1" ht="12" customHeight="1" thickBot="1">
      <c r="A64" s="18" t="s">
        <v>12</v>
      </c>
      <c r="B64" s="95" t="s">
        <v>173</v>
      </c>
      <c r="C64" s="123">
        <f>SUM(C65:C67)</f>
        <v>2358395</v>
      </c>
      <c r="D64" s="123">
        <f>SUM(D65:D67)</f>
        <v>2358395</v>
      </c>
      <c r="E64" s="88">
        <f>SUM(E65:E67)</f>
        <v>600000</v>
      </c>
    </row>
    <row r="65" spans="1:5" s="135" customFormat="1" ht="12" customHeight="1">
      <c r="A65" s="13" t="s">
        <v>110</v>
      </c>
      <c r="B65" s="136" t="s">
        <v>175</v>
      </c>
      <c r="C65" s="127"/>
      <c r="D65" s="127"/>
      <c r="E65" s="92"/>
    </row>
    <row r="66" spans="1:5" s="135" customFormat="1" ht="12" customHeight="1">
      <c r="A66" s="12" t="s">
        <v>111</v>
      </c>
      <c r="B66" s="137" t="s">
        <v>274</v>
      </c>
      <c r="C66" s="127">
        <v>2358395</v>
      </c>
      <c r="D66" s="127">
        <v>2358395</v>
      </c>
      <c r="E66" s="92">
        <v>600000</v>
      </c>
    </row>
    <row r="67" spans="1:5" s="135" customFormat="1" ht="12" customHeight="1">
      <c r="A67" s="12" t="s">
        <v>123</v>
      </c>
      <c r="B67" s="137" t="s">
        <v>176</v>
      </c>
      <c r="C67" s="127"/>
      <c r="D67" s="127"/>
      <c r="E67" s="92"/>
    </row>
    <row r="68" spans="1:5" s="135" customFormat="1" ht="12" customHeight="1" thickBot="1">
      <c r="A68" s="14" t="s">
        <v>174</v>
      </c>
      <c r="B68" s="97" t="s">
        <v>177</v>
      </c>
      <c r="C68" s="127"/>
      <c r="D68" s="127"/>
      <c r="E68" s="92"/>
    </row>
    <row r="69" spans="1:5" s="135" customFormat="1" ht="12" customHeight="1" thickBot="1">
      <c r="A69" s="185" t="s">
        <v>320</v>
      </c>
      <c r="B69" s="19" t="s">
        <v>178</v>
      </c>
      <c r="C69" s="129">
        <f>+C11+C18+C25+C32+C41+C53+C59+C64</f>
        <v>257002174</v>
      </c>
      <c r="D69" s="129">
        <f>+D11+D18+D25+D32+D41+D53+D59+D64</f>
        <v>292977569</v>
      </c>
      <c r="E69" s="160">
        <f>+E11+E18+E25+E32+E41+E53+E59+E64</f>
        <v>299110470</v>
      </c>
    </row>
    <row r="70" spans="1:5" s="135" customFormat="1" ht="12" customHeight="1" thickBot="1">
      <c r="A70" s="172" t="s">
        <v>179</v>
      </c>
      <c r="B70" s="95" t="s">
        <v>180</v>
      </c>
      <c r="C70" s="123">
        <f>SUM(C71:C73)</f>
        <v>0</v>
      </c>
      <c r="D70" s="123">
        <f>SUM(D71:D73)</f>
        <v>0</v>
      </c>
      <c r="E70" s="88">
        <f>SUM(E71:E73)</f>
        <v>0</v>
      </c>
    </row>
    <row r="71" spans="1:5" s="135" customFormat="1" ht="12" customHeight="1">
      <c r="A71" s="13" t="s">
        <v>208</v>
      </c>
      <c r="B71" s="136" t="s">
        <v>181</v>
      </c>
      <c r="C71" s="127"/>
      <c r="D71" s="127"/>
      <c r="E71" s="92"/>
    </row>
    <row r="72" spans="1:5" s="135" customFormat="1" ht="12" customHeight="1">
      <c r="A72" s="12" t="s">
        <v>217</v>
      </c>
      <c r="B72" s="137" t="s">
        <v>182</v>
      </c>
      <c r="C72" s="127"/>
      <c r="D72" s="127"/>
      <c r="E72" s="92"/>
    </row>
    <row r="73" spans="1:5" s="135" customFormat="1" ht="12" customHeight="1" thickBot="1">
      <c r="A73" s="14" t="s">
        <v>218</v>
      </c>
      <c r="B73" s="181" t="s">
        <v>305</v>
      </c>
      <c r="C73" s="127"/>
      <c r="D73" s="127"/>
      <c r="E73" s="92"/>
    </row>
    <row r="74" spans="1:5" s="135" customFormat="1" ht="12" customHeight="1" thickBot="1">
      <c r="A74" s="172" t="s">
        <v>184</v>
      </c>
      <c r="B74" s="95" t="s">
        <v>185</v>
      </c>
      <c r="C74" s="123">
        <f>SUM(C75:C78)</f>
        <v>0</v>
      </c>
      <c r="D74" s="123">
        <f>SUM(D75:D78)</f>
        <v>0</v>
      </c>
      <c r="E74" s="88">
        <f>SUM(E75:E78)</f>
        <v>0</v>
      </c>
    </row>
    <row r="75" spans="1:5" s="135" customFormat="1" ht="12" customHeight="1">
      <c r="A75" s="13" t="s">
        <v>95</v>
      </c>
      <c r="B75" s="251" t="s">
        <v>186</v>
      </c>
      <c r="C75" s="127"/>
      <c r="D75" s="127"/>
      <c r="E75" s="92"/>
    </row>
    <row r="76" spans="1:5" s="135" customFormat="1" ht="12" customHeight="1">
      <c r="A76" s="12" t="s">
        <v>96</v>
      </c>
      <c r="B76" s="251" t="s">
        <v>419</v>
      </c>
      <c r="C76" s="127"/>
      <c r="D76" s="127"/>
      <c r="E76" s="92"/>
    </row>
    <row r="77" spans="1:5" s="135" customFormat="1" ht="12" customHeight="1">
      <c r="A77" s="12" t="s">
        <v>209</v>
      </c>
      <c r="B77" s="251" t="s">
        <v>187</v>
      </c>
      <c r="C77" s="127"/>
      <c r="D77" s="127"/>
      <c r="E77" s="92"/>
    </row>
    <row r="78" spans="1:5" s="135" customFormat="1" ht="12" customHeight="1" thickBot="1">
      <c r="A78" s="14" t="s">
        <v>210</v>
      </c>
      <c r="B78" s="252" t="s">
        <v>420</v>
      </c>
      <c r="C78" s="127"/>
      <c r="D78" s="127"/>
      <c r="E78" s="92"/>
    </row>
    <row r="79" spans="1:5" s="135" customFormat="1" ht="12" customHeight="1" thickBot="1">
      <c r="A79" s="172" t="s">
        <v>188</v>
      </c>
      <c r="B79" s="95" t="s">
        <v>189</v>
      </c>
      <c r="C79" s="123">
        <f>SUM(C80:C81)</f>
        <v>456129719</v>
      </c>
      <c r="D79" s="123">
        <f>SUM(D80:D81)</f>
        <v>456129719</v>
      </c>
      <c r="E79" s="88">
        <f>SUM(E80:E81)</f>
        <v>396335430</v>
      </c>
    </row>
    <row r="80" spans="1:5" s="135" customFormat="1" ht="12" customHeight="1">
      <c r="A80" s="13" t="s">
        <v>211</v>
      </c>
      <c r="B80" s="136" t="s">
        <v>190</v>
      </c>
      <c r="C80" s="127">
        <v>456129719</v>
      </c>
      <c r="D80" s="127">
        <v>456129719</v>
      </c>
      <c r="E80" s="92">
        <v>396335430</v>
      </c>
    </row>
    <row r="81" spans="1:5" s="135" customFormat="1" ht="12" customHeight="1" thickBot="1">
      <c r="A81" s="14" t="s">
        <v>212</v>
      </c>
      <c r="B81" s="97" t="s">
        <v>191</v>
      </c>
      <c r="C81" s="127"/>
      <c r="D81" s="127"/>
      <c r="E81" s="92"/>
    </row>
    <row r="82" spans="1:5" s="135" customFormat="1" ht="12" customHeight="1" thickBot="1">
      <c r="A82" s="172" t="s">
        <v>192</v>
      </c>
      <c r="B82" s="95" t="s">
        <v>193</v>
      </c>
      <c r="C82" s="123">
        <f>SUM(C83:C85)</f>
        <v>5034671</v>
      </c>
      <c r="D82" s="123">
        <f>SUM(D83:D85)</f>
        <v>5034671</v>
      </c>
      <c r="E82" s="88">
        <f>SUM(E83:E85)</f>
        <v>6385218</v>
      </c>
    </row>
    <row r="83" spans="1:5" s="135" customFormat="1" ht="12" customHeight="1">
      <c r="A83" s="13" t="s">
        <v>213</v>
      </c>
      <c r="B83" s="136" t="s">
        <v>194</v>
      </c>
      <c r="C83" s="127">
        <v>5034671</v>
      </c>
      <c r="D83" s="127">
        <v>5034671</v>
      </c>
      <c r="E83" s="92">
        <v>6385218</v>
      </c>
    </row>
    <row r="84" spans="1:5" s="135" customFormat="1" ht="12" customHeight="1">
      <c r="A84" s="12" t="s">
        <v>214</v>
      </c>
      <c r="B84" s="137" t="s">
        <v>195</v>
      </c>
      <c r="C84" s="127"/>
      <c r="D84" s="127"/>
      <c r="E84" s="92"/>
    </row>
    <row r="85" spans="1:5" s="135" customFormat="1" ht="12" customHeight="1" thickBot="1">
      <c r="A85" s="14" t="s">
        <v>215</v>
      </c>
      <c r="B85" s="97" t="s">
        <v>421</v>
      </c>
      <c r="C85" s="127"/>
      <c r="D85" s="127"/>
      <c r="E85" s="92"/>
    </row>
    <row r="86" spans="1:5" s="135" customFormat="1" ht="12" customHeight="1" thickBot="1">
      <c r="A86" s="172" t="s">
        <v>196</v>
      </c>
      <c r="B86" s="95" t="s">
        <v>216</v>
      </c>
      <c r="C86" s="123">
        <f>SUM(C87:C90)</f>
        <v>0</v>
      </c>
      <c r="D86" s="123">
        <f>SUM(D87:D90)</f>
        <v>0</v>
      </c>
      <c r="E86" s="88">
        <f>SUM(E87:E90)</f>
        <v>0</v>
      </c>
    </row>
    <row r="87" spans="1:5" s="135" customFormat="1" ht="12" customHeight="1">
      <c r="A87" s="140" t="s">
        <v>197</v>
      </c>
      <c r="B87" s="136" t="s">
        <v>198</v>
      </c>
      <c r="C87" s="127"/>
      <c r="D87" s="127"/>
      <c r="E87" s="92"/>
    </row>
    <row r="88" spans="1:5" s="135" customFormat="1" ht="12" customHeight="1">
      <c r="A88" s="141" t="s">
        <v>199</v>
      </c>
      <c r="B88" s="137" t="s">
        <v>200</v>
      </c>
      <c r="C88" s="127"/>
      <c r="D88" s="127"/>
      <c r="E88" s="92"/>
    </row>
    <row r="89" spans="1:5" s="135" customFormat="1" ht="12" customHeight="1">
      <c r="A89" s="141" t="s">
        <v>201</v>
      </c>
      <c r="B89" s="137" t="s">
        <v>202</v>
      </c>
      <c r="C89" s="127"/>
      <c r="D89" s="127"/>
      <c r="E89" s="92"/>
    </row>
    <row r="90" spans="1:5" s="135" customFormat="1" ht="12" customHeight="1" thickBot="1">
      <c r="A90" s="142" t="s">
        <v>203</v>
      </c>
      <c r="B90" s="97" t="s">
        <v>204</v>
      </c>
      <c r="C90" s="127"/>
      <c r="D90" s="127"/>
      <c r="E90" s="92"/>
    </row>
    <row r="91" spans="1:5" s="135" customFormat="1" ht="12" customHeight="1" thickBot="1">
      <c r="A91" s="172" t="s">
        <v>205</v>
      </c>
      <c r="B91" s="95" t="s">
        <v>319</v>
      </c>
      <c r="C91" s="174"/>
      <c r="D91" s="174"/>
      <c r="E91" s="175"/>
    </row>
    <row r="92" spans="1:5" s="135" customFormat="1" ht="13.5" customHeight="1" thickBot="1">
      <c r="A92" s="172" t="s">
        <v>207</v>
      </c>
      <c r="B92" s="95" t="s">
        <v>206</v>
      </c>
      <c r="C92" s="174"/>
      <c r="D92" s="174"/>
      <c r="E92" s="175"/>
    </row>
    <row r="93" spans="1:5" s="135" customFormat="1" ht="15.75" customHeight="1" thickBot="1">
      <c r="A93" s="172" t="s">
        <v>219</v>
      </c>
      <c r="B93" s="143" t="s">
        <v>322</v>
      </c>
      <c r="C93" s="129">
        <f>+C70+C74+C79+C82+C86+C92+C91</f>
        <v>461164390</v>
      </c>
      <c r="D93" s="129">
        <f>+D70+D74+D79+D82+D86+D92+D91</f>
        <v>461164390</v>
      </c>
      <c r="E93" s="160">
        <f>+E70+E74+E79+E82+E86+E92+E91</f>
        <v>402720648</v>
      </c>
    </row>
    <row r="94" spans="1:5" s="135" customFormat="1" ht="25.5" customHeight="1" thickBot="1">
      <c r="A94" s="173" t="s">
        <v>321</v>
      </c>
      <c r="B94" s="144" t="s">
        <v>323</v>
      </c>
      <c r="C94" s="129">
        <f>+C69+C93</f>
        <v>718166564</v>
      </c>
      <c r="D94" s="129">
        <f>+D69+D93</f>
        <v>754141959</v>
      </c>
      <c r="E94" s="160">
        <f>+E69+E93</f>
        <v>701831118</v>
      </c>
    </row>
    <row r="95" spans="1:3" s="135" customFormat="1" ht="15" customHeight="1">
      <c r="A95" s="3"/>
      <c r="B95" s="4"/>
      <c r="C95" s="99"/>
    </row>
    <row r="96" spans="1:5" ht="16.5" customHeight="1">
      <c r="A96" s="591" t="s">
        <v>33</v>
      </c>
      <c r="B96" s="591"/>
      <c r="C96" s="591"/>
      <c r="D96" s="591"/>
      <c r="E96" s="591"/>
    </row>
    <row r="97" spans="1:5" s="145" customFormat="1" ht="16.5" customHeight="1" thickBot="1">
      <c r="A97" s="593" t="s">
        <v>98</v>
      </c>
      <c r="B97" s="593"/>
      <c r="C97" s="59"/>
      <c r="E97" s="59" t="str">
        <f>E7</f>
        <v> Forintban!</v>
      </c>
    </row>
    <row r="98" spans="1:5" ht="15.75">
      <c r="A98" s="582" t="s">
        <v>49</v>
      </c>
      <c r="B98" s="584" t="s">
        <v>360</v>
      </c>
      <c r="C98" s="586" t="str">
        <f>+CONCATENATE(LEFT(Z_ÖSSZEFÜGGÉSEK!A6,4),". évi")</f>
        <v>2019. évi</v>
      </c>
      <c r="D98" s="587"/>
      <c r="E98" s="588"/>
    </row>
    <row r="99" spans="1:5" ht="24.75" thickBot="1">
      <c r="A99" s="583"/>
      <c r="B99" s="585"/>
      <c r="C99" s="201" t="s">
        <v>358</v>
      </c>
      <c r="D99" s="200" t="s">
        <v>359</v>
      </c>
      <c r="E99" s="253" t="str">
        <f>CONCATENATE(E9)</f>
        <v>2019. XII. 31.
teljesítés</v>
      </c>
    </row>
    <row r="100" spans="1:5" s="134" customFormat="1" ht="12" customHeight="1" thickBot="1">
      <c r="A100" s="25" t="s">
        <v>325</v>
      </c>
      <c r="B100" s="26" t="s">
        <v>326</v>
      </c>
      <c r="C100" s="26" t="s">
        <v>327</v>
      </c>
      <c r="D100" s="26" t="s">
        <v>329</v>
      </c>
      <c r="E100" s="212" t="s">
        <v>328</v>
      </c>
    </row>
    <row r="101" spans="1:5" ht="12" customHeight="1" thickBot="1">
      <c r="A101" s="20" t="s">
        <v>5</v>
      </c>
      <c r="B101" s="24" t="s">
        <v>281</v>
      </c>
      <c r="C101" s="122">
        <f>C102+C103+C104+C105+C106+C119</f>
        <v>137339121</v>
      </c>
      <c r="D101" s="122">
        <f>D102+D103+D104+D105+D106+D119</f>
        <v>141521547</v>
      </c>
      <c r="E101" s="187">
        <f>E102+E103+E104+E105+E106+E119</f>
        <v>116869092</v>
      </c>
    </row>
    <row r="102" spans="1:5" ht="12" customHeight="1">
      <c r="A102" s="15" t="s">
        <v>61</v>
      </c>
      <c r="B102" s="8" t="s">
        <v>34</v>
      </c>
      <c r="C102" s="194">
        <v>91676884</v>
      </c>
      <c r="D102" s="194">
        <v>97885235</v>
      </c>
      <c r="E102" s="188">
        <v>77515633</v>
      </c>
    </row>
    <row r="103" spans="1:5" ht="12" customHeight="1">
      <c r="A103" s="12" t="s">
        <v>62</v>
      </c>
      <c r="B103" s="6" t="s">
        <v>112</v>
      </c>
      <c r="C103" s="124">
        <v>18095480</v>
      </c>
      <c r="D103" s="124">
        <v>16156593</v>
      </c>
      <c r="E103" s="89">
        <v>13365489</v>
      </c>
    </row>
    <row r="104" spans="1:5" ht="12" customHeight="1">
      <c r="A104" s="12" t="s">
        <v>63</v>
      </c>
      <c r="B104" s="6" t="s">
        <v>87</v>
      </c>
      <c r="C104" s="126">
        <v>24066757</v>
      </c>
      <c r="D104" s="126">
        <v>27247719</v>
      </c>
      <c r="E104" s="91">
        <v>25756658</v>
      </c>
    </row>
    <row r="105" spans="1:5" ht="12" customHeight="1">
      <c r="A105" s="12" t="s">
        <v>64</v>
      </c>
      <c r="B105" s="9" t="s">
        <v>113</v>
      </c>
      <c r="C105" s="126"/>
      <c r="D105" s="126"/>
      <c r="E105" s="91"/>
    </row>
    <row r="106" spans="1:5" ht="12" customHeight="1">
      <c r="A106" s="12" t="s">
        <v>73</v>
      </c>
      <c r="B106" s="17" t="s">
        <v>114</v>
      </c>
      <c r="C106" s="126">
        <v>3500000</v>
      </c>
      <c r="D106" s="126">
        <v>232000</v>
      </c>
      <c r="E106" s="91">
        <v>231312</v>
      </c>
    </row>
    <row r="107" spans="1:5" ht="12" customHeight="1">
      <c r="A107" s="12" t="s">
        <v>65</v>
      </c>
      <c r="B107" s="6" t="s">
        <v>286</v>
      </c>
      <c r="C107" s="126">
        <v>3500000</v>
      </c>
      <c r="D107" s="126">
        <v>232000</v>
      </c>
      <c r="E107" s="91">
        <v>231312</v>
      </c>
    </row>
    <row r="108" spans="1:5" ht="12" customHeight="1">
      <c r="A108" s="12" t="s">
        <v>66</v>
      </c>
      <c r="B108" s="63" t="s">
        <v>285</v>
      </c>
      <c r="C108" s="126"/>
      <c r="D108" s="126"/>
      <c r="E108" s="91"/>
    </row>
    <row r="109" spans="1:5" ht="12" customHeight="1">
      <c r="A109" s="12" t="s">
        <v>74</v>
      </c>
      <c r="B109" s="63" t="s">
        <v>284</v>
      </c>
      <c r="C109" s="126"/>
      <c r="D109" s="126"/>
      <c r="E109" s="91"/>
    </row>
    <row r="110" spans="1:5" ht="12" customHeight="1">
      <c r="A110" s="12" t="s">
        <v>75</v>
      </c>
      <c r="B110" s="61" t="s">
        <v>222</v>
      </c>
      <c r="C110" s="126"/>
      <c r="D110" s="126"/>
      <c r="E110" s="91"/>
    </row>
    <row r="111" spans="1:5" ht="12" customHeight="1">
      <c r="A111" s="12" t="s">
        <v>76</v>
      </c>
      <c r="B111" s="62" t="s">
        <v>223</v>
      </c>
      <c r="C111" s="126"/>
      <c r="D111" s="126"/>
      <c r="E111" s="91"/>
    </row>
    <row r="112" spans="1:5" ht="12" customHeight="1">
      <c r="A112" s="12" t="s">
        <v>77</v>
      </c>
      <c r="B112" s="62" t="s">
        <v>224</v>
      </c>
      <c r="C112" s="126"/>
      <c r="D112" s="126"/>
      <c r="E112" s="91"/>
    </row>
    <row r="113" spans="1:5" ht="12" customHeight="1">
      <c r="A113" s="12" t="s">
        <v>79</v>
      </c>
      <c r="B113" s="61" t="s">
        <v>225</v>
      </c>
      <c r="C113" s="126"/>
      <c r="D113" s="126"/>
      <c r="E113" s="91"/>
    </row>
    <row r="114" spans="1:5" ht="12" customHeight="1">
      <c r="A114" s="12" t="s">
        <v>115</v>
      </c>
      <c r="B114" s="61" t="s">
        <v>226</v>
      </c>
      <c r="C114" s="126"/>
      <c r="D114" s="126"/>
      <c r="E114" s="91"/>
    </row>
    <row r="115" spans="1:5" ht="12" customHeight="1">
      <c r="A115" s="12" t="s">
        <v>220</v>
      </c>
      <c r="B115" s="62" t="s">
        <v>227</v>
      </c>
      <c r="C115" s="126"/>
      <c r="D115" s="126"/>
      <c r="E115" s="91"/>
    </row>
    <row r="116" spans="1:5" ht="12" customHeight="1">
      <c r="A116" s="11" t="s">
        <v>221</v>
      </c>
      <c r="B116" s="63" t="s">
        <v>228</v>
      </c>
      <c r="C116" s="126"/>
      <c r="D116" s="126"/>
      <c r="E116" s="91"/>
    </row>
    <row r="117" spans="1:5" ht="12" customHeight="1">
      <c r="A117" s="12" t="s">
        <v>282</v>
      </c>
      <c r="B117" s="63" t="s">
        <v>229</v>
      </c>
      <c r="C117" s="126"/>
      <c r="D117" s="126"/>
      <c r="E117" s="91"/>
    </row>
    <row r="118" spans="1:5" ht="12" customHeight="1">
      <c r="A118" s="14" t="s">
        <v>283</v>
      </c>
      <c r="B118" s="63" t="s">
        <v>230</v>
      </c>
      <c r="C118" s="126"/>
      <c r="D118" s="126"/>
      <c r="E118" s="91"/>
    </row>
    <row r="119" spans="1:5" ht="12" customHeight="1">
      <c r="A119" s="12" t="s">
        <v>287</v>
      </c>
      <c r="B119" s="9" t="s">
        <v>35</v>
      </c>
      <c r="C119" s="124"/>
      <c r="D119" s="124"/>
      <c r="E119" s="89"/>
    </row>
    <row r="120" spans="1:5" ht="12" customHeight="1">
      <c r="A120" s="12" t="s">
        <v>288</v>
      </c>
      <c r="B120" s="6" t="s">
        <v>290</v>
      </c>
      <c r="C120" s="124"/>
      <c r="D120" s="124"/>
      <c r="E120" s="89"/>
    </row>
    <row r="121" spans="1:5" ht="12" customHeight="1" thickBot="1">
      <c r="A121" s="16" t="s">
        <v>289</v>
      </c>
      <c r="B121" s="184" t="s">
        <v>291</v>
      </c>
      <c r="C121" s="195"/>
      <c r="D121" s="195"/>
      <c r="E121" s="189"/>
    </row>
    <row r="122" spans="1:5" ht="12" customHeight="1" thickBot="1">
      <c r="A122" s="182" t="s">
        <v>6</v>
      </c>
      <c r="B122" s="183" t="s">
        <v>231</v>
      </c>
      <c r="C122" s="196">
        <f>+C123+C125+C127</f>
        <v>1552000</v>
      </c>
      <c r="D122" s="123">
        <f>+D123+D125+D127</f>
        <v>1587800</v>
      </c>
      <c r="E122" s="190">
        <f>+E123+E125+E127</f>
        <v>1586383</v>
      </c>
    </row>
    <row r="123" spans="1:5" ht="12" customHeight="1">
      <c r="A123" s="13" t="s">
        <v>67</v>
      </c>
      <c r="B123" s="6" t="s">
        <v>122</v>
      </c>
      <c r="C123" s="125">
        <v>1552000</v>
      </c>
      <c r="D123" s="205">
        <v>1587800</v>
      </c>
      <c r="E123" s="90">
        <v>1586383</v>
      </c>
    </row>
    <row r="124" spans="1:5" ht="12" customHeight="1">
      <c r="A124" s="13" t="s">
        <v>68</v>
      </c>
      <c r="B124" s="10" t="s">
        <v>235</v>
      </c>
      <c r="C124" s="125"/>
      <c r="D124" s="205"/>
      <c r="E124" s="90"/>
    </row>
    <row r="125" spans="1:5" ht="12" customHeight="1">
      <c r="A125" s="13" t="s">
        <v>69</v>
      </c>
      <c r="B125" s="10" t="s">
        <v>116</v>
      </c>
      <c r="C125" s="124"/>
      <c r="D125" s="206"/>
      <c r="E125" s="89"/>
    </row>
    <row r="126" spans="1:5" ht="12" customHeight="1">
      <c r="A126" s="13" t="s">
        <v>70</v>
      </c>
      <c r="B126" s="10" t="s">
        <v>236</v>
      </c>
      <c r="C126" s="124"/>
      <c r="D126" s="206"/>
      <c r="E126" s="89"/>
    </row>
    <row r="127" spans="1:5" ht="12" customHeight="1">
      <c r="A127" s="13" t="s">
        <v>71</v>
      </c>
      <c r="B127" s="97" t="s">
        <v>124</v>
      </c>
      <c r="C127" s="124"/>
      <c r="D127" s="206"/>
      <c r="E127" s="89"/>
    </row>
    <row r="128" spans="1:5" ht="12" customHeight="1">
      <c r="A128" s="13" t="s">
        <v>78</v>
      </c>
      <c r="B128" s="96" t="s">
        <v>275</v>
      </c>
      <c r="C128" s="124"/>
      <c r="D128" s="206"/>
      <c r="E128" s="89"/>
    </row>
    <row r="129" spans="1:5" ht="12" customHeight="1">
      <c r="A129" s="13" t="s">
        <v>80</v>
      </c>
      <c r="B129" s="132" t="s">
        <v>241</v>
      </c>
      <c r="C129" s="124"/>
      <c r="D129" s="206"/>
      <c r="E129" s="89"/>
    </row>
    <row r="130" spans="1:5" ht="15.75">
      <c r="A130" s="13" t="s">
        <v>117</v>
      </c>
      <c r="B130" s="62" t="s">
        <v>224</v>
      </c>
      <c r="C130" s="124"/>
      <c r="D130" s="206"/>
      <c r="E130" s="89"/>
    </row>
    <row r="131" spans="1:5" ht="12" customHeight="1">
      <c r="A131" s="13" t="s">
        <v>118</v>
      </c>
      <c r="B131" s="62" t="s">
        <v>240</v>
      </c>
      <c r="C131" s="124"/>
      <c r="D131" s="206"/>
      <c r="E131" s="89"/>
    </row>
    <row r="132" spans="1:5" ht="12" customHeight="1">
      <c r="A132" s="13" t="s">
        <v>119</v>
      </c>
      <c r="B132" s="62" t="s">
        <v>239</v>
      </c>
      <c r="C132" s="124"/>
      <c r="D132" s="206"/>
      <c r="E132" s="89"/>
    </row>
    <row r="133" spans="1:5" ht="12" customHeight="1">
      <c r="A133" s="13" t="s">
        <v>232</v>
      </c>
      <c r="B133" s="62" t="s">
        <v>227</v>
      </c>
      <c r="C133" s="124"/>
      <c r="D133" s="206"/>
      <c r="E133" s="89"/>
    </row>
    <row r="134" spans="1:5" ht="12" customHeight="1">
      <c r="A134" s="13" t="s">
        <v>233</v>
      </c>
      <c r="B134" s="62" t="s">
        <v>238</v>
      </c>
      <c r="C134" s="124"/>
      <c r="D134" s="206"/>
      <c r="E134" s="89"/>
    </row>
    <row r="135" spans="1:5" ht="16.5" thickBot="1">
      <c r="A135" s="11" t="s">
        <v>234</v>
      </c>
      <c r="B135" s="62" t="s">
        <v>237</v>
      </c>
      <c r="C135" s="126"/>
      <c r="D135" s="207"/>
      <c r="E135" s="91"/>
    </row>
    <row r="136" spans="1:5" ht="12" customHeight="1" thickBot="1">
      <c r="A136" s="18" t="s">
        <v>7</v>
      </c>
      <c r="B136" s="56" t="s">
        <v>292</v>
      </c>
      <c r="C136" s="123">
        <f>+C101+C122</f>
        <v>138891121</v>
      </c>
      <c r="D136" s="204">
        <f>+D101+D122</f>
        <v>143109347</v>
      </c>
      <c r="E136" s="88">
        <f>+E101+E122</f>
        <v>118455475</v>
      </c>
    </row>
    <row r="137" spans="1:5" ht="12" customHeight="1" thickBot="1">
      <c r="A137" s="18" t="s">
        <v>8</v>
      </c>
      <c r="B137" s="56" t="s">
        <v>361</v>
      </c>
      <c r="C137" s="123">
        <f>+C138+C139+C140</f>
        <v>0</v>
      </c>
      <c r="D137" s="204">
        <f>+D138+D139+D140</f>
        <v>0</v>
      </c>
      <c r="E137" s="88">
        <f>+E138+E139+E140</f>
        <v>0</v>
      </c>
    </row>
    <row r="138" spans="1:5" ht="12" customHeight="1">
      <c r="A138" s="13" t="s">
        <v>141</v>
      </c>
      <c r="B138" s="10" t="s">
        <v>300</v>
      </c>
      <c r="C138" s="124"/>
      <c r="D138" s="206"/>
      <c r="E138" s="89"/>
    </row>
    <row r="139" spans="1:5" ht="12" customHeight="1">
      <c r="A139" s="13" t="s">
        <v>142</v>
      </c>
      <c r="B139" s="10" t="s">
        <v>301</v>
      </c>
      <c r="C139" s="124"/>
      <c r="D139" s="206"/>
      <c r="E139" s="89"/>
    </row>
    <row r="140" spans="1:5" ht="12" customHeight="1" thickBot="1">
      <c r="A140" s="11" t="s">
        <v>143</v>
      </c>
      <c r="B140" s="10" t="s">
        <v>302</v>
      </c>
      <c r="C140" s="124"/>
      <c r="D140" s="206"/>
      <c r="E140" s="89"/>
    </row>
    <row r="141" spans="1:5" ht="12" customHeight="1" thickBot="1">
      <c r="A141" s="18" t="s">
        <v>9</v>
      </c>
      <c r="B141" s="56" t="s">
        <v>294</v>
      </c>
      <c r="C141" s="123">
        <f>SUM(C142:C147)</f>
        <v>0</v>
      </c>
      <c r="D141" s="204">
        <f>SUM(D142:D147)</f>
        <v>0</v>
      </c>
      <c r="E141" s="88">
        <f>SUM(E142:E147)</f>
        <v>0</v>
      </c>
    </row>
    <row r="142" spans="1:5" ht="12" customHeight="1">
      <c r="A142" s="13" t="s">
        <v>54</v>
      </c>
      <c r="B142" s="7" t="s">
        <v>303</v>
      </c>
      <c r="C142" s="124"/>
      <c r="D142" s="206"/>
      <c r="E142" s="89"/>
    </row>
    <row r="143" spans="1:5" ht="12" customHeight="1">
      <c r="A143" s="13" t="s">
        <v>55</v>
      </c>
      <c r="B143" s="7" t="s">
        <v>295</v>
      </c>
      <c r="C143" s="124"/>
      <c r="D143" s="206"/>
      <c r="E143" s="89"/>
    </row>
    <row r="144" spans="1:5" ht="12" customHeight="1">
      <c r="A144" s="13" t="s">
        <v>56</v>
      </c>
      <c r="B144" s="7" t="s">
        <v>296</v>
      </c>
      <c r="C144" s="124"/>
      <c r="D144" s="206"/>
      <c r="E144" s="89"/>
    </row>
    <row r="145" spans="1:5" ht="12" customHeight="1">
      <c r="A145" s="13" t="s">
        <v>104</v>
      </c>
      <c r="B145" s="7" t="s">
        <v>297</v>
      </c>
      <c r="C145" s="124"/>
      <c r="D145" s="206"/>
      <c r="E145" s="89"/>
    </row>
    <row r="146" spans="1:5" ht="12" customHeight="1">
      <c r="A146" s="13" t="s">
        <v>105</v>
      </c>
      <c r="B146" s="7" t="s">
        <v>298</v>
      </c>
      <c r="C146" s="124"/>
      <c r="D146" s="206"/>
      <c r="E146" s="89"/>
    </row>
    <row r="147" spans="1:5" ht="12" customHeight="1" thickBot="1">
      <c r="A147" s="16" t="s">
        <v>106</v>
      </c>
      <c r="B147" s="257" t="s">
        <v>299</v>
      </c>
      <c r="C147" s="195"/>
      <c r="D147" s="238"/>
      <c r="E147" s="189"/>
    </row>
    <row r="148" spans="1:5" ht="12" customHeight="1" thickBot="1">
      <c r="A148" s="18" t="s">
        <v>10</v>
      </c>
      <c r="B148" s="56" t="s">
        <v>307</v>
      </c>
      <c r="C148" s="129">
        <f>+C149+C150+C151+C152</f>
        <v>5034671</v>
      </c>
      <c r="D148" s="208">
        <f>+D149+D150+D151+D152</f>
        <v>5034671</v>
      </c>
      <c r="E148" s="160">
        <f>+E149+E150+E151+E152</f>
        <v>5034671</v>
      </c>
    </row>
    <row r="149" spans="1:5" ht="12" customHeight="1">
      <c r="A149" s="13" t="s">
        <v>57</v>
      </c>
      <c r="B149" s="7" t="s">
        <v>242</v>
      </c>
      <c r="C149" s="124"/>
      <c r="D149" s="206"/>
      <c r="E149" s="89"/>
    </row>
    <row r="150" spans="1:5" ht="12" customHeight="1">
      <c r="A150" s="13" t="s">
        <v>58</v>
      </c>
      <c r="B150" s="7" t="s">
        <v>243</v>
      </c>
      <c r="C150" s="124">
        <v>5034671</v>
      </c>
      <c r="D150" s="206">
        <v>5034671</v>
      </c>
      <c r="E150" s="89">
        <v>5034671</v>
      </c>
    </row>
    <row r="151" spans="1:5" ht="12" customHeight="1">
      <c r="A151" s="13" t="s">
        <v>159</v>
      </c>
      <c r="B151" s="7" t="s">
        <v>308</v>
      </c>
      <c r="C151" s="124"/>
      <c r="D151" s="206"/>
      <c r="E151" s="89"/>
    </row>
    <row r="152" spans="1:5" ht="12" customHeight="1" thickBot="1">
      <c r="A152" s="11" t="s">
        <v>160</v>
      </c>
      <c r="B152" s="5" t="s">
        <v>246</v>
      </c>
      <c r="C152" s="124"/>
      <c r="D152" s="206"/>
      <c r="E152" s="89"/>
    </row>
    <row r="153" spans="1:5" ht="12" customHeight="1" thickBot="1">
      <c r="A153" s="18" t="s">
        <v>11</v>
      </c>
      <c r="B153" s="56" t="s">
        <v>309</v>
      </c>
      <c r="C153" s="197">
        <f>SUM(C154:C158)</f>
        <v>0</v>
      </c>
      <c r="D153" s="209">
        <f>SUM(D154:D158)</f>
        <v>0</v>
      </c>
      <c r="E153" s="191">
        <f>SUM(E154:E158)</f>
        <v>0</v>
      </c>
    </row>
    <row r="154" spans="1:5" ht="12" customHeight="1">
      <c r="A154" s="13" t="s">
        <v>59</v>
      </c>
      <c r="B154" s="7" t="s">
        <v>304</v>
      </c>
      <c r="C154" s="124"/>
      <c r="D154" s="206"/>
      <c r="E154" s="89"/>
    </row>
    <row r="155" spans="1:5" ht="12" customHeight="1">
      <c r="A155" s="13" t="s">
        <v>60</v>
      </c>
      <c r="B155" s="7" t="s">
        <v>311</v>
      </c>
      <c r="C155" s="124"/>
      <c r="D155" s="206"/>
      <c r="E155" s="89"/>
    </row>
    <row r="156" spans="1:5" ht="12" customHeight="1">
      <c r="A156" s="13" t="s">
        <v>171</v>
      </c>
      <c r="B156" s="7" t="s">
        <v>306</v>
      </c>
      <c r="C156" s="124"/>
      <c r="D156" s="206"/>
      <c r="E156" s="89"/>
    </row>
    <row r="157" spans="1:5" ht="12" customHeight="1">
      <c r="A157" s="13" t="s">
        <v>172</v>
      </c>
      <c r="B157" s="7" t="s">
        <v>312</v>
      </c>
      <c r="C157" s="124"/>
      <c r="D157" s="206"/>
      <c r="E157" s="89"/>
    </row>
    <row r="158" spans="1:5" ht="12" customHeight="1" thickBot="1">
      <c r="A158" s="13" t="s">
        <v>310</v>
      </c>
      <c r="B158" s="7" t="s">
        <v>313</v>
      </c>
      <c r="C158" s="124"/>
      <c r="D158" s="206"/>
      <c r="E158" s="89"/>
    </row>
    <row r="159" spans="1:5" ht="12" customHeight="1" thickBot="1">
      <c r="A159" s="18" t="s">
        <v>12</v>
      </c>
      <c r="B159" s="56" t="s">
        <v>314</v>
      </c>
      <c r="C159" s="198"/>
      <c r="D159" s="210"/>
      <c r="E159" s="192"/>
    </row>
    <row r="160" spans="1:5" ht="12" customHeight="1" thickBot="1">
      <c r="A160" s="18" t="s">
        <v>13</v>
      </c>
      <c r="B160" s="56" t="s">
        <v>315</v>
      </c>
      <c r="C160" s="198"/>
      <c r="D160" s="210"/>
      <c r="E160" s="192"/>
    </row>
    <row r="161" spans="1:9" ht="15" customHeight="1" thickBot="1">
      <c r="A161" s="18" t="s">
        <v>14</v>
      </c>
      <c r="B161" s="56" t="s">
        <v>317</v>
      </c>
      <c r="C161" s="199">
        <f>+C137+C141+C148+C153+C159+C160</f>
        <v>5034671</v>
      </c>
      <c r="D161" s="211">
        <f>+D137+D141+D148+D153+D159+D160</f>
        <v>5034671</v>
      </c>
      <c r="E161" s="193">
        <f>+E137+E141+E148+E153+E159+E160</f>
        <v>5034671</v>
      </c>
      <c r="F161" s="146"/>
      <c r="G161" s="147"/>
      <c r="H161" s="147"/>
      <c r="I161" s="147"/>
    </row>
    <row r="162" spans="1:5" s="135" customFormat="1" ht="12.75" customHeight="1" thickBot="1">
      <c r="A162" s="98" t="s">
        <v>15</v>
      </c>
      <c r="B162" s="113" t="s">
        <v>316</v>
      </c>
      <c r="C162" s="199">
        <f>+C136+C161</f>
        <v>143925792</v>
      </c>
      <c r="D162" s="211">
        <f>+D136+D161</f>
        <v>148144018</v>
      </c>
      <c r="E162" s="193">
        <f>+E136+E161</f>
        <v>123490146</v>
      </c>
    </row>
    <row r="163" spans="3:4" ht="15.75">
      <c r="C163" s="460">
        <f>C94-C162</f>
        <v>574240772</v>
      </c>
      <c r="D163" s="460">
        <f>D94-D162</f>
        <v>605997941</v>
      </c>
    </row>
    <row r="164" spans="1:5" ht="15.75">
      <c r="A164" s="589" t="s">
        <v>244</v>
      </c>
      <c r="B164" s="589"/>
      <c r="C164" s="589"/>
      <c r="D164" s="589"/>
      <c r="E164" s="589"/>
    </row>
    <row r="165" spans="1:5" ht="15" customHeight="1" thickBot="1">
      <c r="A165" s="581" t="s">
        <v>99</v>
      </c>
      <c r="B165" s="581"/>
      <c r="C165" s="100"/>
      <c r="E165" s="100" t="str">
        <f>E97</f>
        <v> Forintban!</v>
      </c>
    </row>
    <row r="166" spans="1:5" ht="25.5" customHeight="1" thickBot="1">
      <c r="A166" s="18">
        <v>1</v>
      </c>
      <c r="B166" s="23" t="s">
        <v>318</v>
      </c>
      <c r="C166" s="203">
        <f>+C69-C136</f>
        <v>118111053</v>
      </c>
      <c r="D166" s="123">
        <f>+D69-D136</f>
        <v>149868222</v>
      </c>
      <c r="E166" s="88">
        <f>+E69-E136</f>
        <v>180654995</v>
      </c>
    </row>
    <row r="167" spans="1:5" ht="32.25" customHeight="1" thickBot="1">
      <c r="A167" s="18" t="s">
        <v>6</v>
      </c>
      <c r="B167" s="23" t="s">
        <v>324</v>
      </c>
      <c r="C167" s="123">
        <f>+C93-C161</f>
        <v>456129719</v>
      </c>
      <c r="D167" s="123">
        <f>+D93-D161</f>
        <v>456129719</v>
      </c>
      <c r="E167" s="88">
        <f>+E93-E161</f>
        <v>397685977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6"/>
  <sheetViews>
    <sheetView zoomScale="120" zoomScaleNormal="120" zoomScaleSheetLayoutView="100" workbookViewId="0" topLeftCell="A1">
      <selection activeCell="I33" sqref="I33"/>
    </sheetView>
  </sheetViews>
  <sheetFormatPr defaultColWidth="9.00390625" defaultRowHeight="12.75"/>
  <cols>
    <col min="1" max="1" width="9.50390625" style="114" customWidth="1"/>
    <col min="2" max="2" width="65.875" style="114" customWidth="1"/>
    <col min="3" max="3" width="17.875" style="115" customWidth="1"/>
    <col min="4" max="5" width="17.875" style="133" customWidth="1"/>
    <col min="6" max="16384" width="9.375" style="133" customWidth="1"/>
  </cols>
  <sheetData>
    <row r="1" spans="1:5" ht="15.75">
      <c r="A1" s="258"/>
      <c r="B1" s="576" t="str">
        <f>CONCATENATE("1.3. melléklet ",Z_ALAPADATOK!A7," ",Z_ALAPADATOK!B7," ",Z_ALAPADATOK!C7," ",Z_ALAPADATOK!D7," ",Z_ALAPADATOK!E7," ",Z_ALAPADATOK!F7," ",Z_ALAPADATOK!G7," ",Z_ALAPADATOK!H7)</f>
        <v>1.3. melléklet a 12 / 2020. ( VI.11. ) önkormányzati rendelethez</v>
      </c>
      <c r="C1" s="577"/>
      <c r="D1" s="577"/>
      <c r="E1" s="577"/>
    </row>
    <row r="2" spans="1:5" ht="15.75">
      <c r="A2" s="578" t="str">
        <f>CONCATENATE(Z_ALAPADATOK!A3)</f>
        <v>Karácsond Községi Önkormányzat</v>
      </c>
      <c r="B2" s="579"/>
      <c r="C2" s="579"/>
      <c r="D2" s="579"/>
      <c r="E2" s="579"/>
    </row>
    <row r="3" spans="1:5" ht="15.75">
      <c r="A3" s="578" t="str">
        <f>CONCATENATE(Z_ALAPADATOK!B1,". ÉVI ZÁRSZÁMADÁS")</f>
        <v>2019. ÉVI ZÁRSZÁMADÁS</v>
      </c>
      <c r="B3" s="578"/>
      <c r="C3" s="580"/>
      <c r="D3" s="578"/>
      <c r="E3" s="578"/>
    </row>
    <row r="4" spans="1:5" ht="19.5" customHeight="1">
      <c r="A4" s="578" t="s">
        <v>687</v>
      </c>
      <c r="B4" s="578"/>
      <c r="C4" s="580"/>
      <c r="D4" s="578"/>
      <c r="E4" s="578"/>
    </row>
    <row r="5" spans="1:5" ht="15.75">
      <c r="A5" s="258"/>
      <c r="B5" s="258"/>
      <c r="C5" s="259"/>
      <c r="D5" s="260"/>
      <c r="E5" s="260"/>
    </row>
    <row r="6" spans="1:5" ht="15.75" customHeight="1">
      <c r="A6" s="590" t="s">
        <v>2</v>
      </c>
      <c r="B6" s="590"/>
      <c r="C6" s="590"/>
      <c r="D6" s="590"/>
      <c r="E6" s="590"/>
    </row>
    <row r="7" spans="1:5" ht="15.75" customHeight="1" thickBot="1">
      <c r="A7" s="592" t="s">
        <v>97</v>
      </c>
      <c r="B7" s="592"/>
      <c r="C7" s="261"/>
      <c r="D7" s="260"/>
      <c r="E7" s="261" t="str">
        <f>CONCATENATE('ÖSSZ.ÖNK KÖT.'!E7)</f>
        <v> Forintban!</v>
      </c>
    </row>
    <row r="8" spans="1:5" ht="15.75">
      <c r="A8" s="582" t="s">
        <v>49</v>
      </c>
      <c r="B8" s="584" t="s">
        <v>4</v>
      </c>
      <c r="C8" s="586" t="str">
        <f>+CONCATENATE(LEFT(Z_ÖSSZEFÜGGÉSEK!A6,4),". évi")</f>
        <v>2019. évi</v>
      </c>
      <c r="D8" s="587"/>
      <c r="E8" s="588"/>
    </row>
    <row r="9" spans="1:5" ht="24.75" thickBot="1">
      <c r="A9" s="583"/>
      <c r="B9" s="585"/>
      <c r="C9" s="201" t="s">
        <v>358</v>
      </c>
      <c r="D9" s="200" t="s">
        <v>359</v>
      </c>
      <c r="E9" s="253" t="str">
        <f>CONCATENATE('ÖSSZ.ÖNK KÖT.'!E9)</f>
        <v>2019. XII. 31.
teljesítés</v>
      </c>
    </row>
    <row r="10" spans="1:5" s="134" customFormat="1" ht="12" customHeight="1" thickBot="1">
      <c r="A10" s="130" t="s">
        <v>325</v>
      </c>
      <c r="B10" s="131" t="s">
        <v>326</v>
      </c>
      <c r="C10" s="131" t="s">
        <v>327</v>
      </c>
      <c r="D10" s="131" t="s">
        <v>329</v>
      </c>
      <c r="E10" s="202" t="s">
        <v>328</v>
      </c>
    </row>
    <row r="11" spans="1:5" s="135" customFormat="1" ht="12" customHeight="1" thickBot="1">
      <c r="A11" s="18" t="s">
        <v>5</v>
      </c>
      <c r="B11" s="19" t="s">
        <v>126</v>
      </c>
      <c r="C11" s="123">
        <f>+C12+C13+C14+C15+C16+C17</f>
        <v>0</v>
      </c>
      <c r="D11" s="123">
        <f>+D12+D13+D14+D15+D16+D17</f>
        <v>0</v>
      </c>
      <c r="E11" s="88">
        <f>+E12+E13+E14+E15+E16+E17</f>
        <v>0</v>
      </c>
    </row>
    <row r="12" spans="1:5" s="135" customFormat="1" ht="12" customHeight="1">
      <c r="A12" s="13" t="s">
        <v>61</v>
      </c>
      <c r="B12" s="136" t="s">
        <v>127</v>
      </c>
      <c r="C12" s="125"/>
      <c r="D12" s="125"/>
      <c r="E12" s="90"/>
    </row>
    <row r="13" spans="1:5" s="135" customFormat="1" ht="12" customHeight="1">
      <c r="A13" s="12" t="s">
        <v>62</v>
      </c>
      <c r="B13" s="137" t="s">
        <v>128</v>
      </c>
      <c r="C13" s="124"/>
      <c r="D13" s="124"/>
      <c r="E13" s="89"/>
    </row>
    <row r="14" spans="1:5" s="135" customFormat="1" ht="12" customHeight="1">
      <c r="A14" s="12" t="s">
        <v>63</v>
      </c>
      <c r="B14" s="137" t="s">
        <v>129</v>
      </c>
      <c r="C14" s="124"/>
      <c r="D14" s="124"/>
      <c r="E14" s="89"/>
    </row>
    <row r="15" spans="1:5" s="135" customFormat="1" ht="12" customHeight="1">
      <c r="A15" s="12" t="s">
        <v>64</v>
      </c>
      <c r="B15" s="137" t="s">
        <v>130</v>
      </c>
      <c r="C15" s="124"/>
      <c r="D15" s="124"/>
      <c r="E15" s="89"/>
    </row>
    <row r="16" spans="1:5" s="135" customFormat="1" ht="12" customHeight="1">
      <c r="A16" s="12" t="s">
        <v>94</v>
      </c>
      <c r="B16" s="96" t="s">
        <v>276</v>
      </c>
      <c r="C16" s="124"/>
      <c r="D16" s="124"/>
      <c r="E16" s="89"/>
    </row>
    <row r="17" spans="1:5" s="135" customFormat="1" ht="12" customHeight="1" thickBot="1">
      <c r="A17" s="14" t="s">
        <v>65</v>
      </c>
      <c r="B17" s="97" t="s">
        <v>277</v>
      </c>
      <c r="C17" s="124"/>
      <c r="D17" s="124"/>
      <c r="E17" s="89"/>
    </row>
    <row r="18" spans="1:5" s="135" customFormat="1" ht="12" customHeight="1" thickBot="1">
      <c r="A18" s="18" t="s">
        <v>6</v>
      </c>
      <c r="B18" s="95" t="s">
        <v>131</v>
      </c>
      <c r="C18" s="123">
        <f>+C19+C20+C21+C22+C23</f>
        <v>0</v>
      </c>
      <c r="D18" s="123">
        <f>+D19+D20+D21+D22+D23</f>
        <v>0</v>
      </c>
      <c r="E18" s="88">
        <f>+E19+E20+E21+E22+E23</f>
        <v>0</v>
      </c>
    </row>
    <row r="19" spans="1:5" s="135" customFormat="1" ht="12" customHeight="1">
      <c r="A19" s="13" t="s">
        <v>67</v>
      </c>
      <c r="B19" s="136" t="s">
        <v>132</v>
      </c>
      <c r="C19" s="125"/>
      <c r="D19" s="125"/>
      <c r="E19" s="90"/>
    </row>
    <row r="20" spans="1:5" s="135" customFormat="1" ht="12" customHeight="1">
      <c r="A20" s="12" t="s">
        <v>68</v>
      </c>
      <c r="B20" s="137" t="s">
        <v>133</v>
      </c>
      <c r="C20" s="124"/>
      <c r="D20" s="124"/>
      <c r="E20" s="89"/>
    </row>
    <row r="21" spans="1:5" s="135" customFormat="1" ht="12" customHeight="1">
      <c r="A21" s="12" t="s">
        <v>69</v>
      </c>
      <c r="B21" s="137" t="s">
        <v>269</v>
      </c>
      <c r="C21" s="124"/>
      <c r="D21" s="124"/>
      <c r="E21" s="89"/>
    </row>
    <row r="22" spans="1:5" s="135" customFormat="1" ht="12" customHeight="1">
      <c r="A22" s="12" t="s">
        <v>70</v>
      </c>
      <c r="B22" s="137" t="s">
        <v>270</v>
      </c>
      <c r="C22" s="124"/>
      <c r="D22" s="124"/>
      <c r="E22" s="89"/>
    </row>
    <row r="23" spans="1:5" s="135" customFormat="1" ht="12" customHeight="1">
      <c r="A23" s="12" t="s">
        <v>71</v>
      </c>
      <c r="B23" s="137" t="s">
        <v>134</v>
      </c>
      <c r="C23" s="124"/>
      <c r="D23" s="124"/>
      <c r="E23" s="89"/>
    </row>
    <row r="24" spans="1:5" s="135" customFormat="1" ht="12" customHeight="1" thickBot="1">
      <c r="A24" s="14" t="s">
        <v>78</v>
      </c>
      <c r="B24" s="97" t="s">
        <v>135</v>
      </c>
      <c r="C24" s="126"/>
      <c r="D24" s="126"/>
      <c r="E24" s="91"/>
    </row>
    <row r="25" spans="1:5" s="135" customFormat="1" ht="12" customHeight="1" thickBot="1">
      <c r="A25" s="18" t="s">
        <v>7</v>
      </c>
      <c r="B25" s="19" t="s">
        <v>136</v>
      </c>
      <c r="C25" s="123">
        <f>+C26+C27+C28+C29+C30</f>
        <v>148219000</v>
      </c>
      <c r="D25" s="123">
        <f>+D26+D27+D28+D29+D30</f>
        <v>147949885</v>
      </c>
      <c r="E25" s="88">
        <f>+E26+E27+E28+E29+E30</f>
        <v>194616085</v>
      </c>
    </row>
    <row r="26" spans="1:5" s="135" customFormat="1" ht="12" customHeight="1">
      <c r="A26" s="13" t="s">
        <v>50</v>
      </c>
      <c r="B26" s="136" t="s">
        <v>137</v>
      </c>
      <c r="C26" s="125">
        <v>141219000</v>
      </c>
      <c r="D26" s="125">
        <v>140949885</v>
      </c>
      <c r="E26" s="90">
        <v>140949885</v>
      </c>
    </row>
    <row r="27" spans="1:5" s="135" customFormat="1" ht="12" customHeight="1">
      <c r="A27" s="12" t="s">
        <v>51</v>
      </c>
      <c r="B27" s="137" t="s">
        <v>138</v>
      </c>
      <c r="C27" s="124"/>
      <c r="D27" s="124"/>
      <c r="E27" s="89"/>
    </row>
    <row r="28" spans="1:5" s="135" customFormat="1" ht="12" customHeight="1">
      <c r="A28" s="12" t="s">
        <v>52</v>
      </c>
      <c r="B28" s="137" t="s">
        <v>271</v>
      </c>
      <c r="C28" s="124"/>
      <c r="D28" s="124"/>
      <c r="E28" s="89"/>
    </row>
    <row r="29" spans="1:5" s="135" customFormat="1" ht="12" customHeight="1">
      <c r="A29" s="12" t="s">
        <v>53</v>
      </c>
      <c r="B29" s="137" t="s">
        <v>272</v>
      </c>
      <c r="C29" s="124"/>
      <c r="D29" s="124"/>
      <c r="E29" s="89"/>
    </row>
    <row r="30" spans="1:5" s="135" customFormat="1" ht="12" customHeight="1">
      <c r="A30" s="12" t="s">
        <v>100</v>
      </c>
      <c r="B30" s="137" t="s">
        <v>139</v>
      </c>
      <c r="C30" s="124">
        <v>7000000</v>
      </c>
      <c r="D30" s="124">
        <v>7000000</v>
      </c>
      <c r="E30" s="89">
        <v>53666200</v>
      </c>
    </row>
    <row r="31" spans="1:5" s="135" customFormat="1" ht="12" customHeight="1" thickBot="1">
      <c r="A31" s="14" t="s">
        <v>101</v>
      </c>
      <c r="B31" s="138" t="s">
        <v>140</v>
      </c>
      <c r="C31" s="126"/>
      <c r="D31" s="126"/>
      <c r="E31" s="91"/>
    </row>
    <row r="32" spans="1:5" s="135" customFormat="1" ht="12" customHeight="1" thickBot="1">
      <c r="A32" s="18" t="s">
        <v>102</v>
      </c>
      <c r="B32" s="19" t="s">
        <v>409</v>
      </c>
      <c r="C32" s="129">
        <f>SUM(C33:C39)</f>
        <v>0</v>
      </c>
      <c r="D32" s="129">
        <f>SUM(D33:D39)</f>
        <v>0</v>
      </c>
      <c r="E32" s="160">
        <f>SUM(E33:E39)</f>
        <v>0</v>
      </c>
    </row>
    <row r="33" spans="1:5" s="135" customFormat="1" ht="12" customHeight="1">
      <c r="A33" s="13" t="s">
        <v>141</v>
      </c>
      <c r="B33" s="136" t="str">
        <f>'ÖSSZ.ÖNK'!B33</f>
        <v>Kommunális adó</v>
      </c>
      <c r="C33" s="125"/>
      <c r="D33" s="125"/>
      <c r="E33" s="90"/>
    </row>
    <row r="34" spans="1:5" s="135" customFormat="1" ht="12" customHeight="1">
      <c r="A34" s="12" t="s">
        <v>142</v>
      </c>
      <c r="B34" s="136" t="str">
        <f>'ÖSSZ.ÖNK'!B34</f>
        <v>Iparűzési adó</v>
      </c>
      <c r="C34" s="124"/>
      <c r="D34" s="124"/>
      <c r="E34" s="89"/>
    </row>
    <row r="35" spans="1:5" s="135" customFormat="1" ht="12" customHeight="1">
      <c r="A35" s="12" t="s">
        <v>143</v>
      </c>
      <c r="B35" s="136" t="str">
        <f>'ÖSSZ.ÖNK'!B35</f>
        <v>Gépjárműadó</v>
      </c>
      <c r="C35" s="124"/>
      <c r="D35" s="124"/>
      <c r="E35" s="89"/>
    </row>
    <row r="36" spans="1:5" s="135" customFormat="1" ht="12" customHeight="1">
      <c r="A36" s="12" t="s">
        <v>144</v>
      </c>
      <c r="B36" s="136" t="str">
        <f>'ÖSSZ.ÖNK'!B36</f>
        <v>Idegenforgalmi adó</v>
      </c>
      <c r="C36" s="124"/>
      <c r="D36" s="124"/>
      <c r="E36" s="89"/>
    </row>
    <row r="37" spans="1:5" s="135" customFormat="1" ht="12" customHeight="1">
      <c r="A37" s="12" t="s">
        <v>411</v>
      </c>
      <c r="B37" s="136" t="str">
        <f>'ÖSSZ.ÖNK'!B37</f>
        <v>Egyéb közhatalmi bevételek</v>
      </c>
      <c r="C37" s="124"/>
      <c r="D37" s="124"/>
      <c r="E37" s="89"/>
    </row>
    <row r="38" spans="1:5" s="135" customFormat="1" ht="12" customHeight="1">
      <c r="A38" s="12" t="s">
        <v>412</v>
      </c>
      <c r="B38" s="136" t="str">
        <f>'ÖSSZ.ÖNK'!B38</f>
        <v>     -ebből: igazgatási szolgáltatási díjak</v>
      </c>
      <c r="C38" s="124"/>
      <c r="D38" s="124"/>
      <c r="E38" s="89"/>
    </row>
    <row r="39" spans="1:5" s="135" customFormat="1" ht="12" customHeight="1" thickBot="1">
      <c r="A39" s="14" t="s">
        <v>413</v>
      </c>
      <c r="B39" s="136" t="str">
        <f>'ÖSSZ.ÖNK'!B39</f>
        <v>     -ebből: egyéb bírság</v>
      </c>
      <c r="C39" s="126"/>
      <c r="D39" s="126"/>
      <c r="E39" s="91"/>
    </row>
    <row r="40" spans="1:5" s="135" customFormat="1" ht="12" customHeight="1" thickBot="1">
      <c r="A40" s="18" t="s">
        <v>9</v>
      </c>
      <c r="B40" s="19" t="s">
        <v>278</v>
      </c>
      <c r="C40" s="123">
        <f>SUM(C41:C51)</f>
        <v>0</v>
      </c>
      <c r="D40" s="123">
        <f>SUM(D41:D51)</f>
        <v>0</v>
      </c>
      <c r="E40" s="88">
        <f>SUM(E41:E51)</f>
        <v>0</v>
      </c>
    </row>
    <row r="41" spans="1:5" s="135" customFormat="1" ht="12" customHeight="1">
      <c r="A41" s="13" t="s">
        <v>54</v>
      </c>
      <c r="B41" s="136" t="s">
        <v>148</v>
      </c>
      <c r="C41" s="125"/>
      <c r="D41" s="125"/>
      <c r="E41" s="90"/>
    </row>
    <row r="42" spans="1:5" s="135" customFormat="1" ht="12" customHeight="1">
      <c r="A42" s="12" t="s">
        <v>55</v>
      </c>
      <c r="B42" s="137" t="s">
        <v>149</v>
      </c>
      <c r="C42" s="124"/>
      <c r="D42" s="124"/>
      <c r="E42" s="89"/>
    </row>
    <row r="43" spans="1:5" s="135" customFormat="1" ht="12" customHeight="1">
      <c r="A43" s="12" t="s">
        <v>56</v>
      </c>
      <c r="B43" s="137" t="s">
        <v>150</v>
      </c>
      <c r="C43" s="124"/>
      <c r="D43" s="124"/>
      <c r="E43" s="89"/>
    </row>
    <row r="44" spans="1:5" s="135" customFormat="1" ht="12" customHeight="1">
      <c r="A44" s="12" t="s">
        <v>104</v>
      </c>
      <c r="B44" s="137" t="s">
        <v>151</v>
      </c>
      <c r="C44" s="124"/>
      <c r="D44" s="124"/>
      <c r="E44" s="89"/>
    </row>
    <row r="45" spans="1:5" s="135" customFormat="1" ht="12" customHeight="1">
      <c r="A45" s="12" t="s">
        <v>105</v>
      </c>
      <c r="B45" s="137" t="s">
        <v>152</v>
      </c>
      <c r="C45" s="124"/>
      <c r="D45" s="124"/>
      <c r="E45" s="89"/>
    </row>
    <row r="46" spans="1:5" s="135" customFormat="1" ht="12" customHeight="1">
      <c r="A46" s="12" t="s">
        <v>106</v>
      </c>
      <c r="B46" s="137" t="s">
        <v>153</v>
      </c>
      <c r="C46" s="124"/>
      <c r="D46" s="124"/>
      <c r="E46" s="89"/>
    </row>
    <row r="47" spans="1:5" s="135" customFormat="1" ht="12" customHeight="1">
      <c r="A47" s="12" t="s">
        <v>107</v>
      </c>
      <c r="B47" s="137" t="s">
        <v>154</v>
      </c>
      <c r="C47" s="124"/>
      <c r="D47" s="124"/>
      <c r="E47" s="89"/>
    </row>
    <row r="48" spans="1:5" s="135" customFormat="1" ht="12" customHeight="1">
      <c r="A48" s="12" t="s">
        <v>108</v>
      </c>
      <c r="B48" s="137" t="s">
        <v>414</v>
      </c>
      <c r="C48" s="124"/>
      <c r="D48" s="124"/>
      <c r="E48" s="89"/>
    </row>
    <row r="49" spans="1:5" s="135" customFormat="1" ht="12" customHeight="1">
      <c r="A49" s="12" t="s">
        <v>146</v>
      </c>
      <c r="B49" s="137" t="s">
        <v>156</v>
      </c>
      <c r="C49" s="127"/>
      <c r="D49" s="127"/>
      <c r="E49" s="92"/>
    </row>
    <row r="50" spans="1:5" s="135" customFormat="1" ht="12" customHeight="1">
      <c r="A50" s="14" t="s">
        <v>147</v>
      </c>
      <c r="B50" s="138" t="s">
        <v>280</v>
      </c>
      <c r="C50" s="128"/>
      <c r="D50" s="128"/>
      <c r="E50" s="93"/>
    </row>
    <row r="51" spans="1:5" s="135" customFormat="1" ht="12" customHeight="1" thickBot="1">
      <c r="A51" s="14" t="s">
        <v>279</v>
      </c>
      <c r="B51" s="97" t="s">
        <v>157</v>
      </c>
      <c r="C51" s="128"/>
      <c r="D51" s="128"/>
      <c r="E51" s="93"/>
    </row>
    <row r="52" spans="1:5" s="135" customFormat="1" ht="12" customHeight="1" thickBot="1">
      <c r="A52" s="18" t="s">
        <v>10</v>
      </c>
      <c r="B52" s="19" t="s">
        <v>158</v>
      </c>
      <c r="C52" s="123">
        <f>SUM(C53:C57)</f>
        <v>0</v>
      </c>
      <c r="D52" s="123">
        <f>SUM(D53:D57)</f>
        <v>0</v>
      </c>
      <c r="E52" s="88">
        <f>SUM(E53:E57)</f>
        <v>0</v>
      </c>
    </row>
    <row r="53" spans="1:5" s="135" customFormat="1" ht="12" customHeight="1">
      <c r="A53" s="13" t="s">
        <v>57</v>
      </c>
      <c r="B53" s="136" t="s">
        <v>162</v>
      </c>
      <c r="C53" s="171"/>
      <c r="D53" s="171"/>
      <c r="E53" s="94"/>
    </row>
    <row r="54" spans="1:5" s="135" customFormat="1" ht="12" customHeight="1">
      <c r="A54" s="12" t="s">
        <v>58</v>
      </c>
      <c r="B54" s="137" t="s">
        <v>163</v>
      </c>
      <c r="C54" s="127"/>
      <c r="D54" s="127"/>
      <c r="E54" s="92"/>
    </row>
    <row r="55" spans="1:5" s="135" customFormat="1" ht="12" customHeight="1">
      <c r="A55" s="12" t="s">
        <v>159</v>
      </c>
      <c r="B55" s="137" t="s">
        <v>164</v>
      </c>
      <c r="C55" s="127"/>
      <c r="D55" s="127"/>
      <c r="E55" s="92"/>
    </row>
    <row r="56" spans="1:5" s="135" customFormat="1" ht="12" customHeight="1">
      <c r="A56" s="12" t="s">
        <v>160</v>
      </c>
      <c r="B56" s="137" t="s">
        <v>165</v>
      </c>
      <c r="C56" s="127"/>
      <c r="D56" s="127"/>
      <c r="E56" s="92"/>
    </row>
    <row r="57" spans="1:5" s="135" customFormat="1" ht="12" customHeight="1" thickBot="1">
      <c r="A57" s="14" t="s">
        <v>161</v>
      </c>
      <c r="B57" s="97" t="s">
        <v>166</v>
      </c>
      <c r="C57" s="128"/>
      <c r="D57" s="128"/>
      <c r="E57" s="93"/>
    </row>
    <row r="58" spans="1:5" s="135" customFormat="1" ht="12" customHeight="1" thickBot="1">
      <c r="A58" s="18" t="s">
        <v>109</v>
      </c>
      <c r="B58" s="19" t="s">
        <v>167</v>
      </c>
      <c r="C58" s="123">
        <f>SUM(C59:C61)</f>
        <v>0</v>
      </c>
      <c r="D58" s="123">
        <f>SUM(D59:D61)</f>
        <v>0</v>
      </c>
      <c r="E58" s="88">
        <f>SUM(E59:E61)</f>
        <v>0</v>
      </c>
    </row>
    <row r="59" spans="1:5" s="135" customFormat="1" ht="12" customHeight="1">
      <c r="A59" s="13" t="s">
        <v>59</v>
      </c>
      <c r="B59" s="136" t="s">
        <v>168</v>
      </c>
      <c r="C59" s="125"/>
      <c r="D59" s="125"/>
      <c r="E59" s="90"/>
    </row>
    <row r="60" spans="1:5" s="135" customFormat="1" ht="12" customHeight="1">
      <c r="A60" s="12" t="s">
        <v>60</v>
      </c>
      <c r="B60" s="137" t="s">
        <v>273</v>
      </c>
      <c r="C60" s="124"/>
      <c r="D60" s="124"/>
      <c r="E60" s="89"/>
    </row>
    <row r="61" spans="1:5" s="135" customFormat="1" ht="12" customHeight="1">
      <c r="A61" s="12" t="s">
        <v>171</v>
      </c>
      <c r="B61" s="137" t="s">
        <v>169</v>
      </c>
      <c r="C61" s="124"/>
      <c r="D61" s="124"/>
      <c r="E61" s="89"/>
    </row>
    <row r="62" spans="1:5" s="135" customFormat="1" ht="12" customHeight="1" thickBot="1">
      <c r="A62" s="14" t="s">
        <v>172</v>
      </c>
      <c r="B62" s="97" t="s">
        <v>170</v>
      </c>
      <c r="C62" s="126"/>
      <c r="D62" s="126"/>
      <c r="E62" s="91"/>
    </row>
    <row r="63" spans="1:5" s="135" customFormat="1" ht="12" customHeight="1" thickBot="1">
      <c r="A63" s="18" t="s">
        <v>12</v>
      </c>
      <c r="B63" s="95" t="s">
        <v>173</v>
      </c>
      <c r="C63" s="123">
        <f>SUM(C64:C66)</f>
        <v>0</v>
      </c>
      <c r="D63" s="123">
        <f>SUM(D64:D66)</f>
        <v>0</v>
      </c>
      <c r="E63" s="88">
        <f>SUM(E64:E66)</f>
        <v>0</v>
      </c>
    </row>
    <row r="64" spans="1:5" s="135" customFormat="1" ht="12" customHeight="1">
      <c r="A64" s="13" t="s">
        <v>110</v>
      </c>
      <c r="B64" s="136" t="s">
        <v>175</v>
      </c>
      <c r="C64" s="127"/>
      <c r="D64" s="127"/>
      <c r="E64" s="92"/>
    </row>
    <row r="65" spans="1:5" s="135" customFormat="1" ht="12" customHeight="1">
      <c r="A65" s="12" t="s">
        <v>111</v>
      </c>
      <c r="B65" s="137" t="s">
        <v>274</v>
      </c>
      <c r="C65" s="127"/>
      <c r="D65" s="127"/>
      <c r="E65" s="92"/>
    </row>
    <row r="66" spans="1:5" s="135" customFormat="1" ht="12" customHeight="1">
      <c r="A66" s="12" t="s">
        <v>123</v>
      </c>
      <c r="B66" s="137" t="s">
        <v>176</v>
      </c>
      <c r="C66" s="127"/>
      <c r="D66" s="127"/>
      <c r="E66" s="92"/>
    </row>
    <row r="67" spans="1:5" s="135" customFormat="1" ht="12" customHeight="1" thickBot="1">
      <c r="A67" s="14" t="s">
        <v>174</v>
      </c>
      <c r="B67" s="97" t="s">
        <v>177</v>
      </c>
      <c r="C67" s="127"/>
      <c r="D67" s="127"/>
      <c r="E67" s="92"/>
    </row>
    <row r="68" spans="1:5" s="135" customFormat="1" ht="12" customHeight="1" thickBot="1">
      <c r="A68" s="185" t="s">
        <v>320</v>
      </c>
      <c r="B68" s="19" t="s">
        <v>178</v>
      </c>
      <c r="C68" s="129">
        <f>+C11+C18+C25+C32+C40+C52+C58+C63</f>
        <v>148219000</v>
      </c>
      <c r="D68" s="129">
        <f>+D11+D18+D25+D32+D40+D52+D58+D63</f>
        <v>147949885</v>
      </c>
      <c r="E68" s="160">
        <f>+E11+E18+E25+E32+E40+E52+E58+E63</f>
        <v>194616085</v>
      </c>
    </row>
    <row r="69" spans="1:5" s="135" customFormat="1" ht="12" customHeight="1" thickBot="1">
      <c r="A69" s="172" t="s">
        <v>179</v>
      </c>
      <c r="B69" s="95" t="s">
        <v>180</v>
      </c>
      <c r="C69" s="123">
        <f>SUM(C70:C72)</f>
        <v>0</v>
      </c>
      <c r="D69" s="123">
        <f>SUM(D70:D72)</f>
        <v>0</v>
      </c>
      <c r="E69" s="88">
        <f>SUM(E70:E72)</f>
        <v>0</v>
      </c>
    </row>
    <row r="70" spans="1:5" s="135" customFormat="1" ht="12" customHeight="1">
      <c r="A70" s="13" t="s">
        <v>208</v>
      </c>
      <c r="B70" s="136" t="s">
        <v>181</v>
      </c>
      <c r="C70" s="127"/>
      <c r="D70" s="127"/>
      <c r="E70" s="92"/>
    </row>
    <row r="71" spans="1:5" s="135" customFormat="1" ht="12" customHeight="1">
      <c r="A71" s="12" t="s">
        <v>217</v>
      </c>
      <c r="B71" s="137" t="s">
        <v>182</v>
      </c>
      <c r="C71" s="127"/>
      <c r="D71" s="127"/>
      <c r="E71" s="92"/>
    </row>
    <row r="72" spans="1:5" s="135" customFormat="1" ht="12" customHeight="1" thickBot="1">
      <c r="A72" s="14" t="s">
        <v>218</v>
      </c>
      <c r="B72" s="181" t="s">
        <v>305</v>
      </c>
      <c r="C72" s="127"/>
      <c r="D72" s="127"/>
      <c r="E72" s="92"/>
    </row>
    <row r="73" spans="1:5" s="135" customFormat="1" ht="12" customHeight="1" thickBot="1">
      <c r="A73" s="172" t="s">
        <v>184</v>
      </c>
      <c r="B73" s="95" t="s">
        <v>185</v>
      </c>
      <c r="C73" s="123">
        <f>SUM(C74:C77)</f>
        <v>0</v>
      </c>
      <c r="D73" s="123">
        <f>SUM(D74:D77)</f>
        <v>0</v>
      </c>
      <c r="E73" s="88">
        <f>SUM(E74:E77)</f>
        <v>0</v>
      </c>
    </row>
    <row r="74" spans="1:5" s="135" customFormat="1" ht="12" customHeight="1">
      <c r="A74" s="13" t="s">
        <v>95</v>
      </c>
      <c r="B74" s="251" t="s">
        <v>186</v>
      </c>
      <c r="C74" s="127"/>
      <c r="D74" s="127"/>
      <c r="E74" s="92"/>
    </row>
    <row r="75" spans="1:5" s="135" customFormat="1" ht="12" customHeight="1">
      <c r="A75" s="12" t="s">
        <v>96</v>
      </c>
      <c r="B75" s="251" t="s">
        <v>419</v>
      </c>
      <c r="C75" s="127"/>
      <c r="D75" s="127"/>
      <c r="E75" s="92"/>
    </row>
    <row r="76" spans="1:5" s="135" customFormat="1" ht="12" customHeight="1">
      <c r="A76" s="12" t="s">
        <v>209</v>
      </c>
      <c r="B76" s="251" t="s">
        <v>187</v>
      </c>
      <c r="C76" s="127"/>
      <c r="D76" s="127"/>
      <c r="E76" s="92"/>
    </row>
    <row r="77" spans="1:5" s="135" customFormat="1" ht="12" customHeight="1" thickBot="1">
      <c r="A77" s="14" t="s">
        <v>210</v>
      </c>
      <c r="B77" s="252" t="s">
        <v>420</v>
      </c>
      <c r="C77" s="127"/>
      <c r="D77" s="127"/>
      <c r="E77" s="92"/>
    </row>
    <row r="78" spans="1:5" s="135" customFormat="1" ht="12" customHeight="1" thickBot="1">
      <c r="A78" s="172" t="s">
        <v>188</v>
      </c>
      <c r="B78" s="95" t="s">
        <v>189</v>
      </c>
      <c r="C78" s="123">
        <f>SUM(C79:C80)</f>
        <v>0</v>
      </c>
      <c r="D78" s="123">
        <f>SUM(D79:D80)</f>
        <v>0</v>
      </c>
      <c r="E78" s="88">
        <f>SUM(E79:E80)</f>
        <v>0</v>
      </c>
    </row>
    <row r="79" spans="1:5" s="135" customFormat="1" ht="12" customHeight="1">
      <c r="A79" s="13" t="s">
        <v>211</v>
      </c>
      <c r="B79" s="136" t="s">
        <v>190</v>
      </c>
      <c r="C79" s="127"/>
      <c r="D79" s="127"/>
      <c r="E79" s="92"/>
    </row>
    <row r="80" spans="1:5" s="135" customFormat="1" ht="12" customHeight="1" thickBot="1">
      <c r="A80" s="14" t="s">
        <v>212</v>
      </c>
      <c r="B80" s="97" t="s">
        <v>191</v>
      </c>
      <c r="C80" s="127"/>
      <c r="D80" s="127"/>
      <c r="E80" s="92"/>
    </row>
    <row r="81" spans="1:5" s="135" customFormat="1" ht="12" customHeight="1" thickBot="1">
      <c r="A81" s="172" t="s">
        <v>192</v>
      </c>
      <c r="B81" s="95" t="s">
        <v>193</v>
      </c>
      <c r="C81" s="123">
        <f>SUM(C82:C84)</f>
        <v>0</v>
      </c>
      <c r="D81" s="123">
        <f>SUM(D82:D84)</f>
        <v>0</v>
      </c>
      <c r="E81" s="88">
        <f>SUM(E82:E84)</f>
        <v>0</v>
      </c>
    </row>
    <row r="82" spans="1:5" s="135" customFormat="1" ht="12" customHeight="1">
      <c r="A82" s="13" t="s">
        <v>213</v>
      </c>
      <c r="B82" s="136" t="s">
        <v>194</v>
      </c>
      <c r="C82" s="127"/>
      <c r="D82" s="127"/>
      <c r="E82" s="92"/>
    </row>
    <row r="83" spans="1:5" s="135" customFormat="1" ht="12" customHeight="1">
      <c r="A83" s="12" t="s">
        <v>214</v>
      </c>
      <c r="B83" s="137" t="s">
        <v>195</v>
      </c>
      <c r="C83" s="127"/>
      <c r="D83" s="127"/>
      <c r="E83" s="92"/>
    </row>
    <row r="84" spans="1:5" s="135" customFormat="1" ht="12" customHeight="1" thickBot="1">
      <c r="A84" s="14" t="s">
        <v>215</v>
      </c>
      <c r="B84" s="97" t="s">
        <v>421</v>
      </c>
      <c r="C84" s="127"/>
      <c r="D84" s="127"/>
      <c r="E84" s="92"/>
    </row>
    <row r="85" spans="1:5" s="135" customFormat="1" ht="12" customHeight="1" thickBot="1">
      <c r="A85" s="172" t="s">
        <v>196</v>
      </c>
      <c r="B85" s="95" t="s">
        <v>216</v>
      </c>
      <c r="C85" s="123">
        <f>SUM(C86:C89)</f>
        <v>0</v>
      </c>
      <c r="D85" s="123">
        <f>SUM(D86:D89)</f>
        <v>0</v>
      </c>
      <c r="E85" s="88">
        <f>SUM(E86:E89)</f>
        <v>0</v>
      </c>
    </row>
    <row r="86" spans="1:5" s="135" customFormat="1" ht="12" customHeight="1">
      <c r="A86" s="140" t="s">
        <v>197</v>
      </c>
      <c r="B86" s="136" t="s">
        <v>198</v>
      </c>
      <c r="C86" s="127"/>
      <c r="D86" s="127"/>
      <c r="E86" s="92"/>
    </row>
    <row r="87" spans="1:5" s="135" customFormat="1" ht="12" customHeight="1">
      <c r="A87" s="141" t="s">
        <v>199</v>
      </c>
      <c r="B87" s="137" t="s">
        <v>200</v>
      </c>
      <c r="C87" s="127"/>
      <c r="D87" s="127"/>
      <c r="E87" s="92"/>
    </row>
    <row r="88" spans="1:5" s="135" customFormat="1" ht="12" customHeight="1">
      <c r="A88" s="141" t="s">
        <v>201</v>
      </c>
      <c r="B88" s="137" t="s">
        <v>202</v>
      </c>
      <c r="C88" s="127"/>
      <c r="D88" s="127"/>
      <c r="E88" s="92"/>
    </row>
    <row r="89" spans="1:5" s="135" customFormat="1" ht="12" customHeight="1" thickBot="1">
      <c r="A89" s="142" t="s">
        <v>203</v>
      </c>
      <c r="B89" s="97" t="s">
        <v>204</v>
      </c>
      <c r="C89" s="127"/>
      <c r="D89" s="127"/>
      <c r="E89" s="92"/>
    </row>
    <row r="90" spans="1:5" s="135" customFormat="1" ht="12" customHeight="1" thickBot="1">
      <c r="A90" s="172" t="s">
        <v>205</v>
      </c>
      <c r="B90" s="95" t="s">
        <v>319</v>
      </c>
      <c r="C90" s="174"/>
      <c r="D90" s="174"/>
      <c r="E90" s="175"/>
    </row>
    <row r="91" spans="1:5" s="135" customFormat="1" ht="13.5" customHeight="1" thickBot="1">
      <c r="A91" s="172" t="s">
        <v>207</v>
      </c>
      <c r="B91" s="95" t="s">
        <v>206</v>
      </c>
      <c r="C91" s="174"/>
      <c r="D91" s="174"/>
      <c r="E91" s="175"/>
    </row>
    <row r="92" spans="1:5" s="135" customFormat="1" ht="15.75" customHeight="1" thickBot="1">
      <c r="A92" s="172" t="s">
        <v>219</v>
      </c>
      <c r="B92" s="143" t="s">
        <v>322</v>
      </c>
      <c r="C92" s="129">
        <f>+C69+C73+C78+C81+C85+C91+C90</f>
        <v>0</v>
      </c>
      <c r="D92" s="129">
        <f>+D69+D73+D78+D81+D85+D91+D90</f>
        <v>0</v>
      </c>
      <c r="E92" s="160">
        <f>+E69+E73+E78+E81+E85+E91+E90</f>
        <v>0</v>
      </c>
    </row>
    <row r="93" spans="1:5" s="135" customFormat="1" ht="25.5" customHeight="1" thickBot="1">
      <c r="A93" s="173" t="s">
        <v>321</v>
      </c>
      <c r="B93" s="144" t="s">
        <v>323</v>
      </c>
      <c r="C93" s="129">
        <f>+C68+C92</f>
        <v>148219000</v>
      </c>
      <c r="D93" s="129">
        <f>+D68+D92</f>
        <v>147949885</v>
      </c>
      <c r="E93" s="160">
        <f>+E68+E92</f>
        <v>194616085</v>
      </c>
    </row>
    <row r="94" spans="1:3" s="135" customFormat="1" ht="15" customHeight="1">
      <c r="A94" s="3"/>
      <c r="B94" s="4"/>
      <c r="C94" s="99"/>
    </row>
    <row r="95" spans="1:5" ht="16.5" customHeight="1">
      <c r="A95" s="591" t="s">
        <v>33</v>
      </c>
      <c r="B95" s="591"/>
      <c r="C95" s="591"/>
      <c r="D95" s="591"/>
      <c r="E95" s="591"/>
    </row>
    <row r="96" spans="1:5" s="145" customFormat="1" ht="16.5" customHeight="1" thickBot="1">
      <c r="A96" s="593" t="s">
        <v>98</v>
      </c>
      <c r="B96" s="593"/>
      <c r="C96" s="59"/>
      <c r="E96" s="59" t="str">
        <f>E7</f>
        <v> Forintban!</v>
      </c>
    </row>
    <row r="97" spans="1:5" ht="15.75">
      <c r="A97" s="582" t="s">
        <v>49</v>
      </c>
      <c r="B97" s="584" t="s">
        <v>360</v>
      </c>
      <c r="C97" s="586" t="str">
        <f>+CONCATENATE(LEFT(Z_ÖSSZEFÜGGÉSEK!A6,4),". évi")</f>
        <v>2019. évi</v>
      </c>
      <c r="D97" s="587"/>
      <c r="E97" s="588"/>
    </row>
    <row r="98" spans="1:5" ht="24.75" thickBot="1">
      <c r="A98" s="583"/>
      <c r="B98" s="585"/>
      <c r="C98" s="201" t="s">
        <v>358</v>
      </c>
      <c r="D98" s="200" t="s">
        <v>359</v>
      </c>
      <c r="E98" s="253" t="str">
        <f>CONCATENATE(E9)</f>
        <v>2019. XII. 31.
teljesítés</v>
      </c>
    </row>
    <row r="99" spans="1:5" s="134" customFormat="1" ht="12" customHeight="1" thickBot="1">
      <c r="A99" s="25" t="s">
        <v>325</v>
      </c>
      <c r="B99" s="26" t="s">
        <v>326</v>
      </c>
      <c r="C99" s="26" t="s">
        <v>327</v>
      </c>
      <c r="D99" s="26" t="s">
        <v>329</v>
      </c>
      <c r="E99" s="212" t="s">
        <v>328</v>
      </c>
    </row>
    <row r="100" spans="1:5" ht="12" customHeight="1" thickBot="1">
      <c r="A100" s="20" t="s">
        <v>5</v>
      </c>
      <c r="B100" s="24" t="s">
        <v>281</v>
      </c>
      <c r="C100" s="122">
        <f>C101+C102+C103+C104+C105</f>
        <v>114306231</v>
      </c>
      <c r="D100" s="122">
        <f>D101+D102+D103+D104+D105</f>
        <v>133468103</v>
      </c>
      <c r="E100" s="187">
        <f>E101+E102+E103+E104+E105</f>
        <v>92451221</v>
      </c>
    </row>
    <row r="101" spans="1:5" ht="12" customHeight="1">
      <c r="A101" s="15" t="s">
        <v>61</v>
      </c>
      <c r="B101" s="8" t="s">
        <v>34</v>
      </c>
      <c r="C101" s="194">
        <v>13931440</v>
      </c>
      <c r="D101" s="194">
        <v>10302555</v>
      </c>
      <c r="E101" s="188">
        <v>10066204</v>
      </c>
    </row>
    <row r="102" spans="1:5" ht="12" customHeight="1">
      <c r="A102" s="12" t="s">
        <v>62</v>
      </c>
      <c r="B102" s="6" t="s">
        <v>112</v>
      </c>
      <c r="C102" s="124">
        <v>2786034</v>
      </c>
      <c r="D102" s="124">
        <v>2471871</v>
      </c>
      <c r="E102" s="89">
        <v>1964878</v>
      </c>
    </row>
    <row r="103" spans="1:5" ht="12" customHeight="1">
      <c r="A103" s="12" t="s">
        <v>63</v>
      </c>
      <c r="B103" s="6" t="s">
        <v>87</v>
      </c>
      <c r="C103" s="126">
        <v>43386378</v>
      </c>
      <c r="D103" s="126">
        <v>67010137</v>
      </c>
      <c r="E103" s="91">
        <v>56117732</v>
      </c>
    </row>
    <row r="104" spans="1:5" ht="12" customHeight="1">
      <c r="A104" s="12" t="s">
        <v>64</v>
      </c>
      <c r="B104" s="9" t="s">
        <v>113</v>
      </c>
      <c r="C104" s="126">
        <v>3700000</v>
      </c>
      <c r="D104" s="126">
        <v>2951000</v>
      </c>
      <c r="E104" s="91">
        <v>1667282</v>
      </c>
    </row>
    <row r="105" spans="1:5" ht="12" customHeight="1">
      <c r="A105" s="12" t="s">
        <v>73</v>
      </c>
      <c r="B105" s="17" t="s">
        <v>114</v>
      </c>
      <c r="C105" s="126">
        <v>50502379</v>
      </c>
      <c r="D105" s="126">
        <v>50732540</v>
      </c>
      <c r="E105" s="91">
        <v>22635125</v>
      </c>
    </row>
    <row r="106" spans="1:5" ht="12" customHeight="1">
      <c r="A106" s="12" t="s">
        <v>65</v>
      </c>
      <c r="B106" s="6" t="s">
        <v>286</v>
      </c>
      <c r="C106" s="126"/>
      <c r="D106" s="126"/>
      <c r="E106" s="91"/>
    </row>
    <row r="107" spans="1:5" ht="12" customHeight="1">
      <c r="A107" s="12" t="s">
        <v>66</v>
      </c>
      <c r="B107" s="63" t="s">
        <v>285</v>
      </c>
      <c r="C107" s="126"/>
      <c r="D107" s="126"/>
      <c r="E107" s="91"/>
    </row>
    <row r="108" spans="1:5" ht="12" customHeight="1">
      <c r="A108" s="12" t="s">
        <v>74</v>
      </c>
      <c r="B108" s="63" t="s">
        <v>284</v>
      </c>
      <c r="C108" s="126"/>
      <c r="D108" s="126"/>
      <c r="E108" s="91"/>
    </row>
    <row r="109" spans="1:5" ht="12" customHeight="1">
      <c r="A109" s="12" t="s">
        <v>75</v>
      </c>
      <c r="B109" s="61" t="s">
        <v>222</v>
      </c>
      <c r="C109" s="126"/>
      <c r="D109" s="126"/>
      <c r="E109" s="91"/>
    </row>
    <row r="110" spans="1:5" ht="12" customHeight="1">
      <c r="A110" s="12" t="s">
        <v>76</v>
      </c>
      <c r="B110" s="62" t="s">
        <v>223</v>
      </c>
      <c r="C110" s="126"/>
      <c r="D110" s="126"/>
      <c r="E110" s="91"/>
    </row>
    <row r="111" spans="1:5" ht="12" customHeight="1">
      <c r="A111" s="12" t="s">
        <v>77</v>
      </c>
      <c r="B111" s="62" t="s">
        <v>224</v>
      </c>
      <c r="C111" s="126"/>
      <c r="D111" s="126"/>
      <c r="E111" s="91"/>
    </row>
    <row r="112" spans="1:5" ht="12" customHeight="1">
      <c r="A112" s="12" t="s">
        <v>79</v>
      </c>
      <c r="B112" s="61" t="s">
        <v>225</v>
      </c>
      <c r="C112" s="126">
        <v>14000000</v>
      </c>
      <c r="D112" s="126">
        <v>14000000</v>
      </c>
      <c r="E112" s="91">
        <v>13988795</v>
      </c>
    </row>
    <row r="113" spans="1:5" ht="12" customHeight="1">
      <c r="A113" s="12" t="s">
        <v>115</v>
      </c>
      <c r="B113" s="61" t="s">
        <v>226</v>
      </c>
      <c r="C113" s="126"/>
      <c r="D113" s="126"/>
      <c r="E113" s="91"/>
    </row>
    <row r="114" spans="1:5" ht="12" customHeight="1">
      <c r="A114" s="12" t="s">
        <v>220</v>
      </c>
      <c r="B114" s="62" t="s">
        <v>227</v>
      </c>
      <c r="C114" s="126"/>
      <c r="D114" s="126"/>
      <c r="E114" s="91"/>
    </row>
    <row r="115" spans="1:5" ht="12" customHeight="1">
      <c r="A115" s="11" t="s">
        <v>221</v>
      </c>
      <c r="B115" s="63" t="s">
        <v>228</v>
      </c>
      <c r="C115" s="126"/>
      <c r="D115" s="126"/>
      <c r="E115" s="91"/>
    </row>
    <row r="116" spans="1:5" ht="12" customHeight="1">
      <c r="A116" s="12" t="s">
        <v>282</v>
      </c>
      <c r="B116" s="63" t="s">
        <v>229</v>
      </c>
      <c r="C116" s="126"/>
      <c r="D116" s="126"/>
      <c r="E116" s="91"/>
    </row>
    <row r="117" spans="1:5" ht="12" customHeight="1">
      <c r="A117" s="14" t="s">
        <v>283</v>
      </c>
      <c r="B117" s="63" t="s">
        <v>230</v>
      </c>
      <c r="C117" s="126">
        <v>9296492</v>
      </c>
      <c r="D117" s="126">
        <v>9296492</v>
      </c>
      <c r="E117" s="91">
        <v>8646330</v>
      </c>
    </row>
    <row r="118" spans="1:5" ht="12" customHeight="1">
      <c r="A118" s="12" t="s">
        <v>287</v>
      </c>
      <c r="B118" s="9" t="s">
        <v>710</v>
      </c>
      <c r="C118" s="124">
        <v>27205887</v>
      </c>
      <c r="D118" s="124">
        <v>27205887</v>
      </c>
      <c r="E118" s="89"/>
    </row>
    <row r="119" spans="1:5" ht="12" customHeight="1">
      <c r="A119" s="12" t="s">
        <v>288</v>
      </c>
      <c r="B119" s="6" t="s">
        <v>769</v>
      </c>
      <c r="C119" s="124">
        <v>27205887</v>
      </c>
      <c r="D119" s="124">
        <v>27205887</v>
      </c>
      <c r="E119" s="89"/>
    </row>
    <row r="120" spans="1:5" ht="12" customHeight="1" thickBot="1">
      <c r="A120" s="16" t="s">
        <v>289</v>
      </c>
      <c r="B120" s="184" t="s">
        <v>770</v>
      </c>
      <c r="C120" s="195"/>
      <c r="D120" s="195"/>
      <c r="E120" s="189"/>
    </row>
    <row r="121" spans="1:5" ht="12" customHeight="1" thickBot="1">
      <c r="A121" s="182" t="s">
        <v>6</v>
      </c>
      <c r="B121" s="183" t="s">
        <v>231</v>
      </c>
      <c r="C121" s="196">
        <f>+C122+C124+C126</f>
        <v>548312855</v>
      </c>
      <c r="D121" s="123">
        <f>+D122+D124+D126</f>
        <v>545799915</v>
      </c>
      <c r="E121" s="190">
        <f>+E122+E124+E126</f>
        <v>382611347</v>
      </c>
    </row>
    <row r="122" spans="1:5" ht="12" customHeight="1">
      <c r="A122" s="13" t="s">
        <v>67</v>
      </c>
      <c r="B122" s="6" t="s">
        <v>122</v>
      </c>
      <c r="C122" s="125">
        <v>27790890</v>
      </c>
      <c r="D122" s="205">
        <v>30948729</v>
      </c>
      <c r="E122" s="90">
        <v>30948255</v>
      </c>
    </row>
    <row r="123" spans="1:5" ht="12" customHeight="1">
      <c r="A123" s="13" t="s">
        <v>68</v>
      </c>
      <c r="B123" s="10" t="s">
        <v>235</v>
      </c>
      <c r="C123" s="125"/>
      <c r="D123" s="205"/>
      <c r="E123" s="90"/>
    </row>
    <row r="124" spans="1:5" ht="12" customHeight="1">
      <c r="A124" s="13" t="s">
        <v>69</v>
      </c>
      <c r="B124" s="10" t="s">
        <v>116</v>
      </c>
      <c r="C124" s="124">
        <v>516921965</v>
      </c>
      <c r="D124" s="206">
        <v>511251186</v>
      </c>
      <c r="E124" s="89">
        <v>351663092</v>
      </c>
    </row>
    <row r="125" spans="1:5" ht="12" customHeight="1">
      <c r="A125" s="13" t="s">
        <v>70</v>
      </c>
      <c r="B125" s="10" t="s">
        <v>236</v>
      </c>
      <c r="C125" s="124">
        <v>272166519</v>
      </c>
      <c r="D125" s="206">
        <v>272166519</v>
      </c>
      <c r="E125" s="89"/>
    </row>
    <row r="126" spans="1:5" ht="12" customHeight="1">
      <c r="A126" s="13" t="s">
        <v>71</v>
      </c>
      <c r="B126" s="97" t="s">
        <v>124</v>
      </c>
      <c r="C126" s="124">
        <v>3600000</v>
      </c>
      <c r="D126" s="206">
        <v>3600000</v>
      </c>
      <c r="E126" s="89"/>
    </row>
    <row r="127" spans="1:5" ht="12" customHeight="1">
      <c r="A127" s="13" t="s">
        <v>78</v>
      </c>
      <c r="B127" s="96" t="s">
        <v>275</v>
      </c>
      <c r="C127" s="124"/>
      <c r="D127" s="206"/>
      <c r="E127" s="89"/>
    </row>
    <row r="128" spans="1:5" ht="12" customHeight="1">
      <c r="A128" s="13" t="s">
        <v>80</v>
      </c>
      <c r="B128" s="132" t="s">
        <v>241</v>
      </c>
      <c r="C128" s="124"/>
      <c r="D128" s="206"/>
      <c r="E128" s="89"/>
    </row>
    <row r="129" spans="1:5" ht="15.75">
      <c r="A129" s="13" t="s">
        <v>117</v>
      </c>
      <c r="B129" s="62" t="s">
        <v>224</v>
      </c>
      <c r="C129" s="124"/>
      <c r="D129" s="206"/>
      <c r="E129" s="89"/>
    </row>
    <row r="130" spans="1:5" ht="12" customHeight="1">
      <c r="A130" s="13" t="s">
        <v>118</v>
      </c>
      <c r="B130" s="62" t="s">
        <v>240</v>
      </c>
      <c r="C130" s="124"/>
      <c r="D130" s="206"/>
      <c r="E130" s="89"/>
    </row>
    <row r="131" spans="1:5" ht="12" customHeight="1">
      <c r="A131" s="13" t="s">
        <v>119</v>
      </c>
      <c r="B131" s="62" t="s">
        <v>239</v>
      </c>
      <c r="C131" s="124"/>
      <c r="D131" s="206"/>
      <c r="E131" s="89"/>
    </row>
    <row r="132" spans="1:5" ht="12" customHeight="1">
      <c r="A132" s="13" t="s">
        <v>232</v>
      </c>
      <c r="B132" s="62" t="s">
        <v>227</v>
      </c>
      <c r="C132" s="124"/>
      <c r="D132" s="206"/>
      <c r="E132" s="89"/>
    </row>
    <row r="133" spans="1:5" ht="12" customHeight="1">
      <c r="A133" s="13" t="s">
        <v>233</v>
      </c>
      <c r="B133" s="62" t="s">
        <v>238</v>
      </c>
      <c r="C133" s="124"/>
      <c r="D133" s="206"/>
      <c r="E133" s="89"/>
    </row>
    <row r="134" spans="1:5" ht="16.5" thickBot="1">
      <c r="A134" s="11" t="s">
        <v>234</v>
      </c>
      <c r="B134" s="62" t="s">
        <v>237</v>
      </c>
      <c r="C134" s="126">
        <v>3600000</v>
      </c>
      <c r="D134" s="207">
        <v>3600000</v>
      </c>
      <c r="E134" s="91"/>
    </row>
    <row r="135" spans="1:5" ht="12" customHeight="1" thickBot="1">
      <c r="A135" s="18" t="s">
        <v>7</v>
      </c>
      <c r="B135" s="56" t="s">
        <v>292</v>
      </c>
      <c r="C135" s="123">
        <f>+C100+C121</f>
        <v>662619086</v>
      </c>
      <c r="D135" s="204">
        <f>+D100+D121</f>
        <v>679268018</v>
      </c>
      <c r="E135" s="88">
        <f>+E100+E121</f>
        <v>475062568</v>
      </c>
    </row>
    <row r="136" spans="1:5" ht="12" customHeight="1" thickBot="1">
      <c r="A136" s="18" t="s">
        <v>8</v>
      </c>
      <c r="B136" s="56" t="s">
        <v>361</v>
      </c>
      <c r="C136" s="123">
        <f>+C137+C138+C139</f>
        <v>0</v>
      </c>
      <c r="D136" s="204">
        <f>+D137+D138+D139</f>
        <v>0</v>
      </c>
      <c r="E136" s="88">
        <f>+E137+E138+E139</f>
        <v>0</v>
      </c>
    </row>
    <row r="137" spans="1:5" ht="12" customHeight="1">
      <c r="A137" s="13" t="s">
        <v>141</v>
      </c>
      <c r="B137" s="10" t="s">
        <v>300</v>
      </c>
      <c r="C137" s="124"/>
      <c r="D137" s="206"/>
      <c r="E137" s="89"/>
    </row>
    <row r="138" spans="1:5" ht="12" customHeight="1">
      <c r="A138" s="13" t="s">
        <v>142</v>
      </c>
      <c r="B138" s="10" t="s">
        <v>301</v>
      </c>
      <c r="C138" s="124"/>
      <c r="D138" s="206"/>
      <c r="E138" s="89"/>
    </row>
    <row r="139" spans="1:5" ht="12" customHeight="1" thickBot="1">
      <c r="A139" s="11" t="s">
        <v>143</v>
      </c>
      <c r="B139" s="10" t="s">
        <v>302</v>
      </c>
      <c r="C139" s="124"/>
      <c r="D139" s="206"/>
      <c r="E139" s="89"/>
    </row>
    <row r="140" spans="1:5" ht="12" customHeight="1" thickBot="1">
      <c r="A140" s="18" t="s">
        <v>9</v>
      </c>
      <c r="B140" s="56" t="s">
        <v>294</v>
      </c>
      <c r="C140" s="123">
        <f>SUM(C141:C146)</f>
        <v>0</v>
      </c>
      <c r="D140" s="204">
        <f>SUM(D141:D146)</f>
        <v>0</v>
      </c>
      <c r="E140" s="88">
        <f>SUM(E141:E146)</f>
        <v>0</v>
      </c>
    </row>
    <row r="141" spans="1:5" ht="12" customHeight="1">
      <c r="A141" s="13" t="s">
        <v>54</v>
      </c>
      <c r="B141" s="7" t="s">
        <v>303</v>
      </c>
      <c r="C141" s="124"/>
      <c r="D141" s="206"/>
      <c r="E141" s="89"/>
    </row>
    <row r="142" spans="1:5" ht="12" customHeight="1">
      <c r="A142" s="13" t="s">
        <v>55</v>
      </c>
      <c r="B142" s="7" t="s">
        <v>295</v>
      </c>
      <c r="C142" s="124"/>
      <c r="D142" s="206"/>
      <c r="E142" s="89"/>
    </row>
    <row r="143" spans="1:5" ht="12" customHeight="1">
      <c r="A143" s="13" t="s">
        <v>56</v>
      </c>
      <c r="B143" s="7" t="s">
        <v>296</v>
      </c>
      <c r="C143" s="124"/>
      <c r="D143" s="206"/>
      <c r="E143" s="89"/>
    </row>
    <row r="144" spans="1:5" ht="12" customHeight="1">
      <c r="A144" s="13" t="s">
        <v>104</v>
      </c>
      <c r="B144" s="7" t="s">
        <v>297</v>
      </c>
      <c r="C144" s="124"/>
      <c r="D144" s="206"/>
      <c r="E144" s="89"/>
    </row>
    <row r="145" spans="1:5" ht="12" customHeight="1">
      <c r="A145" s="13" t="s">
        <v>105</v>
      </c>
      <c r="B145" s="7" t="s">
        <v>298</v>
      </c>
      <c r="C145" s="124"/>
      <c r="D145" s="206"/>
      <c r="E145" s="89"/>
    </row>
    <row r="146" spans="1:5" ht="12" customHeight="1" thickBot="1">
      <c r="A146" s="16" t="s">
        <v>106</v>
      </c>
      <c r="B146" s="257" t="s">
        <v>299</v>
      </c>
      <c r="C146" s="195"/>
      <c r="D146" s="238"/>
      <c r="E146" s="189"/>
    </row>
    <row r="147" spans="1:5" ht="12" customHeight="1" thickBot="1">
      <c r="A147" s="18" t="s">
        <v>10</v>
      </c>
      <c r="B147" s="56" t="s">
        <v>307</v>
      </c>
      <c r="C147" s="129">
        <f>+C148+C149+C150+C151</f>
        <v>0</v>
      </c>
      <c r="D147" s="208">
        <f>+D148+D149+D150+D151</f>
        <v>0</v>
      </c>
      <c r="E147" s="160">
        <f>+E148+E149+E150+E151</f>
        <v>0</v>
      </c>
    </row>
    <row r="148" spans="1:5" ht="12" customHeight="1">
      <c r="A148" s="13" t="s">
        <v>57</v>
      </c>
      <c r="B148" s="7" t="s">
        <v>242</v>
      </c>
      <c r="C148" s="124"/>
      <c r="D148" s="206"/>
      <c r="E148" s="89"/>
    </row>
    <row r="149" spans="1:5" ht="12" customHeight="1">
      <c r="A149" s="13" t="s">
        <v>58</v>
      </c>
      <c r="B149" s="7" t="s">
        <v>243</v>
      </c>
      <c r="C149" s="124"/>
      <c r="D149" s="206"/>
      <c r="E149" s="89"/>
    </row>
    <row r="150" spans="1:5" ht="12" customHeight="1">
      <c r="A150" s="13" t="s">
        <v>159</v>
      </c>
      <c r="B150" s="7" t="s">
        <v>308</v>
      </c>
      <c r="C150" s="124"/>
      <c r="D150" s="206"/>
      <c r="E150" s="89"/>
    </row>
    <row r="151" spans="1:5" ht="12" customHeight="1" thickBot="1">
      <c r="A151" s="11" t="s">
        <v>160</v>
      </c>
      <c r="B151" s="5" t="s">
        <v>246</v>
      </c>
      <c r="C151" s="124"/>
      <c r="D151" s="206"/>
      <c r="E151" s="89"/>
    </row>
    <row r="152" spans="1:5" ht="12" customHeight="1" thickBot="1">
      <c r="A152" s="18" t="s">
        <v>11</v>
      </c>
      <c r="B152" s="56" t="s">
        <v>309</v>
      </c>
      <c r="C152" s="197">
        <f>SUM(C153:C157)</f>
        <v>0</v>
      </c>
      <c r="D152" s="209">
        <f>SUM(D153:D157)</f>
        <v>0</v>
      </c>
      <c r="E152" s="191">
        <f>SUM(E153:E157)</f>
        <v>0</v>
      </c>
    </row>
    <row r="153" spans="1:5" ht="12" customHeight="1">
      <c r="A153" s="13" t="s">
        <v>59</v>
      </c>
      <c r="B153" s="7" t="s">
        <v>304</v>
      </c>
      <c r="C153" s="124"/>
      <c r="D153" s="206"/>
      <c r="E153" s="89"/>
    </row>
    <row r="154" spans="1:5" ht="12" customHeight="1">
      <c r="A154" s="13" t="s">
        <v>60</v>
      </c>
      <c r="B154" s="7" t="s">
        <v>311</v>
      </c>
      <c r="C154" s="124"/>
      <c r="D154" s="206"/>
      <c r="E154" s="89"/>
    </row>
    <row r="155" spans="1:5" ht="12" customHeight="1">
      <c r="A155" s="13" t="s">
        <v>171</v>
      </c>
      <c r="B155" s="7" t="s">
        <v>306</v>
      </c>
      <c r="C155" s="124"/>
      <c r="D155" s="206"/>
      <c r="E155" s="89"/>
    </row>
    <row r="156" spans="1:5" ht="12" customHeight="1">
      <c r="A156" s="13" t="s">
        <v>172</v>
      </c>
      <c r="B156" s="7" t="s">
        <v>312</v>
      </c>
      <c r="C156" s="124"/>
      <c r="D156" s="206"/>
      <c r="E156" s="89"/>
    </row>
    <row r="157" spans="1:5" ht="12" customHeight="1" thickBot="1">
      <c r="A157" s="13" t="s">
        <v>310</v>
      </c>
      <c r="B157" s="7" t="s">
        <v>313</v>
      </c>
      <c r="C157" s="124"/>
      <c r="D157" s="206"/>
      <c r="E157" s="89"/>
    </row>
    <row r="158" spans="1:5" ht="12" customHeight="1" thickBot="1">
      <c r="A158" s="18" t="s">
        <v>12</v>
      </c>
      <c r="B158" s="56" t="s">
        <v>314</v>
      </c>
      <c r="C158" s="198"/>
      <c r="D158" s="210"/>
      <c r="E158" s="192"/>
    </row>
    <row r="159" spans="1:5" ht="12" customHeight="1" thickBot="1">
      <c r="A159" s="18" t="s">
        <v>13</v>
      </c>
      <c r="B159" s="56" t="s">
        <v>315</v>
      </c>
      <c r="C159" s="198"/>
      <c r="D159" s="210"/>
      <c r="E159" s="192"/>
    </row>
    <row r="160" spans="1:9" ht="15" customHeight="1" thickBot="1">
      <c r="A160" s="18" t="s">
        <v>14</v>
      </c>
      <c r="B160" s="56" t="s">
        <v>317</v>
      </c>
      <c r="C160" s="199">
        <f>+C136+C140+C147+C152+C158+C159</f>
        <v>0</v>
      </c>
      <c r="D160" s="211">
        <f>+D136+D140+D147+D152+D158+D159</f>
        <v>0</v>
      </c>
      <c r="E160" s="193">
        <f>+E136+E140+E147+E152+E158+E159</f>
        <v>0</v>
      </c>
      <c r="F160" s="146"/>
      <c r="G160" s="147"/>
      <c r="H160" s="147"/>
      <c r="I160" s="147"/>
    </row>
    <row r="161" spans="1:5" s="135" customFormat="1" ht="12.75" customHeight="1" thickBot="1">
      <c r="A161" s="98" t="s">
        <v>15</v>
      </c>
      <c r="B161" s="113" t="s">
        <v>316</v>
      </c>
      <c r="C161" s="199">
        <f>+C135+C160</f>
        <v>662619086</v>
      </c>
      <c r="D161" s="211">
        <f>+D135+D160</f>
        <v>679268018</v>
      </c>
      <c r="E161" s="193">
        <f>+E135+E160</f>
        <v>475062568</v>
      </c>
    </row>
    <row r="162" spans="3:4" ht="15.75">
      <c r="C162" s="460">
        <f>C93-C161</f>
        <v>-514400086</v>
      </c>
      <c r="D162" s="460">
        <f>D93-D161</f>
        <v>-531318133</v>
      </c>
    </row>
    <row r="163" spans="1:5" ht="15.75">
      <c r="A163" s="589" t="s">
        <v>244</v>
      </c>
      <c r="B163" s="589"/>
      <c r="C163" s="589"/>
      <c r="D163" s="589"/>
      <c r="E163" s="589"/>
    </row>
    <row r="164" spans="1:5" ht="15" customHeight="1" thickBot="1">
      <c r="A164" s="581" t="s">
        <v>99</v>
      </c>
      <c r="B164" s="581"/>
      <c r="C164" s="100"/>
      <c r="E164" s="100" t="str">
        <f>E96</f>
        <v> Forintban!</v>
      </c>
    </row>
    <row r="165" spans="1:5" ht="25.5" customHeight="1" thickBot="1">
      <c r="A165" s="18">
        <v>1</v>
      </c>
      <c r="B165" s="23" t="s">
        <v>318</v>
      </c>
      <c r="C165" s="203">
        <f>+C68-C135</f>
        <v>-514400086</v>
      </c>
      <c r="D165" s="123">
        <f>+D68-D135</f>
        <v>-531318133</v>
      </c>
      <c r="E165" s="88">
        <f>+E68-E135</f>
        <v>-280446483</v>
      </c>
    </row>
    <row r="166" spans="1:5" ht="32.25" customHeight="1" thickBot="1">
      <c r="A166" s="18" t="s">
        <v>6</v>
      </c>
      <c r="B166" s="23" t="s">
        <v>324</v>
      </c>
      <c r="C166" s="123">
        <f>+C92-C160</f>
        <v>0</v>
      </c>
      <c r="D166" s="123">
        <f>+D92-D160</f>
        <v>0</v>
      </c>
      <c r="E166" s="88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6"/>
  <sheetViews>
    <sheetView zoomScale="120" zoomScaleNormal="120" zoomScaleSheetLayoutView="100" workbookViewId="0" topLeftCell="A1">
      <selection activeCell="D109" sqref="D109"/>
    </sheetView>
  </sheetViews>
  <sheetFormatPr defaultColWidth="9.00390625" defaultRowHeight="12.75"/>
  <cols>
    <col min="1" max="1" width="9.50390625" style="114" customWidth="1"/>
    <col min="2" max="2" width="65.875" style="114" customWidth="1"/>
    <col min="3" max="3" width="17.875" style="115" customWidth="1"/>
    <col min="4" max="5" width="17.875" style="133" customWidth="1"/>
    <col min="6" max="16384" width="9.375" style="133" customWidth="1"/>
  </cols>
  <sheetData>
    <row r="1" spans="1:5" ht="15.75">
      <c r="A1" s="258"/>
      <c r="B1" s="576" t="str">
        <f>CONCATENATE("1.4. melléklet ",Z_ALAPADATOK!A7," ",Z_ALAPADATOK!B7," ",Z_ALAPADATOK!C7," ",Z_ALAPADATOK!D7," ",Z_ALAPADATOK!E7," ",Z_ALAPADATOK!F7," ",Z_ALAPADATOK!G7," ",Z_ALAPADATOK!H7)</f>
        <v>1.4. melléklet a 12 / 2020. ( VI.11. ) önkormányzati rendelethez</v>
      </c>
      <c r="C1" s="577"/>
      <c r="D1" s="577"/>
      <c r="E1" s="577"/>
    </row>
    <row r="2" spans="1:5" ht="15.75">
      <c r="A2" s="578" t="str">
        <f>CONCATENATE(Z_ALAPADATOK!A3)</f>
        <v>Karácsond Községi Önkormányzat</v>
      </c>
      <c r="B2" s="579"/>
      <c r="C2" s="579"/>
      <c r="D2" s="579"/>
      <c r="E2" s="579"/>
    </row>
    <row r="3" spans="1:5" ht="15.75">
      <c r="A3" s="572" t="str">
        <f>CONCATENATE(Z_ALAPADATOK!B1,". ÉVI ZÁRSZÁMADÁS")</f>
        <v>2019. ÉVI ZÁRSZÁMADÁS</v>
      </c>
      <c r="B3" s="572"/>
      <c r="C3" s="572"/>
      <c r="D3" s="572"/>
      <c r="E3" s="572"/>
    </row>
    <row r="4" spans="1:5" ht="17.25" customHeight="1">
      <c r="A4" s="572" t="s">
        <v>688</v>
      </c>
      <c r="B4" s="572"/>
      <c r="C4" s="572"/>
      <c r="D4" s="572"/>
      <c r="E4" s="572"/>
    </row>
    <row r="5" spans="1:5" ht="15.75">
      <c r="A5" s="258"/>
      <c r="B5" s="258"/>
      <c r="C5" s="259"/>
      <c r="D5" s="260"/>
      <c r="E5" s="260"/>
    </row>
    <row r="6" spans="1:5" ht="15.75" customHeight="1">
      <c r="A6" s="590" t="s">
        <v>2</v>
      </c>
      <c r="B6" s="590"/>
      <c r="C6" s="590"/>
      <c r="D6" s="590"/>
      <c r="E6" s="590"/>
    </row>
    <row r="7" spans="1:5" ht="15.75" customHeight="1" thickBot="1">
      <c r="A7" s="592" t="s">
        <v>97</v>
      </c>
      <c r="B7" s="592"/>
      <c r="C7" s="261"/>
      <c r="D7" s="260"/>
      <c r="E7" s="261" t="str">
        <f>CONCATENATE('ÖSSZ.ÖNK ÖNKÉNT V.'!E7)</f>
        <v> Forintban!</v>
      </c>
    </row>
    <row r="8" spans="1:5" ht="15.75">
      <c r="A8" s="582" t="s">
        <v>49</v>
      </c>
      <c r="B8" s="584" t="s">
        <v>4</v>
      </c>
      <c r="C8" s="586" t="str">
        <f>+CONCATENATE(LEFT(Z_ÖSSZEFÜGGÉSEK!A6,4),". évi")</f>
        <v>2019. évi</v>
      </c>
      <c r="D8" s="587"/>
      <c r="E8" s="588"/>
    </row>
    <row r="9" spans="1:5" ht="24.75" thickBot="1">
      <c r="A9" s="583"/>
      <c r="B9" s="585"/>
      <c r="C9" s="201" t="s">
        <v>358</v>
      </c>
      <c r="D9" s="200" t="s">
        <v>359</v>
      </c>
      <c r="E9" s="253" t="str">
        <f>CONCATENATE('ÖSSZ.ÖNK ÖNKÉNT V.'!E9)</f>
        <v>2019. XII. 31.
teljesítés</v>
      </c>
    </row>
    <row r="10" spans="1:5" s="134" customFormat="1" ht="12" customHeight="1" thickBot="1">
      <c r="A10" s="130" t="s">
        <v>325</v>
      </c>
      <c r="B10" s="131" t="s">
        <v>326</v>
      </c>
      <c r="C10" s="131" t="s">
        <v>327</v>
      </c>
      <c r="D10" s="131" t="s">
        <v>329</v>
      </c>
      <c r="E10" s="202" t="s">
        <v>328</v>
      </c>
    </row>
    <row r="11" spans="1:5" s="135" customFormat="1" ht="12" customHeight="1" thickBot="1">
      <c r="A11" s="18" t="s">
        <v>5</v>
      </c>
      <c r="B11" s="19" t="s">
        <v>126</v>
      </c>
      <c r="C11" s="123">
        <f>+C12+C13+C14+C15+C16+C17</f>
        <v>0</v>
      </c>
      <c r="D11" s="123">
        <f>+D12+D13+D14+D15+D16+D17</f>
        <v>0</v>
      </c>
      <c r="E11" s="88">
        <f>+E12+E13+E14+E15+E16+E17</f>
        <v>0</v>
      </c>
    </row>
    <row r="12" spans="1:5" s="135" customFormat="1" ht="12" customHeight="1">
      <c r="A12" s="13" t="s">
        <v>61</v>
      </c>
      <c r="B12" s="136" t="s">
        <v>127</v>
      </c>
      <c r="C12" s="125"/>
      <c r="D12" s="125"/>
      <c r="E12" s="90"/>
    </row>
    <row r="13" spans="1:5" s="135" customFormat="1" ht="12" customHeight="1">
      <c r="A13" s="12" t="s">
        <v>62</v>
      </c>
      <c r="B13" s="137" t="s">
        <v>128</v>
      </c>
      <c r="C13" s="124"/>
      <c r="D13" s="124"/>
      <c r="E13" s="89"/>
    </row>
    <row r="14" spans="1:5" s="135" customFormat="1" ht="12" customHeight="1">
      <c r="A14" s="12" t="s">
        <v>63</v>
      </c>
      <c r="B14" s="137" t="s">
        <v>129</v>
      </c>
      <c r="C14" s="124"/>
      <c r="D14" s="124"/>
      <c r="E14" s="89"/>
    </row>
    <row r="15" spans="1:5" s="135" customFormat="1" ht="12" customHeight="1">
      <c r="A15" s="12" t="s">
        <v>64</v>
      </c>
      <c r="B15" s="137" t="s">
        <v>130</v>
      </c>
      <c r="C15" s="124"/>
      <c r="D15" s="124"/>
      <c r="E15" s="89"/>
    </row>
    <row r="16" spans="1:5" s="135" customFormat="1" ht="12" customHeight="1">
      <c r="A16" s="12" t="s">
        <v>94</v>
      </c>
      <c r="B16" s="96" t="s">
        <v>276</v>
      </c>
      <c r="C16" s="124"/>
      <c r="D16" s="124"/>
      <c r="E16" s="89"/>
    </row>
    <row r="17" spans="1:5" s="135" customFormat="1" ht="12" customHeight="1" thickBot="1">
      <c r="A17" s="14" t="s">
        <v>65</v>
      </c>
      <c r="B17" s="97" t="s">
        <v>277</v>
      </c>
      <c r="C17" s="124"/>
      <c r="D17" s="124"/>
      <c r="E17" s="89"/>
    </row>
    <row r="18" spans="1:5" s="135" customFormat="1" ht="12" customHeight="1" thickBot="1">
      <c r="A18" s="18" t="s">
        <v>6</v>
      </c>
      <c r="B18" s="95" t="s">
        <v>131</v>
      </c>
      <c r="C18" s="123">
        <f>+C19+C20+C21+C22+C23</f>
        <v>0</v>
      </c>
      <c r="D18" s="123">
        <f>+D19+D20+D21+D22+D23</f>
        <v>0</v>
      </c>
      <c r="E18" s="88">
        <f>+E19+E20+E21+E22+E23</f>
        <v>0</v>
      </c>
    </row>
    <row r="19" spans="1:5" s="135" customFormat="1" ht="12" customHeight="1">
      <c r="A19" s="13" t="s">
        <v>67</v>
      </c>
      <c r="B19" s="136" t="s">
        <v>132</v>
      </c>
      <c r="C19" s="125"/>
      <c r="D19" s="125"/>
      <c r="E19" s="90"/>
    </row>
    <row r="20" spans="1:5" s="135" customFormat="1" ht="12" customHeight="1">
      <c r="A20" s="12" t="s">
        <v>68</v>
      </c>
      <c r="B20" s="137" t="s">
        <v>133</v>
      </c>
      <c r="C20" s="124"/>
      <c r="D20" s="124"/>
      <c r="E20" s="89"/>
    </row>
    <row r="21" spans="1:5" s="135" customFormat="1" ht="12" customHeight="1">
      <c r="A21" s="12" t="s">
        <v>69</v>
      </c>
      <c r="B21" s="137" t="s">
        <v>269</v>
      </c>
      <c r="C21" s="124"/>
      <c r="D21" s="124"/>
      <c r="E21" s="89"/>
    </row>
    <row r="22" spans="1:5" s="135" customFormat="1" ht="12" customHeight="1">
      <c r="A22" s="12" t="s">
        <v>70</v>
      </c>
      <c r="B22" s="137" t="s">
        <v>270</v>
      </c>
      <c r="C22" s="124"/>
      <c r="D22" s="124"/>
      <c r="E22" s="89"/>
    </row>
    <row r="23" spans="1:5" s="135" customFormat="1" ht="12" customHeight="1">
      <c r="A23" s="12" t="s">
        <v>71</v>
      </c>
      <c r="B23" s="137" t="s">
        <v>134</v>
      </c>
      <c r="C23" s="124"/>
      <c r="D23" s="124"/>
      <c r="E23" s="89"/>
    </row>
    <row r="24" spans="1:5" s="135" customFormat="1" ht="12" customHeight="1" thickBot="1">
      <c r="A24" s="14" t="s">
        <v>78</v>
      </c>
      <c r="B24" s="97" t="s">
        <v>135</v>
      </c>
      <c r="C24" s="126"/>
      <c r="D24" s="126"/>
      <c r="E24" s="91"/>
    </row>
    <row r="25" spans="1:5" s="135" customFormat="1" ht="12" customHeight="1" thickBot="1">
      <c r="A25" s="18" t="s">
        <v>7</v>
      </c>
      <c r="B25" s="19" t="s">
        <v>136</v>
      </c>
      <c r="C25" s="123">
        <f>+C26+C27+C28+C29+C30</f>
        <v>0</v>
      </c>
      <c r="D25" s="123">
        <f>+D26+D27+D28+D29+D30</f>
        <v>0</v>
      </c>
      <c r="E25" s="88">
        <f>+E26+E27+E28+E29+E30</f>
        <v>0</v>
      </c>
    </row>
    <row r="26" spans="1:5" s="135" customFormat="1" ht="12" customHeight="1">
      <c r="A26" s="13" t="s">
        <v>50</v>
      </c>
      <c r="B26" s="136" t="s">
        <v>137</v>
      </c>
      <c r="C26" s="125"/>
      <c r="D26" s="125"/>
      <c r="E26" s="90"/>
    </row>
    <row r="27" spans="1:5" s="135" customFormat="1" ht="12" customHeight="1">
      <c r="A27" s="12" t="s">
        <v>51</v>
      </c>
      <c r="B27" s="137" t="s">
        <v>138</v>
      </c>
      <c r="C27" s="124"/>
      <c r="D27" s="124"/>
      <c r="E27" s="89"/>
    </row>
    <row r="28" spans="1:5" s="135" customFormat="1" ht="12" customHeight="1">
      <c r="A28" s="12" t="s">
        <v>52</v>
      </c>
      <c r="B28" s="137" t="s">
        <v>271</v>
      </c>
      <c r="C28" s="124"/>
      <c r="D28" s="124"/>
      <c r="E28" s="89"/>
    </row>
    <row r="29" spans="1:5" s="135" customFormat="1" ht="12" customHeight="1">
      <c r="A29" s="12" t="s">
        <v>53</v>
      </c>
      <c r="B29" s="137" t="s">
        <v>272</v>
      </c>
      <c r="C29" s="124"/>
      <c r="D29" s="124"/>
      <c r="E29" s="89"/>
    </row>
    <row r="30" spans="1:5" s="135" customFormat="1" ht="12" customHeight="1">
      <c r="A30" s="12" t="s">
        <v>100</v>
      </c>
      <c r="B30" s="137" t="s">
        <v>139</v>
      </c>
      <c r="C30" s="124"/>
      <c r="D30" s="124"/>
      <c r="E30" s="89"/>
    </row>
    <row r="31" spans="1:5" s="135" customFormat="1" ht="12" customHeight="1" thickBot="1">
      <c r="A31" s="14" t="s">
        <v>101</v>
      </c>
      <c r="B31" s="138" t="s">
        <v>140</v>
      </c>
      <c r="C31" s="126"/>
      <c r="D31" s="126"/>
      <c r="E31" s="91"/>
    </row>
    <row r="32" spans="1:5" s="135" customFormat="1" ht="12" customHeight="1" thickBot="1">
      <c r="A32" s="18" t="s">
        <v>102</v>
      </c>
      <c r="B32" s="19" t="s">
        <v>409</v>
      </c>
      <c r="C32" s="129">
        <f>SUM(C33:C39)</f>
        <v>0</v>
      </c>
      <c r="D32" s="129">
        <f>SUM(D33:D39)</f>
        <v>0</v>
      </c>
      <c r="E32" s="160">
        <f>SUM(E33:E39)</f>
        <v>0</v>
      </c>
    </row>
    <row r="33" spans="1:5" s="135" customFormat="1" ht="12" customHeight="1">
      <c r="A33" s="13" t="s">
        <v>141</v>
      </c>
      <c r="B33" s="136" t="str">
        <f>'ÖSSZ.ÖNK'!B33</f>
        <v>Kommunális adó</v>
      </c>
      <c r="C33" s="125"/>
      <c r="D33" s="125"/>
      <c r="E33" s="90"/>
    </row>
    <row r="34" spans="1:5" s="135" customFormat="1" ht="12" customHeight="1">
      <c r="A34" s="12" t="s">
        <v>142</v>
      </c>
      <c r="B34" s="136" t="str">
        <f>'ÖSSZ.ÖNK'!B34</f>
        <v>Iparűzési adó</v>
      </c>
      <c r="C34" s="124"/>
      <c r="D34" s="124"/>
      <c r="E34" s="89"/>
    </row>
    <row r="35" spans="1:5" s="135" customFormat="1" ht="12" customHeight="1">
      <c r="A35" s="12" t="s">
        <v>143</v>
      </c>
      <c r="B35" s="136" t="str">
        <f>'ÖSSZ.ÖNK'!B35</f>
        <v>Gépjárműadó</v>
      </c>
      <c r="C35" s="124"/>
      <c r="D35" s="124"/>
      <c r="E35" s="89"/>
    </row>
    <row r="36" spans="1:5" s="135" customFormat="1" ht="12" customHeight="1">
      <c r="A36" s="12" t="s">
        <v>144</v>
      </c>
      <c r="B36" s="136" t="str">
        <f>'ÖSSZ.ÖNK'!B36</f>
        <v>Idegenforgalmi adó</v>
      </c>
      <c r="C36" s="124"/>
      <c r="D36" s="124"/>
      <c r="E36" s="89"/>
    </row>
    <row r="37" spans="1:5" s="135" customFormat="1" ht="12" customHeight="1">
      <c r="A37" s="12" t="s">
        <v>411</v>
      </c>
      <c r="B37" s="136" t="str">
        <f>'ÖSSZ.ÖNK'!B37</f>
        <v>Egyéb közhatalmi bevételek</v>
      </c>
      <c r="C37" s="124"/>
      <c r="D37" s="124"/>
      <c r="E37" s="89"/>
    </row>
    <row r="38" spans="1:5" s="135" customFormat="1" ht="12" customHeight="1">
      <c r="A38" s="12" t="s">
        <v>412</v>
      </c>
      <c r="B38" s="136" t="str">
        <f>'ÖSSZ.ÖNK'!B38</f>
        <v>     -ebből: igazgatási szolgáltatási díjak</v>
      </c>
      <c r="C38" s="124"/>
      <c r="D38" s="124"/>
      <c r="E38" s="89"/>
    </row>
    <row r="39" spans="1:5" s="135" customFormat="1" ht="12" customHeight="1" thickBot="1">
      <c r="A39" s="14" t="s">
        <v>413</v>
      </c>
      <c r="B39" s="136" t="str">
        <f>'ÖSSZ.ÖNK'!B39</f>
        <v>     -ebből: egyéb bírság</v>
      </c>
      <c r="C39" s="126"/>
      <c r="D39" s="126"/>
      <c r="E39" s="91"/>
    </row>
    <row r="40" spans="1:5" s="135" customFormat="1" ht="12" customHeight="1" thickBot="1">
      <c r="A40" s="18" t="s">
        <v>9</v>
      </c>
      <c r="B40" s="19" t="s">
        <v>278</v>
      </c>
      <c r="C40" s="123">
        <f>SUM(C41:C51)</f>
        <v>0</v>
      </c>
      <c r="D40" s="123">
        <f>SUM(D41:D51)</f>
        <v>0</v>
      </c>
      <c r="E40" s="88">
        <f>SUM(E41:E51)</f>
        <v>0</v>
      </c>
    </row>
    <row r="41" spans="1:5" s="135" customFormat="1" ht="12" customHeight="1">
      <c r="A41" s="13" t="s">
        <v>54</v>
      </c>
      <c r="B41" s="136" t="s">
        <v>148</v>
      </c>
      <c r="C41" s="125"/>
      <c r="D41" s="125"/>
      <c r="E41" s="90"/>
    </row>
    <row r="42" spans="1:5" s="135" customFormat="1" ht="12" customHeight="1">
      <c r="A42" s="12" t="s">
        <v>55</v>
      </c>
      <c r="B42" s="137" t="s">
        <v>149</v>
      </c>
      <c r="C42" s="124"/>
      <c r="D42" s="124"/>
      <c r="E42" s="89"/>
    </row>
    <row r="43" spans="1:5" s="135" customFormat="1" ht="12" customHeight="1">
      <c r="A43" s="12" t="s">
        <v>56</v>
      </c>
      <c r="B43" s="137" t="s">
        <v>150</v>
      </c>
      <c r="C43" s="124"/>
      <c r="D43" s="124"/>
      <c r="E43" s="89"/>
    </row>
    <row r="44" spans="1:5" s="135" customFormat="1" ht="12" customHeight="1">
      <c r="A44" s="12" t="s">
        <v>104</v>
      </c>
      <c r="B44" s="137" t="s">
        <v>151</v>
      </c>
      <c r="C44" s="124"/>
      <c r="D44" s="124"/>
      <c r="E44" s="89"/>
    </row>
    <row r="45" spans="1:5" s="135" customFormat="1" ht="12" customHeight="1">
      <c r="A45" s="12" t="s">
        <v>105</v>
      </c>
      <c r="B45" s="137" t="s">
        <v>152</v>
      </c>
      <c r="C45" s="124"/>
      <c r="D45" s="124"/>
      <c r="E45" s="89"/>
    </row>
    <row r="46" spans="1:5" s="135" customFormat="1" ht="12" customHeight="1">
      <c r="A46" s="12" t="s">
        <v>106</v>
      </c>
      <c r="B46" s="137" t="s">
        <v>153</v>
      </c>
      <c r="C46" s="124"/>
      <c r="D46" s="124"/>
      <c r="E46" s="89"/>
    </row>
    <row r="47" spans="1:5" s="135" customFormat="1" ht="12" customHeight="1">
      <c r="A47" s="12" t="s">
        <v>107</v>
      </c>
      <c r="B47" s="137" t="s">
        <v>154</v>
      </c>
      <c r="C47" s="124"/>
      <c r="D47" s="124"/>
      <c r="E47" s="89"/>
    </row>
    <row r="48" spans="1:5" s="135" customFormat="1" ht="12" customHeight="1">
      <c r="A48" s="12" t="s">
        <v>108</v>
      </c>
      <c r="B48" s="137" t="s">
        <v>414</v>
      </c>
      <c r="C48" s="124"/>
      <c r="D48" s="124"/>
      <c r="E48" s="89"/>
    </row>
    <row r="49" spans="1:5" s="135" customFormat="1" ht="12" customHeight="1">
      <c r="A49" s="12" t="s">
        <v>146</v>
      </c>
      <c r="B49" s="137" t="s">
        <v>156</v>
      </c>
      <c r="C49" s="127"/>
      <c r="D49" s="127"/>
      <c r="E49" s="92"/>
    </row>
    <row r="50" spans="1:5" s="135" customFormat="1" ht="12" customHeight="1">
      <c r="A50" s="14" t="s">
        <v>147</v>
      </c>
      <c r="B50" s="138" t="s">
        <v>280</v>
      </c>
      <c r="C50" s="128"/>
      <c r="D50" s="128"/>
      <c r="E50" s="93"/>
    </row>
    <row r="51" spans="1:5" s="135" customFormat="1" ht="12" customHeight="1" thickBot="1">
      <c r="A51" s="14" t="s">
        <v>279</v>
      </c>
      <c r="B51" s="97" t="s">
        <v>157</v>
      </c>
      <c r="C51" s="128"/>
      <c r="D51" s="128"/>
      <c r="E51" s="93"/>
    </row>
    <row r="52" spans="1:5" s="135" customFormat="1" ht="12" customHeight="1" thickBot="1">
      <c r="A52" s="18" t="s">
        <v>10</v>
      </c>
      <c r="B52" s="19" t="s">
        <v>158</v>
      </c>
      <c r="C52" s="123">
        <f>SUM(C53:C57)</f>
        <v>0</v>
      </c>
      <c r="D52" s="123">
        <f>SUM(D53:D57)</f>
        <v>0</v>
      </c>
      <c r="E52" s="88">
        <f>SUM(E53:E57)</f>
        <v>0</v>
      </c>
    </row>
    <row r="53" spans="1:5" s="135" customFormat="1" ht="12" customHeight="1">
      <c r="A53" s="13" t="s">
        <v>57</v>
      </c>
      <c r="B53" s="136" t="s">
        <v>162</v>
      </c>
      <c r="C53" s="171"/>
      <c r="D53" s="171"/>
      <c r="E53" s="94"/>
    </row>
    <row r="54" spans="1:5" s="135" customFormat="1" ht="12" customHeight="1">
      <c r="A54" s="12" t="s">
        <v>58</v>
      </c>
      <c r="B54" s="137" t="s">
        <v>163</v>
      </c>
      <c r="C54" s="127"/>
      <c r="D54" s="127"/>
      <c r="E54" s="92"/>
    </row>
    <row r="55" spans="1:5" s="135" customFormat="1" ht="12" customHeight="1">
      <c r="A55" s="12" t="s">
        <v>159</v>
      </c>
      <c r="B55" s="137" t="s">
        <v>164</v>
      </c>
      <c r="C55" s="127"/>
      <c r="D55" s="127"/>
      <c r="E55" s="92"/>
    </row>
    <row r="56" spans="1:5" s="135" customFormat="1" ht="12" customHeight="1">
      <c r="A56" s="12" t="s">
        <v>160</v>
      </c>
      <c r="B56" s="137" t="s">
        <v>165</v>
      </c>
      <c r="C56" s="127"/>
      <c r="D56" s="127"/>
      <c r="E56" s="92"/>
    </row>
    <row r="57" spans="1:5" s="135" customFormat="1" ht="12" customHeight="1" thickBot="1">
      <c r="A57" s="14" t="s">
        <v>161</v>
      </c>
      <c r="B57" s="97" t="s">
        <v>166</v>
      </c>
      <c r="C57" s="128"/>
      <c r="D57" s="128"/>
      <c r="E57" s="93"/>
    </row>
    <row r="58" spans="1:5" s="135" customFormat="1" ht="12" customHeight="1" thickBot="1">
      <c r="A58" s="18" t="s">
        <v>109</v>
      </c>
      <c r="B58" s="19" t="s">
        <v>167</v>
      </c>
      <c r="C58" s="123">
        <f>SUM(C59:C61)</f>
        <v>0</v>
      </c>
      <c r="D58" s="123">
        <f>SUM(D59:D61)</f>
        <v>0</v>
      </c>
      <c r="E58" s="88">
        <f>SUM(E59:E61)</f>
        <v>0</v>
      </c>
    </row>
    <row r="59" spans="1:5" s="135" customFormat="1" ht="12" customHeight="1">
      <c r="A59" s="13" t="s">
        <v>59</v>
      </c>
      <c r="B59" s="136" t="s">
        <v>168</v>
      </c>
      <c r="C59" s="125"/>
      <c r="D59" s="125"/>
      <c r="E59" s="90"/>
    </row>
    <row r="60" spans="1:5" s="135" customFormat="1" ht="12" customHeight="1">
      <c r="A60" s="12" t="s">
        <v>60</v>
      </c>
      <c r="B60" s="137" t="s">
        <v>273</v>
      </c>
      <c r="C60" s="124"/>
      <c r="D60" s="124"/>
      <c r="E60" s="89"/>
    </row>
    <row r="61" spans="1:5" s="135" customFormat="1" ht="12" customHeight="1">
      <c r="A61" s="12" t="s">
        <v>171</v>
      </c>
      <c r="B61" s="137" t="s">
        <v>169</v>
      </c>
      <c r="C61" s="124"/>
      <c r="D61" s="124"/>
      <c r="E61" s="89"/>
    </row>
    <row r="62" spans="1:5" s="135" customFormat="1" ht="12" customHeight="1" thickBot="1">
      <c r="A62" s="14" t="s">
        <v>172</v>
      </c>
      <c r="B62" s="97" t="s">
        <v>170</v>
      </c>
      <c r="C62" s="126"/>
      <c r="D62" s="126"/>
      <c r="E62" s="91"/>
    </row>
    <row r="63" spans="1:5" s="135" customFormat="1" ht="12" customHeight="1" thickBot="1">
      <c r="A63" s="18" t="s">
        <v>12</v>
      </c>
      <c r="B63" s="95" t="s">
        <v>173</v>
      </c>
      <c r="C63" s="123">
        <f>SUM(C64:C66)</f>
        <v>0</v>
      </c>
      <c r="D63" s="123">
        <f>SUM(D64:D66)</f>
        <v>0</v>
      </c>
      <c r="E63" s="88">
        <f>SUM(E64:E66)</f>
        <v>0</v>
      </c>
    </row>
    <row r="64" spans="1:5" s="135" customFormat="1" ht="12" customHeight="1">
      <c r="A64" s="13" t="s">
        <v>110</v>
      </c>
      <c r="B64" s="136" t="s">
        <v>175</v>
      </c>
      <c r="C64" s="127"/>
      <c r="D64" s="127"/>
      <c r="E64" s="92"/>
    </row>
    <row r="65" spans="1:5" s="135" customFormat="1" ht="12" customHeight="1">
      <c r="A65" s="12" t="s">
        <v>111</v>
      </c>
      <c r="B65" s="137" t="s">
        <v>274</v>
      </c>
      <c r="C65" s="127"/>
      <c r="D65" s="127"/>
      <c r="E65" s="92"/>
    </row>
    <row r="66" spans="1:5" s="135" customFormat="1" ht="12" customHeight="1">
      <c r="A66" s="12" t="s">
        <v>123</v>
      </c>
      <c r="B66" s="137" t="s">
        <v>176</v>
      </c>
      <c r="C66" s="127"/>
      <c r="D66" s="127"/>
      <c r="E66" s="92"/>
    </row>
    <row r="67" spans="1:5" s="135" customFormat="1" ht="12" customHeight="1" thickBot="1">
      <c r="A67" s="14" t="s">
        <v>174</v>
      </c>
      <c r="B67" s="97" t="s">
        <v>177</v>
      </c>
      <c r="C67" s="127"/>
      <c r="D67" s="127"/>
      <c r="E67" s="92"/>
    </row>
    <row r="68" spans="1:5" s="135" customFormat="1" ht="12" customHeight="1" thickBot="1">
      <c r="A68" s="185" t="s">
        <v>320</v>
      </c>
      <c r="B68" s="19" t="s">
        <v>178</v>
      </c>
      <c r="C68" s="129">
        <f>+C11+C18+C25+C32+C40+C52+C58+C63</f>
        <v>0</v>
      </c>
      <c r="D68" s="129">
        <f>+D11+D18+D25+D32+D40+D52+D58+D63</f>
        <v>0</v>
      </c>
      <c r="E68" s="160">
        <f>+E11+E18+E25+E32+E40+E52+E58+E63</f>
        <v>0</v>
      </c>
    </row>
    <row r="69" spans="1:5" s="135" customFormat="1" ht="12" customHeight="1" thickBot="1">
      <c r="A69" s="172" t="s">
        <v>179</v>
      </c>
      <c r="B69" s="95" t="s">
        <v>180</v>
      </c>
      <c r="C69" s="123">
        <f>SUM(C70:C72)</f>
        <v>0</v>
      </c>
      <c r="D69" s="123">
        <f>SUM(D70:D72)</f>
        <v>0</v>
      </c>
      <c r="E69" s="88">
        <f>SUM(E70:E72)</f>
        <v>0</v>
      </c>
    </row>
    <row r="70" spans="1:5" s="135" customFormat="1" ht="12" customHeight="1">
      <c r="A70" s="13" t="s">
        <v>208</v>
      </c>
      <c r="B70" s="136" t="s">
        <v>181</v>
      </c>
      <c r="C70" s="127"/>
      <c r="D70" s="127"/>
      <c r="E70" s="92"/>
    </row>
    <row r="71" spans="1:5" s="135" customFormat="1" ht="12" customHeight="1">
      <c r="A71" s="12" t="s">
        <v>217</v>
      </c>
      <c r="B71" s="137" t="s">
        <v>182</v>
      </c>
      <c r="C71" s="127"/>
      <c r="D71" s="127"/>
      <c r="E71" s="92"/>
    </row>
    <row r="72" spans="1:5" s="135" customFormat="1" ht="12" customHeight="1" thickBot="1">
      <c r="A72" s="14" t="s">
        <v>218</v>
      </c>
      <c r="B72" s="181" t="s">
        <v>305</v>
      </c>
      <c r="C72" s="127"/>
      <c r="D72" s="127"/>
      <c r="E72" s="92"/>
    </row>
    <row r="73" spans="1:5" s="135" customFormat="1" ht="12" customHeight="1" thickBot="1">
      <c r="A73" s="172" t="s">
        <v>184</v>
      </c>
      <c r="B73" s="95" t="s">
        <v>185</v>
      </c>
      <c r="C73" s="123">
        <f>SUM(C74:C77)</f>
        <v>0</v>
      </c>
      <c r="D73" s="123">
        <f>SUM(D74:D77)</f>
        <v>0</v>
      </c>
      <c r="E73" s="88">
        <f>SUM(E74:E77)</f>
        <v>0</v>
      </c>
    </row>
    <row r="74" spans="1:5" s="135" customFormat="1" ht="12" customHeight="1">
      <c r="A74" s="13" t="s">
        <v>95</v>
      </c>
      <c r="B74" s="251" t="s">
        <v>186</v>
      </c>
      <c r="C74" s="127"/>
      <c r="D74" s="127"/>
      <c r="E74" s="92"/>
    </row>
    <row r="75" spans="1:5" s="135" customFormat="1" ht="12" customHeight="1">
      <c r="A75" s="12" t="s">
        <v>96</v>
      </c>
      <c r="B75" s="251" t="s">
        <v>419</v>
      </c>
      <c r="C75" s="127"/>
      <c r="D75" s="127"/>
      <c r="E75" s="92"/>
    </row>
    <row r="76" spans="1:5" s="135" customFormat="1" ht="12" customHeight="1">
      <c r="A76" s="12" t="s">
        <v>209</v>
      </c>
      <c r="B76" s="251" t="s">
        <v>187</v>
      </c>
      <c r="C76" s="127"/>
      <c r="D76" s="127"/>
      <c r="E76" s="92"/>
    </row>
    <row r="77" spans="1:5" s="135" customFormat="1" ht="12" customHeight="1" thickBot="1">
      <c r="A77" s="14" t="s">
        <v>210</v>
      </c>
      <c r="B77" s="252" t="s">
        <v>420</v>
      </c>
      <c r="C77" s="127"/>
      <c r="D77" s="127"/>
      <c r="E77" s="92"/>
    </row>
    <row r="78" spans="1:5" s="135" customFormat="1" ht="12" customHeight="1" thickBot="1">
      <c r="A78" s="172" t="s">
        <v>188</v>
      </c>
      <c r="B78" s="95" t="s">
        <v>189</v>
      </c>
      <c r="C78" s="123">
        <f>SUM(C79:C80)</f>
        <v>809304</v>
      </c>
      <c r="D78" s="123">
        <f>SUM(D79:D80)</f>
        <v>809304</v>
      </c>
      <c r="E78" s="88">
        <f>SUM(E79:E80)</f>
        <v>832627</v>
      </c>
    </row>
    <row r="79" spans="1:5" s="135" customFormat="1" ht="12" customHeight="1">
      <c r="A79" s="13" t="s">
        <v>211</v>
      </c>
      <c r="B79" s="136" t="s">
        <v>190</v>
      </c>
      <c r="C79" s="127">
        <v>809304</v>
      </c>
      <c r="D79" s="127">
        <v>809304</v>
      </c>
      <c r="E79" s="92">
        <v>832627</v>
      </c>
    </row>
    <row r="80" spans="1:5" s="135" customFormat="1" ht="12" customHeight="1" thickBot="1">
      <c r="A80" s="14" t="s">
        <v>212</v>
      </c>
      <c r="B80" s="97" t="s">
        <v>191</v>
      </c>
      <c r="C80" s="127"/>
      <c r="D80" s="127"/>
      <c r="E80" s="92"/>
    </row>
    <row r="81" spans="1:5" s="135" customFormat="1" ht="12" customHeight="1" thickBot="1">
      <c r="A81" s="172" t="s">
        <v>192</v>
      </c>
      <c r="B81" s="95" t="s">
        <v>193</v>
      </c>
      <c r="C81" s="123">
        <f>SUM(C82:C84)</f>
        <v>0</v>
      </c>
      <c r="D81" s="123">
        <f>SUM(D82:D84)</f>
        <v>0</v>
      </c>
      <c r="E81" s="88">
        <f>SUM(E82:E84)</f>
        <v>0</v>
      </c>
    </row>
    <row r="82" spans="1:5" s="135" customFormat="1" ht="12" customHeight="1">
      <c r="A82" s="13" t="s">
        <v>213</v>
      </c>
      <c r="B82" s="136" t="s">
        <v>194</v>
      </c>
      <c r="C82" s="127"/>
      <c r="D82" s="127"/>
      <c r="E82" s="92"/>
    </row>
    <row r="83" spans="1:5" s="135" customFormat="1" ht="12" customHeight="1">
      <c r="A83" s="12" t="s">
        <v>214</v>
      </c>
      <c r="B83" s="137" t="s">
        <v>195</v>
      </c>
      <c r="C83" s="127"/>
      <c r="D83" s="127"/>
      <c r="E83" s="92"/>
    </row>
    <row r="84" spans="1:5" s="135" customFormat="1" ht="12" customHeight="1" thickBot="1">
      <c r="A84" s="14" t="s">
        <v>215</v>
      </c>
      <c r="B84" s="97" t="s">
        <v>421</v>
      </c>
      <c r="C84" s="127"/>
      <c r="D84" s="127"/>
      <c r="E84" s="92"/>
    </row>
    <row r="85" spans="1:5" s="135" customFormat="1" ht="12" customHeight="1" thickBot="1">
      <c r="A85" s="172" t="s">
        <v>196</v>
      </c>
      <c r="B85" s="95" t="s">
        <v>216</v>
      </c>
      <c r="C85" s="123">
        <f>SUM(C86:C89)</f>
        <v>0</v>
      </c>
      <c r="D85" s="123">
        <f>SUM(D86:D89)</f>
        <v>0</v>
      </c>
      <c r="E85" s="88">
        <f>SUM(E86:E89)</f>
        <v>0</v>
      </c>
    </row>
    <row r="86" spans="1:5" s="135" customFormat="1" ht="12" customHeight="1">
      <c r="A86" s="140" t="s">
        <v>197</v>
      </c>
      <c r="B86" s="136" t="s">
        <v>198</v>
      </c>
      <c r="C86" s="127"/>
      <c r="D86" s="127"/>
      <c r="E86" s="92"/>
    </row>
    <row r="87" spans="1:5" s="135" customFormat="1" ht="12" customHeight="1">
      <c r="A87" s="141" t="s">
        <v>199</v>
      </c>
      <c r="B87" s="137" t="s">
        <v>200</v>
      </c>
      <c r="C87" s="127"/>
      <c r="D87" s="127"/>
      <c r="E87" s="92"/>
    </row>
    <row r="88" spans="1:5" s="135" customFormat="1" ht="12" customHeight="1">
      <c r="A88" s="141" t="s">
        <v>201</v>
      </c>
      <c r="B88" s="137" t="s">
        <v>202</v>
      </c>
      <c r="C88" s="127"/>
      <c r="D88" s="127"/>
      <c r="E88" s="92"/>
    </row>
    <row r="89" spans="1:5" s="135" customFormat="1" ht="12" customHeight="1" thickBot="1">
      <c r="A89" s="142" t="s">
        <v>203</v>
      </c>
      <c r="B89" s="97" t="s">
        <v>204</v>
      </c>
      <c r="C89" s="127"/>
      <c r="D89" s="127"/>
      <c r="E89" s="92"/>
    </row>
    <row r="90" spans="1:5" s="135" customFormat="1" ht="12" customHeight="1" thickBot="1">
      <c r="A90" s="172" t="s">
        <v>205</v>
      </c>
      <c r="B90" s="95" t="s">
        <v>319</v>
      </c>
      <c r="C90" s="174"/>
      <c r="D90" s="174"/>
      <c r="E90" s="175"/>
    </row>
    <row r="91" spans="1:5" s="135" customFormat="1" ht="13.5" customHeight="1" thickBot="1">
      <c r="A91" s="172" t="s">
        <v>207</v>
      </c>
      <c r="B91" s="95" t="s">
        <v>206</v>
      </c>
      <c r="C91" s="174"/>
      <c r="D91" s="174"/>
      <c r="E91" s="175"/>
    </row>
    <row r="92" spans="1:5" s="135" customFormat="1" ht="15.75" customHeight="1" thickBot="1">
      <c r="A92" s="172" t="s">
        <v>219</v>
      </c>
      <c r="B92" s="143" t="s">
        <v>322</v>
      </c>
      <c r="C92" s="129">
        <f>+C69+C73+C78+C81+C85+C91+C90</f>
        <v>809304</v>
      </c>
      <c r="D92" s="129">
        <f>+D69+D73+D78+D81+D85+D91+D90</f>
        <v>809304</v>
      </c>
      <c r="E92" s="160">
        <f>+E69+E73+E78+E81+E85+E91+E90</f>
        <v>832627</v>
      </c>
    </row>
    <row r="93" spans="1:5" s="135" customFormat="1" ht="25.5" customHeight="1" thickBot="1">
      <c r="A93" s="173" t="s">
        <v>321</v>
      </c>
      <c r="B93" s="144" t="s">
        <v>323</v>
      </c>
      <c r="C93" s="129">
        <f>+C68+C92</f>
        <v>809304</v>
      </c>
      <c r="D93" s="129">
        <f>+D68+D92</f>
        <v>809304</v>
      </c>
      <c r="E93" s="160">
        <f>+E68+E92</f>
        <v>832627</v>
      </c>
    </row>
    <row r="94" spans="1:3" s="135" customFormat="1" ht="15" customHeight="1">
      <c r="A94" s="3"/>
      <c r="B94" s="4"/>
      <c r="C94" s="99"/>
    </row>
    <row r="95" spans="1:5" ht="16.5" customHeight="1">
      <c r="A95" s="591" t="s">
        <v>33</v>
      </c>
      <c r="B95" s="591"/>
      <c r="C95" s="591"/>
      <c r="D95" s="591"/>
      <c r="E95" s="591"/>
    </row>
    <row r="96" spans="1:5" s="145" customFormat="1" ht="16.5" customHeight="1" thickBot="1">
      <c r="A96" s="593" t="s">
        <v>98</v>
      </c>
      <c r="B96" s="593"/>
      <c r="C96" s="59"/>
      <c r="E96" s="59" t="str">
        <f>E7</f>
        <v> Forintban!</v>
      </c>
    </row>
    <row r="97" spans="1:5" ht="15.75">
      <c r="A97" s="582" t="s">
        <v>49</v>
      </c>
      <c r="B97" s="584" t="s">
        <v>360</v>
      </c>
      <c r="C97" s="586" t="str">
        <f>+CONCATENATE(LEFT(Z_ÖSSZEFÜGGÉSEK!A6,4),". évi")</f>
        <v>2019. évi</v>
      </c>
      <c r="D97" s="587"/>
      <c r="E97" s="588"/>
    </row>
    <row r="98" spans="1:5" ht="24.75" thickBot="1">
      <c r="A98" s="583"/>
      <c r="B98" s="585"/>
      <c r="C98" s="201" t="s">
        <v>358</v>
      </c>
      <c r="D98" s="200" t="s">
        <v>359</v>
      </c>
      <c r="E98" s="253" t="str">
        <f>CONCATENATE(E9)</f>
        <v>2019. XII. 31.
teljesítés</v>
      </c>
    </row>
    <row r="99" spans="1:5" s="134" customFormat="1" ht="12" customHeight="1" thickBot="1">
      <c r="A99" s="25" t="s">
        <v>325</v>
      </c>
      <c r="B99" s="26" t="s">
        <v>326</v>
      </c>
      <c r="C99" s="26" t="s">
        <v>327</v>
      </c>
      <c r="D99" s="26" t="s">
        <v>329</v>
      </c>
      <c r="E99" s="212" t="s">
        <v>328</v>
      </c>
    </row>
    <row r="100" spans="1:5" ht="12" customHeight="1" thickBot="1">
      <c r="A100" s="20" t="s">
        <v>5</v>
      </c>
      <c r="B100" s="24" t="s">
        <v>281</v>
      </c>
      <c r="C100" s="122">
        <f>C101+C102+C103+C104+C105+C118</f>
        <v>60199989</v>
      </c>
      <c r="D100" s="122">
        <f>D101+D102+D103+D104+D105+D118</f>
        <v>75210512</v>
      </c>
      <c r="E100" s="187">
        <f>E101+E102+E103+E104+E105+E118</f>
        <v>65051263</v>
      </c>
    </row>
    <row r="101" spans="1:5" ht="12" customHeight="1">
      <c r="A101" s="15" t="s">
        <v>61</v>
      </c>
      <c r="B101" s="8" t="s">
        <v>34</v>
      </c>
      <c r="C101" s="194">
        <v>46641900</v>
      </c>
      <c r="D101" s="194">
        <v>59020101</v>
      </c>
      <c r="E101" s="188">
        <v>51171738</v>
      </c>
    </row>
    <row r="102" spans="1:5" ht="12" customHeight="1">
      <c r="A102" s="12" t="s">
        <v>62</v>
      </c>
      <c r="B102" s="6" t="s">
        <v>112</v>
      </c>
      <c r="C102" s="124">
        <v>9276375</v>
      </c>
      <c r="D102" s="124">
        <v>10163499</v>
      </c>
      <c r="E102" s="89">
        <v>9455883</v>
      </c>
    </row>
    <row r="103" spans="1:5" ht="12" customHeight="1">
      <c r="A103" s="12" t="s">
        <v>63</v>
      </c>
      <c r="B103" s="6" t="s">
        <v>87</v>
      </c>
      <c r="C103" s="126">
        <v>4281714</v>
      </c>
      <c r="D103" s="126">
        <v>6026912</v>
      </c>
      <c r="E103" s="91">
        <v>4423642</v>
      </c>
    </row>
    <row r="104" spans="1:5" ht="12" customHeight="1">
      <c r="A104" s="12" t="s">
        <v>64</v>
      </c>
      <c r="B104" s="9" t="s">
        <v>113</v>
      </c>
      <c r="C104" s="126"/>
      <c r="D104" s="126"/>
      <c r="E104" s="91"/>
    </row>
    <row r="105" spans="1:5" ht="12" customHeight="1">
      <c r="A105" s="12" t="s">
        <v>73</v>
      </c>
      <c r="B105" s="17" t="s">
        <v>114</v>
      </c>
      <c r="C105" s="126"/>
      <c r="D105" s="126"/>
      <c r="E105" s="91"/>
    </row>
    <row r="106" spans="1:5" ht="12" customHeight="1">
      <c r="A106" s="12" t="s">
        <v>65</v>
      </c>
      <c r="B106" s="6" t="s">
        <v>286</v>
      </c>
      <c r="C106" s="126"/>
      <c r="D106" s="126"/>
      <c r="E106" s="91"/>
    </row>
    <row r="107" spans="1:5" ht="12" customHeight="1">
      <c r="A107" s="12" t="s">
        <v>66</v>
      </c>
      <c r="B107" s="63" t="s">
        <v>285</v>
      </c>
      <c r="C107" s="126"/>
      <c r="D107" s="126"/>
      <c r="E107" s="91"/>
    </row>
    <row r="108" spans="1:5" ht="12" customHeight="1">
      <c r="A108" s="12" t="s">
        <v>74</v>
      </c>
      <c r="B108" s="63" t="s">
        <v>284</v>
      </c>
      <c r="C108" s="126"/>
      <c r="D108" s="126"/>
      <c r="E108" s="91"/>
    </row>
    <row r="109" spans="1:5" ht="12" customHeight="1">
      <c r="A109" s="12" t="s">
        <v>75</v>
      </c>
      <c r="B109" s="61" t="s">
        <v>222</v>
      </c>
      <c r="C109" s="126"/>
      <c r="D109" s="126"/>
      <c r="E109" s="91"/>
    </row>
    <row r="110" spans="1:5" ht="12" customHeight="1">
      <c r="A110" s="12" t="s">
        <v>76</v>
      </c>
      <c r="B110" s="62" t="s">
        <v>223</v>
      </c>
      <c r="C110" s="126"/>
      <c r="D110" s="126"/>
      <c r="E110" s="91"/>
    </row>
    <row r="111" spans="1:5" ht="12" customHeight="1">
      <c r="A111" s="12" t="s">
        <v>77</v>
      </c>
      <c r="B111" s="62" t="s">
        <v>224</v>
      </c>
      <c r="C111" s="126"/>
      <c r="D111" s="126"/>
      <c r="E111" s="91"/>
    </row>
    <row r="112" spans="1:5" ht="12" customHeight="1">
      <c r="A112" s="12" t="s">
        <v>79</v>
      </c>
      <c r="B112" s="61" t="s">
        <v>225</v>
      </c>
      <c r="C112" s="126"/>
      <c r="D112" s="126"/>
      <c r="E112" s="91"/>
    </row>
    <row r="113" spans="1:5" ht="12" customHeight="1">
      <c r="A113" s="12" t="s">
        <v>115</v>
      </c>
      <c r="B113" s="61" t="s">
        <v>226</v>
      </c>
      <c r="C113" s="126"/>
      <c r="D113" s="126"/>
      <c r="E113" s="91"/>
    </row>
    <row r="114" spans="1:5" ht="12" customHeight="1">
      <c r="A114" s="12" t="s">
        <v>220</v>
      </c>
      <c r="B114" s="62" t="s">
        <v>227</v>
      </c>
      <c r="C114" s="126"/>
      <c r="D114" s="126"/>
      <c r="E114" s="91"/>
    </row>
    <row r="115" spans="1:5" ht="12" customHeight="1">
      <c r="A115" s="11" t="s">
        <v>221</v>
      </c>
      <c r="B115" s="63" t="s">
        <v>228</v>
      </c>
      <c r="C115" s="126"/>
      <c r="D115" s="126"/>
      <c r="E115" s="91"/>
    </row>
    <row r="116" spans="1:5" ht="12" customHeight="1">
      <c r="A116" s="12" t="s">
        <v>282</v>
      </c>
      <c r="B116" s="63" t="s">
        <v>229</v>
      </c>
      <c r="C116" s="126"/>
      <c r="D116" s="126"/>
      <c r="E116" s="91"/>
    </row>
    <row r="117" spans="1:5" ht="12" customHeight="1">
      <c r="A117" s="14" t="s">
        <v>283</v>
      </c>
      <c r="B117" s="63" t="s">
        <v>230</v>
      </c>
      <c r="C117" s="126"/>
      <c r="D117" s="126"/>
      <c r="E117" s="91"/>
    </row>
    <row r="118" spans="1:5" ht="12" customHeight="1">
      <c r="A118" s="12" t="s">
        <v>287</v>
      </c>
      <c r="B118" s="9" t="s">
        <v>35</v>
      </c>
      <c r="C118" s="124"/>
      <c r="D118" s="124"/>
      <c r="E118" s="89"/>
    </row>
    <row r="119" spans="1:5" ht="12" customHeight="1">
      <c r="A119" s="12" t="s">
        <v>288</v>
      </c>
      <c r="B119" s="6" t="s">
        <v>290</v>
      </c>
      <c r="C119" s="124"/>
      <c r="D119" s="124"/>
      <c r="E119" s="89"/>
    </row>
    <row r="120" spans="1:5" ht="12" customHeight="1" thickBot="1">
      <c r="A120" s="16" t="s">
        <v>289</v>
      </c>
      <c r="B120" s="184" t="s">
        <v>291</v>
      </c>
      <c r="C120" s="195"/>
      <c r="D120" s="195"/>
      <c r="E120" s="189"/>
    </row>
    <row r="121" spans="1:5" ht="12" customHeight="1" thickBot="1">
      <c r="A121" s="182" t="s">
        <v>6</v>
      </c>
      <c r="B121" s="183" t="s">
        <v>231</v>
      </c>
      <c r="C121" s="196">
        <f>+C122+C124+C126</f>
        <v>450000</v>
      </c>
      <c r="D121" s="123">
        <f>+D122+D124+D126</f>
        <v>278500</v>
      </c>
      <c r="E121" s="190">
        <f>+E122+E124+E126</f>
        <v>237582</v>
      </c>
    </row>
    <row r="122" spans="1:5" ht="12" customHeight="1">
      <c r="A122" s="13" t="s">
        <v>67</v>
      </c>
      <c r="B122" s="6" t="s">
        <v>122</v>
      </c>
      <c r="C122" s="125">
        <v>450000</v>
      </c>
      <c r="D122" s="205">
        <v>278500</v>
      </c>
      <c r="E122" s="90">
        <v>237582</v>
      </c>
    </row>
    <row r="123" spans="1:5" ht="12" customHeight="1">
      <c r="A123" s="13" t="s">
        <v>68</v>
      </c>
      <c r="B123" s="10" t="s">
        <v>235</v>
      </c>
      <c r="C123" s="125"/>
      <c r="D123" s="205"/>
      <c r="E123" s="90"/>
    </row>
    <row r="124" spans="1:5" ht="12" customHeight="1">
      <c r="A124" s="13" t="s">
        <v>69</v>
      </c>
      <c r="B124" s="10" t="s">
        <v>116</v>
      </c>
      <c r="C124" s="124"/>
      <c r="D124" s="206"/>
      <c r="E124" s="89"/>
    </row>
    <row r="125" spans="1:5" ht="12" customHeight="1">
      <c r="A125" s="13" t="s">
        <v>70</v>
      </c>
      <c r="B125" s="10" t="s">
        <v>236</v>
      </c>
      <c r="C125" s="124"/>
      <c r="D125" s="206"/>
      <c r="E125" s="89"/>
    </row>
    <row r="126" spans="1:5" ht="12" customHeight="1">
      <c r="A126" s="13" t="s">
        <v>71</v>
      </c>
      <c r="B126" s="97" t="s">
        <v>124</v>
      </c>
      <c r="C126" s="124"/>
      <c r="D126" s="206"/>
      <c r="E126" s="89"/>
    </row>
    <row r="127" spans="1:5" ht="12" customHeight="1">
      <c r="A127" s="13" t="s">
        <v>78</v>
      </c>
      <c r="B127" s="96" t="s">
        <v>275</v>
      </c>
      <c r="C127" s="124"/>
      <c r="D127" s="206"/>
      <c r="E127" s="89"/>
    </row>
    <row r="128" spans="1:5" ht="12" customHeight="1">
      <c r="A128" s="13" t="s">
        <v>80</v>
      </c>
      <c r="B128" s="132" t="s">
        <v>241</v>
      </c>
      <c r="C128" s="124"/>
      <c r="D128" s="206"/>
      <c r="E128" s="89"/>
    </row>
    <row r="129" spans="1:5" ht="15.75">
      <c r="A129" s="13" t="s">
        <v>117</v>
      </c>
      <c r="B129" s="62" t="s">
        <v>224</v>
      </c>
      <c r="C129" s="124"/>
      <c r="D129" s="206"/>
      <c r="E129" s="89"/>
    </row>
    <row r="130" spans="1:5" ht="12" customHeight="1">
      <c r="A130" s="13" t="s">
        <v>118</v>
      </c>
      <c r="B130" s="62" t="s">
        <v>240</v>
      </c>
      <c r="C130" s="124"/>
      <c r="D130" s="206"/>
      <c r="E130" s="89"/>
    </row>
    <row r="131" spans="1:5" ht="12" customHeight="1">
      <c r="A131" s="13" t="s">
        <v>119</v>
      </c>
      <c r="B131" s="62" t="s">
        <v>239</v>
      </c>
      <c r="C131" s="124"/>
      <c r="D131" s="206"/>
      <c r="E131" s="89"/>
    </row>
    <row r="132" spans="1:5" ht="12" customHeight="1">
      <c r="A132" s="13" t="s">
        <v>232</v>
      </c>
      <c r="B132" s="62" t="s">
        <v>227</v>
      </c>
      <c r="C132" s="124"/>
      <c r="D132" s="206"/>
      <c r="E132" s="89"/>
    </row>
    <row r="133" spans="1:5" ht="12" customHeight="1">
      <c r="A133" s="13" t="s">
        <v>233</v>
      </c>
      <c r="B133" s="62" t="s">
        <v>238</v>
      </c>
      <c r="C133" s="124"/>
      <c r="D133" s="206"/>
      <c r="E133" s="89"/>
    </row>
    <row r="134" spans="1:5" ht="16.5" thickBot="1">
      <c r="A134" s="11" t="s">
        <v>234</v>
      </c>
      <c r="B134" s="62" t="s">
        <v>237</v>
      </c>
      <c r="C134" s="126"/>
      <c r="D134" s="207"/>
      <c r="E134" s="91"/>
    </row>
    <row r="135" spans="1:5" ht="12" customHeight="1" thickBot="1">
      <c r="A135" s="18" t="s">
        <v>7</v>
      </c>
      <c r="B135" s="56" t="s">
        <v>292</v>
      </c>
      <c r="C135" s="123">
        <f>+C100+C121</f>
        <v>60649989</v>
      </c>
      <c r="D135" s="204">
        <f>+D100+D121</f>
        <v>75489012</v>
      </c>
      <c r="E135" s="88">
        <f>+E100+E121</f>
        <v>65288845</v>
      </c>
    </row>
    <row r="136" spans="1:5" ht="12" customHeight="1" thickBot="1">
      <c r="A136" s="18" t="s">
        <v>8</v>
      </c>
      <c r="B136" s="56" t="s">
        <v>361</v>
      </c>
      <c r="C136" s="123">
        <f>+C137+C138+C139</f>
        <v>0</v>
      </c>
      <c r="D136" s="204">
        <f>+D137+D138+D139</f>
        <v>0</v>
      </c>
      <c r="E136" s="88">
        <f>+E137+E138+E139</f>
        <v>0</v>
      </c>
    </row>
    <row r="137" spans="1:5" ht="12" customHeight="1">
      <c r="A137" s="13" t="s">
        <v>141</v>
      </c>
      <c r="B137" s="10" t="s">
        <v>300</v>
      </c>
      <c r="C137" s="124"/>
      <c r="D137" s="206"/>
      <c r="E137" s="89"/>
    </row>
    <row r="138" spans="1:5" ht="12" customHeight="1">
      <c r="A138" s="13" t="s">
        <v>142</v>
      </c>
      <c r="B138" s="10" t="s">
        <v>301</v>
      </c>
      <c r="C138" s="124"/>
      <c r="D138" s="206"/>
      <c r="E138" s="89"/>
    </row>
    <row r="139" spans="1:5" ht="12" customHeight="1" thickBot="1">
      <c r="A139" s="11" t="s">
        <v>143</v>
      </c>
      <c r="B139" s="10" t="s">
        <v>302</v>
      </c>
      <c r="C139" s="124"/>
      <c r="D139" s="206"/>
      <c r="E139" s="89"/>
    </row>
    <row r="140" spans="1:5" ht="12" customHeight="1" thickBot="1">
      <c r="A140" s="18" t="s">
        <v>9</v>
      </c>
      <c r="B140" s="56" t="s">
        <v>294</v>
      </c>
      <c r="C140" s="123">
        <f>SUM(C141:C146)</f>
        <v>0</v>
      </c>
      <c r="D140" s="204">
        <f>SUM(D141:D146)</f>
        <v>0</v>
      </c>
      <c r="E140" s="88">
        <f>SUM(E141:E146)</f>
        <v>0</v>
      </c>
    </row>
    <row r="141" spans="1:5" ht="12" customHeight="1">
      <c r="A141" s="13" t="s">
        <v>54</v>
      </c>
      <c r="B141" s="7" t="s">
        <v>303</v>
      </c>
      <c r="C141" s="124"/>
      <c r="D141" s="206"/>
      <c r="E141" s="89"/>
    </row>
    <row r="142" spans="1:5" ht="12" customHeight="1">
      <c r="A142" s="13" t="s">
        <v>55</v>
      </c>
      <c r="B142" s="7" t="s">
        <v>295</v>
      </c>
      <c r="C142" s="124"/>
      <c r="D142" s="206"/>
      <c r="E142" s="89"/>
    </row>
    <row r="143" spans="1:5" ht="12" customHeight="1">
      <c r="A143" s="13" t="s">
        <v>56</v>
      </c>
      <c r="B143" s="7" t="s">
        <v>296</v>
      </c>
      <c r="C143" s="124"/>
      <c r="D143" s="206"/>
      <c r="E143" s="89"/>
    </row>
    <row r="144" spans="1:5" ht="12" customHeight="1">
      <c r="A144" s="13" t="s">
        <v>104</v>
      </c>
      <c r="B144" s="7" t="s">
        <v>297</v>
      </c>
      <c r="C144" s="124"/>
      <c r="D144" s="206"/>
      <c r="E144" s="89"/>
    </row>
    <row r="145" spans="1:5" ht="12" customHeight="1">
      <c r="A145" s="13" t="s">
        <v>105</v>
      </c>
      <c r="B145" s="7" t="s">
        <v>298</v>
      </c>
      <c r="C145" s="124"/>
      <c r="D145" s="206"/>
      <c r="E145" s="89"/>
    </row>
    <row r="146" spans="1:5" ht="12" customHeight="1" thickBot="1">
      <c r="A146" s="16" t="s">
        <v>106</v>
      </c>
      <c r="B146" s="257" t="s">
        <v>299</v>
      </c>
      <c r="C146" s="195"/>
      <c r="D146" s="238"/>
      <c r="E146" s="189"/>
    </row>
    <row r="147" spans="1:5" ht="12" customHeight="1" thickBot="1">
      <c r="A147" s="18" t="s">
        <v>10</v>
      </c>
      <c r="B147" s="56" t="s">
        <v>307</v>
      </c>
      <c r="C147" s="129">
        <f>+C148+C149+C150+C151</f>
        <v>0</v>
      </c>
      <c r="D147" s="208">
        <f>+D148+D149+D150+D151</f>
        <v>0</v>
      </c>
      <c r="E147" s="160">
        <f>+E148+E149+E150+E151</f>
        <v>0</v>
      </c>
    </row>
    <row r="148" spans="1:5" ht="12" customHeight="1">
      <c r="A148" s="13" t="s">
        <v>57</v>
      </c>
      <c r="B148" s="7" t="s">
        <v>242</v>
      </c>
      <c r="C148" s="124"/>
      <c r="D148" s="206"/>
      <c r="E148" s="89"/>
    </row>
    <row r="149" spans="1:5" ht="12" customHeight="1">
      <c r="A149" s="13" t="s">
        <v>58</v>
      </c>
      <c r="B149" s="7" t="s">
        <v>243</v>
      </c>
      <c r="C149" s="124"/>
      <c r="D149" s="206"/>
      <c r="E149" s="89"/>
    </row>
    <row r="150" spans="1:5" ht="12" customHeight="1">
      <c r="A150" s="13" t="s">
        <v>159</v>
      </c>
      <c r="B150" s="7" t="s">
        <v>308</v>
      </c>
      <c r="C150" s="124"/>
      <c r="D150" s="206"/>
      <c r="E150" s="89"/>
    </row>
    <row r="151" spans="1:5" ht="12" customHeight="1" thickBot="1">
      <c r="A151" s="11" t="s">
        <v>160</v>
      </c>
      <c r="B151" s="5" t="s">
        <v>246</v>
      </c>
      <c r="C151" s="124"/>
      <c r="D151" s="206"/>
      <c r="E151" s="89"/>
    </row>
    <row r="152" spans="1:5" ht="12" customHeight="1" thickBot="1">
      <c r="A152" s="18" t="s">
        <v>11</v>
      </c>
      <c r="B152" s="56" t="s">
        <v>309</v>
      </c>
      <c r="C152" s="197">
        <f>SUM(C153:C157)</f>
        <v>0</v>
      </c>
      <c r="D152" s="209">
        <f>SUM(D153:D157)</f>
        <v>0</v>
      </c>
      <c r="E152" s="191">
        <f>SUM(E153:E157)</f>
        <v>0</v>
      </c>
    </row>
    <row r="153" spans="1:5" ht="12" customHeight="1">
      <c r="A153" s="13" t="s">
        <v>59</v>
      </c>
      <c r="B153" s="7" t="s">
        <v>304</v>
      </c>
      <c r="C153" s="124"/>
      <c r="D153" s="206"/>
      <c r="E153" s="89"/>
    </row>
    <row r="154" spans="1:5" ht="12" customHeight="1">
      <c r="A154" s="13" t="s">
        <v>60</v>
      </c>
      <c r="B154" s="7" t="s">
        <v>311</v>
      </c>
      <c r="C154" s="124"/>
      <c r="D154" s="206"/>
      <c r="E154" s="89"/>
    </row>
    <row r="155" spans="1:5" ht="12" customHeight="1">
      <c r="A155" s="13" t="s">
        <v>171</v>
      </c>
      <c r="B155" s="7" t="s">
        <v>306</v>
      </c>
      <c r="C155" s="124"/>
      <c r="D155" s="206"/>
      <c r="E155" s="89"/>
    </row>
    <row r="156" spans="1:5" ht="12" customHeight="1">
      <c r="A156" s="13" t="s">
        <v>172</v>
      </c>
      <c r="B156" s="7" t="s">
        <v>312</v>
      </c>
      <c r="C156" s="124"/>
      <c r="D156" s="206"/>
      <c r="E156" s="89"/>
    </row>
    <row r="157" spans="1:5" ht="12" customHeight="1" thickBot="1">
      <c r="A157" s="13" t="s">
        <v>310</v>
      </c>
      <c r="B157" s="7" t="s">
        <v>313</v>
      </c>
      <c r="C157" s="124"/>
      <c r="D157" s="206"/>
      <c r="E157" s="89"/>
    </row>
    <row r="158" spans="1:5" ht="12" customHeight="1" thickBot="1">
      <c r="A158" s="18" t="s">
        <v>12</v>
      </c>
      <c r="B158" s="56" t="s">
        <v>314</v>
      </c>
      <c r="C158" s="198"/>
      <c r="D158" s="210"/>
      <c r="E158" s="192"/>
    </row>
    <row r="159" spans="1:5" ht="12" customHeight="1" thickBot="1">
      <c r="A159" s="18" t="s">
        <v>13</v>
      </c>
      <c r="B159" s="56" t="s">
        <v>315</v>
      </c>
      <c r="C159" s="198"/>
      <c r="D159" s="210"/>
      <c r="E159" s="192"/>
    </row>
    <row r="160" spans="1:9" ht="15" customHeight="1" thickBot="1">
      <c r="A160" s="18" t="s">
        <v>14</v>
      </c>
      <c r="B160" s="56" t="s">
        <v>317</v>
      </c>
      <c r="C160" s="199">
        <f>+C136+C140+C147+C152+C158+C159</f>
        <v>0</v>
      </c>
      <c r="D160" s="211">
        <f>+D136+D140+D147+D152+D158+D159</f>
        <v>0</v>
      </c>
      <c r="E160" s="193">
        <f>+E136+E140+E147+E152+E158+E159</f>
        <v>0</v>
      </c>
      <c r="F160" s="146"/>
      <c r="G160" s="147"/>
      <c r="H160" s="147"/>
      <c r="I160" s="147"/>
    </row>
    <row r="161" spans="1:5" s="135" customFormat="1" ht="12.75" customHeight="1" thickBot="1">
      <c r="A161" s="98" t="s">
        <v>15</v>
      </c>
      <c r="B161" s="113" t="s">
        <v>316</v>
      </c>
      <c r="C161" s="199">
        <f>+C135+C160</f>
        <v>60649989</v>
      </c>
      <c r="D161" s="211">
        <f>+D135+D160</f>
        <v>75489012</v>
      </c>
      <c r="E161" s="193">
        <f>+E135+E160</f>
        <v>65288845</v>
      </c>
    </row>
    <row r="162" spans="3:4" ht="15.75">
      <c r="C162" s="460">
        <f>C93-C161</f>
        <v>-59840685</v>
      </c>
      <c r="D162" s="460">
        <f>D93-D161</f>
        <v>-74679708</v>
      </c>
    </row>
    <row r="163" spans="1:5" ht="15.75">
      <c r="A163" s="589" t="s">
        <v>244</v>
      </c>
      <c r="B163" s="589"/>
      <c r="C163" s="589"/>
      <c r="D163" s="589"/>
      <c r="E163" s="589"/>
    </row>
    <row r="164" spans="1:5" ht="15" customHeight="1" thickBot="1">
      <c r="A164" s="581" t="s">
        <v>99</v>
      </c>
      <c r="B164" s="581"/>
      <c r="C164" s="100"/>
      <c r="E164" s="100" t="str">
        <f>E96</f>
        <v> Forintban!</v>
      </c>
    </row>
    <row r="165" spans="1:5" ht="25.5" customHeight="1" thickBot="1">
      <c r="A165" s="18">
        <v>1</v>
      </c>
      <c r="B165" s="23" t="s">
        <v>318</v>
      </c>
      <c r="C165" s="203">
        <f>+C68-C135</f>
        <v>-60649989</v>
      </c>
      <c r="D165" s="123">
        <f>+D68-D135</f>
        <v>-75489012</v>
      </c>
      <c r="E165" s="88">
        <f>+E68-E135</f>
        <v>-65288845</v>
      </c>
    </row>
    <row r="166" spans="1:5" ht="32.25" customHeight="1" thickBot="1">
      <c r="A166" s="18" t="s">
        <v>6</v>
      </c>
      <c r="B166" s="23" t="s">
        <v>324</v>
      </c>
      <c r="C166" s="123">
        <f>+C92-C160</f>
        <v>809304</v>
      </c>
      <c r="D166" s="123">
        <f>+D92-D160</f>
        <v>809304</v>
      </c>
      <c r="E166" s="88">
        <f>+E92-E160</f>
        <v>832627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22"/>
  <sheetViews>
    <sheetView zoomScale="120" zoomScaleNormal="120" workbookViewId="0" topLeftCell="A1">
      <selection activeCell="I9" sqref="I9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2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280"/>
      <c r="B1" s="595" t="str">
        <f>CONCATENATE("3. melléklet ",Z_ALAPADATOK!A7," ",Z_ALAPADATOK!B7," ",Z_ALAPADATOK!C7," ",Z_ALAPADATOK!D7," ",Z_ALAPADATOK!E7," ",Z_ALAPADATOK!F7," ",Z_ALAPADATOK!G7," ",Z_ALAPADATOK!H7)</f>
        <v>3. melléklet a 12 / 2020. ( VI.11. ) önkormányzati rendelethez</v>
      </c>
      <c r="C1" s="596"/>
      <c r="D1" s="596"/>
      <c r="E1" s="596"/>
      <c r="F1" s="596"/>
      <c r="G1" s="596"/>
    </row>
    <row r="2" spans="1:7" ht="12.75">
      <c r="A2" s="280"/>
      <c r="B2" s="281"/>
      <c r="C2" s="281"/>
      <c r="D2" s="281"/>
      <c r="E2" s="281"/>
      <c r="F2" s="281"/>
      <c r="G2" s="281"/>
    </row>
    <row r="3" spans="1:7" ht="25.5" customHeight="1">
      <c r="A3" s="594" t="s">
        <v>431</v>
      </c>
      <c r="B3" s="594"/>
      <c r="C3" s="594"/>
      <c r="D3" s="594"/>
      <c r="E3" s="594"/>
      <c r="F3" s="594"/>
      <c r="G3" s="594"/>
    </row>
    <row r="4" spans="1:7" ht="22.5" customHeight="1" thickBot="1">
      <c r="A4" s="280"/>
      <c r="B4" s="281"/>
      <c r="C4" s="281"/>
      <c r="D4" s="281"/>
      <c r="E4" s="281"/>
      <c r="F4" s="281"/>
      <c r="G4" s="282" t="s">
        <v>669</v>
      </c>
    </row>
    <row r="5" spans="1:7" s="29" customFormat="1" ht="44.25" customHeight="1" thickBot="1">
      <c r="A5" s="283" t="s">
        <v>45</v>
      </c>
      <c r="B5" s="254" t="s">
        <v>46</v>
      </c>
      <c r="C5" s="254" t="s">
        <v>47</v>
      </c>
      <c r="D5" s="254" t="str">
        <f>+CONCATENATE("Felhasználás   ",LEFT(Z_ÖSSZEFÜGGÉSEK!A6,4)-1,". XII. 31-ig")</f>
        <v>Felhasználás   2018. XII. 31-ig</v>
      </c>
      <c r="E5" s="254" t="str">
        <f>+CONCATENATE(LEFT(Z_ÖSSZEFÜGGÉSEK!A6,4),". évi",CHAR(10),"módosított előirányzat")</f>
        <v>2019. évi
módosított előirányzat</v>
      </c>
      <c r="F5" s="254" t="str">
        <f>+CONCATENATE("Teljesítés",CHAR(10),LEFT(Z_ÖSSZEFÜGGÉSEK!A6,4),". I. 1-től XII.31-ig")</f>
        <v>Teljesítés
2019. I. 1-től XII.31-ig</v>
      </c>
      <c r="G5" s="255" t="str">
        <f>+CONCATENATE("Összes teljesítés",CHAR(10),LEFT(Z_ÖSSZEFÜGGÉSEK!A6,4),". XII. 31-ig")</f>
        <v>Összes teljesítés
2019. XII. 31-ig</v>
      </c>
    </row>
    <row r="6" spans="1:7" s="32" customFormat="1" ht="12" customHeight="1" thickBot="1">
      <c r="A6" s="284" t="s">
        <v>325</v>
      </c>
      <c r="B6" s="285" t="s">
        <v>326</v>
      </c>
      <c r="C6" s="285" t="s">
        <v>327</v>
      </c>
      <c r="D6" s="285" t="s">
        <v>329</v>
      </c>
      <c r="E6" s="285" t="s">
        <v>328</v>
      </c>
      <c r="F6" s="285" t="s">
        <v>330</v>
      </c>
      <c r="G6" s="286" t="s">
        <v>381</v>
      </c>
    </row>
    <row r="7" spans="1:7" ht="20.25" customHeight="1">
      <c r="A7" s="564" t="s">
        <v>741</v>
      </c>
      <c r="B7" s="21">
        <v>12914630</v>
      </c>
      <c r="C7" s="177" t="s">
        <v>763</v>
      </c>
      <c r="D7" s="21"/>
      <c r="E7" s="21">
        <v>12914630</v>
      </c>
      <c r="F7" s="21">
        <v>12914630</v>
      </c>
      <c r="G7" s="33">
        <f>D7+F7</f>
        <v>12914630</v>
      </c>
    </row>
    <row r="8" spans="1:7" ht="21" customHeight="1">
      <c r="A8" s="564" t="s">
        <v>742</v>
      </c>
      <c r="B8" s="21">
        <v>9877589</v>
      </c>
      <c r="C8" s="177" t="s">
        <v>763</v>
      </c>
      <c r="D8" s="21"/>
      <c r="E8" s="21">
        <v>9920398</v>
      </c>
      <c r="F8" s="21">
        <f>SUM(8053624+237582+1586383)</f>
        <v>9877589</v>
      </c>
      <c r="G8" s="33">
        <f aca="true" t="shared" si="0" ref="G8:G21">D8+F8</f>
        <v>9877589</v>
      </c>
    </row>
    <row r="9" spans="1:7" ht="57" customHeight="1">
      <c r="A9" s="565" t="s">
        <v>743</v>
      </c>
      <c r="B9" s="21">
        <v>3880000</v>
      </c>
      <c r="C9" s="177" t="s">
        <v>755</v>
      </c>
      <c r="D9" s="21"/>
      <c r="E9" s="21">
        <v>3880001</v>
      </c>
      <c r="F9" s="21">
        <v>3880001</v>
      </c>
      <c r="G9" s="33">
        <f t="shared" si="0"/>
        <v>3880001</v>
      </c>
    </row>
    <row r="10" spans="1:7" ht="15.75" customHeight="1">
      <c r="A10" s="564" t="s">
        <v>764</v>
      </c>
      <c r="B10" s="21">
        <v>6100000</v>
      </c>
      <c r="C10" s="177" t="s">
        <v>755</v>
      </c>
      <c r="D10" s="21"/>
      <c r="E10" s="21">
        <v>6100000</v>
      </c>
      <c r="F10" s="21">
        <v>6100000</v>
      </c>
      <c r="G10" s="33">
        <f t="shared" si="0"/>
        <v>6100000</v>
      </c>
    </row>
    <row r="11" spans="1:7" ht="15.75" customHeight="1">
      <c r="A11" s="564"/>
      <c r="B11" s="21"/>
      <c r="C11" s="177"/>
      <c r="D11" s="21"/>
      <c r="E11" s="21"/>
      <c r="F11" s="21"/>
      <c r="G11" s="33">
        <f t="shared" si="0"/>
        <v>0</v>
      </c>
    </row>
    <row r="12" spans="1:7" ht="15.75" customHeight="1">
      <c r="A12" s="564"/>
      <c r="B12" s="21"/>
      <c r="C12" s="177"/>
      <c r="D12" s="21"/>
      <c r="E12" s="21"/>
      <c r="F12" s="21"/>
      <c r="G12" s="33">
        <f t="shared" si="0"/>
        <v>0</v>
      </c>
    </row>
    <row r="13" spans="1:7" ht="15.75" customHeight="1">
      <c r="A13" s="564"/>
      <c r="B13" s="21"/>
      <c r="C13" s="177"/>
      <c r="D13" s="21"/>
      <c r="E13" s="21"/>
      <c r="F13" s="21"/>
      <c r="G13" s="33">
        <f t="shared" si="0"/>
        <v>0</v>
      </c>
    </row>
    <row r="14" spans="1:7" ht="15.75" customHeight="1">
      <c r="A14" s="176"/>
      <c r="B14" s="21"/>
      <c r="C14" s="177"/>
      <c r="D14" s="21"/>
      <c r="E14" s="21"/>
      <c r="F14" s="21"/>
      <c r="G14" s="33">
        <f t="shared" si="0"/>
        <v>0</v>
      </c>
    </row>
    <row r="15" spans="1:7" ht="15.75" customHeight="1">
      <c r="A15" s="176"/>
      <c r="B15" s="21"/>
      <c r="C15" s="177"/>
      <c r="D15" s="21"/>
      <c r="E15" s="21"/>
      <c r="F15" s="21"/>
      <c r="G15" s="33">
        <f t="shared" si="0"/>
        <v>0</v>
      </c>
    </row>
    <row r="16" spans="1:7" ht="15.75" customHeight="1">
      <c r="A16" s="176"/>
      <c r="B16" s="21"/>
      <c r="C16" s="177"/>
      <c r="D16" s="21"/>
      <c r="E16" s="21"/>
      <c r="F16" s="21"/>
      <c r="G16" s="33">
        <f t="shared" si="0"/>
        <v>0</v>
      </c>
    </row>
    <row r="17" spans="1:7" ht="15.75" customHeight="1">
      <c r="A17" s="176"/>
      <c r="B17" s="21"/>
      <c r="C17" s="177"/>
      <c r="D17" s="21"/>
      <c r="E17" s="21"/>
      <c r="F17" s="21"/>
      <c r="G17" s="33">
        <f t="shared" si="0"/>
        <v>0</v>
      </c>
    </row>
    <row r="18" spans="1:7" ht="15.75" customHeight="1">
      <c r="A18" s="176"/>
      <c r="B18" s="21"/>
      <c r="C18" s="177"/>
      <c r="D18" s="21"/>
      <c r="E18" s="21"/>
      <c r="F18" s="21"/>
      <c r="G18" s="33">
        <f t="shared" si="0"/>
        <v>0</v>
      </c>
    </row>
    <row r="19" spans="1:7" ht="15.75" customHeight="1">
      <c r="A19" s="176"/>
      <c r="B19" s="21"/>
      <c r="C19" s="177"/>
      <c r="D19" s="21"/>
      <c r="E19" s="21"/>
      <c r="F19" s="21"/>
      <c r="G19" s="33">
        <f t="shared" si="0"/>
        <v>0</v>
      </c>
    </row>
    <row r="20" spans="1:7" ht="15.75" customHeight="1">
      <c r="A20" s="176"/>
      <c r="B20" s="21"/>
      <c r="C20" s="177"/>
      <c r="D20" s="21"/>
      <c r="E20" s="21"/>
      <c r="F20" s="21"/>
      <c r="G20" s="33">
        <f t="shared" si="0"/>
        <v>0</v>
      </c>
    </row>
    <row r="21" spans="1:7" ht="15.75" customHeight="1" thickBot="1">
      <c r="A21" s="34"/>
      <c r="B21" s="22"/>
      <c r="C21" s="178"/>
      <c r="D21" s="22"/>
      <c r="E21" s="22"/>
      <c r="F21" s="22"/>
      <c r="G21" s="35">
        <f t="shared" si="0"/>
        <v>0</v>
      </c>
    </row>
    <row r="22" spans="1:7" s="38" customFormat="1" ht="18" customHeight="1" thickBot="1">
      <c r="A22" s="66" t="s">
        <v>44</v>
      </c>
      <c r="B22" s="36">
        <f>SUM(B7:B21)</f>
        <v>32772219</v>
      </c>
      <c r="C22" s="54"/>
      <c r="D22" s="36">
        <f>SUM(D7:D21)</f>
        <v>0</v>
      </c>
      <c r="E22" s="36">
        <f>SUM(E7:E21)</f>
        <v>32815029</v>
      </c>
      <c r="F22" s="36">
        <f>SUM(F7:F21)</f>
        <v>32772220</v>
      </c>
      <c r="G22" s="37">
        <f>SUM(G7:G21)</f>
        <v>32772220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6"/>
  <sheetViews>
    <sheetView zoomScale="120" zoomScaleNormal="120" workbookViewId="0" topLeftCell="A1">
      <selection activeCell="J23" sqref="J2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5.87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280"/>
      <c r="B1" s="595" t="str">
        <f>CONCATENATE("4. melléklet ",Z_ALAPADATOK!A7," ",Z_ALAPADATOK!B7," ",Z_ALAPADATOK!C7," ",Z_ALAPADATOK!D7," ",Z_ALAPADATOK!E7," ",Z_ALAPADATOK!F7," ",Z_ALAPADATOK!G7," ",Z_ALAPADATOK!H7)</f>
        <v>4. melléklet a 12 / 2020. ( VI.11. ) önkormányzati rendelethez</v>
      </c>
      <c r="C1" s="595"/>
      <c r="D1" s="595"/>
      <c r="E1" s="595"/>
      <c r="F1" s="595"/>
      <c r="G1" s="595"/>
    </row>
    <row r="2" spans="1:7" ht="12.75">
      <c r="A2" s="280"/>
      <c r="B2" s="281"/>
      <c r="C2" s="281"/>
      <c r="D2" s="281"/>
      <c r="E2" s="281"/>
      <c r="F2" s="281"/>
      <c r="G2" s="281"/>
    </row>
    <row r="3" spans="1:7" ht="24.75" customHeight="1">
      <c r="A3" s="594" t="s">
        <v>432</v>
      </c>
      <c r="B3" s="594"/>
      <c r="C3" s="594"/>
      <c r="D3" s="594"/>
      <c r="E3" s="594"/>
      <c r="F3" s="594"/>
      <c r="G3" s="594"/>
    </row>
    <row r="4" spans="1:7" ht="23.25" customHeight="1" thickBot="1">
      <c r="A4" s="280"/>
      <c r="B4" s="281"/>
      <c r="C4" s="281"/>
      <c r="D4" s="281"/>
      <c r="E4" s="281"/>
      <c r="F4" s="281"/>
      <c r="G4" s="282" t="str">
        <f>Beruházás!G4</f>
        <v>Forintban</v>
      </c>
    </row>
    <row r="5" spans="1:7" s="29" customFormat="1" ht="48.75" customHeight="1" thickBot="1">
      <c r="A5" s="283" t="s">
        <v>48</v>
      </c>
      <c r="B5" s="254" t="s">
        <v>46</v>
      </c>
      <c r="C5" s="254" t="s">
        <v>47</v>
      </c>
      <c r="D5" s="254" t="str">
        <f>+Beruházás!D5</f>
        <v>Felhasználás   2018. XII. 31-ig</v>
      </c>
      <c r="E5" s="254" t="str">
        <f>+CONCATENATE(LEFT(Z_ÖSSZEFÜGGÉSEK!A6,4),". évi",CHAR(10),"módosított előirányzat")</f>
        <v>2019. évi
módosított előirányzat</v>
      </c>
      <c r="F5" s="254" t="str">
        <f>+CONCATENATE("Teljesítés",CHAR(10),LEFT(Z_ÖSSZEFÜGGÉSEK!A6,4),". I. 1-től XII. 31-ig")</f>
        <v>Teljesítés
2019. I. 1-től XII. 31-ig</v>
      </c>
      <c r="G5" s="255" t="str">
        <f>+CONCATENATE("Összes teljesítés",CHAR(10),LEFT(Z_ÖSSZEFÜGGÉSEK!A6,4),". XII. 31-ig")</f>
        <v>Összes teljesítés
2019. XII. 31-ig</v>
      </c>
    </row>
    <row r="6" spans="1:7" s="32" customFormat="1" ht="15" customHeight="1" thickBot="1">
      <c r="A6" s="284" t="s">
        <v>325</v>
      </c>
      <c r="B6" s="285" t="s">
        <v>326</v>
      </c>
      <c r="C6" s="285" t="s">
        <v>327</v>
      </c>
      <c r="D6" s="285" t="s">
        <v>329</v>
      </c>
      <c r="E6" s="285" t="s">
        <v>328</v>
      </c>
      <c r="F6" s="285" t="s">
        <v>330</v>
      </c>
      <c r="G6" s="286" t="s">
        <v>381</v>
      </c>
    </row>
    <row r="7" spans="1:7" ht="15.75" customHeight="1">
      <c r="A7" s="39" t="s">
        <v>744</v>
      </c>
      <c r="B7" s="40">
        <v>85106551</v>
      </c>
      <c r="C7" s="179" t="s">
        <v>751</v>
      </c>
      <c r="D7" s="40">
        <v>6164950</v>
      </c>
      <c r="E7" s="40">
        <v>78941601</v>
      </c>
      <c r="F7" s="40">
        <v>63521205</v>
      </c>
      <c r="G7" s="41">
        <f>D7+F7</f>
        <v>69686155</v>
      </c>
    </row>
    <row r="8" spans="1:7" ht="15.75" customHeight="1">
      <c r="A8" s="39" t="s">
        <v>745</v>
      </c>
      <c r="B8" s="40">
        <v>88906668</v>
      </c>
      <c r="C8" s="179" t="s">
        <v>752</v>
      </c>
      <c r="D8" s="40">
        <v>5981250</v>
      </c>
      <c r="E8" s="40">
        <v>82925418</v>
      </c>
      <c r="F8" s="40">
        <v>17925534</v>
      </c>
      <c r="G8" s="41">
        <f aca="true" t="shared" si="0" ref="G8:G24">D8+F8</f>
        <v>23906784</v>
      </c>
    </row>
    <row r="9" spans="1:7" ht="15.75" customHeight="1">
      <c r="A9" s="39" t="s">
        <v>746</v>
      </c>
      <c r="B9" s="40">
        <v>161219000</v>
      </c>
      <c r="C9" s="179" t="s">
        <v>753</v>
      </c>
      <c r="D9" s="40">
        <v>6831716</v>
      </c>
      <c r="E9" s="40">
        <v>154387284</v>
      </c>
      <c r="F9" s="40">
        <v>154387284</v>
      </c>
      <c r="G9" s="41">
        <f t="shared" si="0"/>
        <v>161219000</v>
      </c>
    </row>
    <row r="10" spans="1:7" ht="15.75" customHeight="1">
      <c r="A10" s="39" t="s">
        <v>747</v>
      </c>
      <c r="B10" s="40">
        <v>18021711</v>
      </c>
      <c r="C10" s="179" t="s">
        <v>753</v>
      </c>
      <c r="D10" s="40"/>
      <c r="E10" s="40">
        <v>18021711</v>
      </c>
      <c r="F10" s="40">
        <v>18021711</v>
      </c>
      <c r="G10" s="41">
        <f t="shared" si="0"/>
        <v>18021711</v>
      </c>
    </row>
    <row r="11" spans="1:7" ht="21.75" customHeight="1">
      <c r="A11" s="39" t="s">
        <v>748</v>
      </c>
      <c r="B11" s="40">
        <v>112560000</v>
      </c>
      <c r="C11" s="179" t="s">
        <v>752</v>
      </c>
      <c r="D11" s="40">
        <v>2260500</v>
      </c>
      <c r="E11" s="40">
        <v>69177423</v>
      </c>
      <c r="F11" s="40">
        <v>3365500</v>
      </c>
      <c r="G11" s="41">
        <f t="shared" si="0"/>
        <v>5626000</v>
      </c>
    </row>
    <row r="12" spans="1:7" ht="15.75" customHeight="1">
      <c r="A12" s="39" t="s">
        <v>754</v>
      </c>
      <c r="B12" s="40">
        <v>12177000</v>
      </c>
      <c r="C12" s="179" t="s">
        <v>752</v>
      </c>
      <c r="D12" s="40">
        <v>1453157</v>
      </c>
      <c r="E12" s="40">
        <v>12177000</v>
      </c>
      <c r="F12" s="40">
        <v>10723843</v>
      </c>
      <c r="G12" s="41">
        <f t="shared" si="0"/>
        <v>12177000</v>
      </c>
    </row>
    <row r="13" spans="1:7" ht="15.75" customHeight="1">
      <c r="A13" s="39" t="s">
        <v>749</v>
      </c>
      <c r="B13" s="40">
        <v>20000000</v>
      </c>
      <c r="C13" s="179" t="s">
        <v>757</v>
      </c>
      <c r="D13" s="40"/>
      <c r="E13" s="40">
        <v>20000000</v>
      </c>
      <c r="F13" s="40">
        <v>20000000</v>
      </c>
      <c r="G13" s="41">
        <f t="shared" si="0"/>
        <v>20000000</v>
      </c>
    </row>
    <row r="14" spans="1:7" ht="15.75" customHeight="1">
      <c r="A14" s="39" t="s">
        <v>756</v>
      </c>
      <c r="B14" s="40">
        <v>27369228</v>
      </c>
      <c r="C14" s="179" t="s">
        <v>755</v>
      </c>
      <c r="D14" s="40"/>
      <c r="E14" s="40">
        <v>35000000</v>
      </c>
      <c r="F14" s="40">
        <v>27369228</v>
      </c>
      <c r="G14" s="41">
        <f t="shared" si="0"/>
        <v>27369228</v>
      </c>
    </row>
    <row r="15" spans="1:7" ht="15.75" customHeight="1">
      <c r="A15" s="39" t="s">
        <v>750</v>
      </c>
      <c r="B15" s="40">
        <v>2000000</v>
      </c>
      <c r="C15" s="179" t="s">
        <v>755</v>
      </c>
      <c r="D15" s="40"/>
      <c r="E15" s="40">
        <v>2000000</v>
      </c>
      <c r="F15" s="40">
        <v>2000000</v>
      </c>
      <c r="G15" s="41">
        <f t="shared" si="0"/>
        <v>2000000</v>
      </c>
    </row>
    <row r="16" spans="1:7" ht="27" customHeight="1">
      <c r="A16" s="39" t="s">
        <v>758</v>
      </c>
      <c r="B16" s="40">
        <v>30277816</v>
      </c>
      <c r="C16" s="179" t="s">
        <v>757</v>
      </c>
      <c r="D16" s="40">
        <v>16186658</v>
      </c>
      <c r="E16" s="40">
        <v>14091158</v>
      </c>
      <c r="F16" s="40">
        <v>14091158</v>
      </c>
      <c r="G16" s="41">
        <f t="shared" si="0"/>
        <v>30277816</v>
      </c>
    </row>
    <row r="17" spans="1:7" ht="15.75" customHeight="1">
      <c r="A17" s="39" t="s">
        <v>760</v>
      </c>
      <c r="B17" s="40">
        <v>4373562</v>
      </c>
      <c r="C17" s="179" t="s">
        <v>761</v>
      </c>
      <c r="D17" s="40"/>
      <c r="E17" s="40">
        <v>4373562</v>
      </c>
      <c r="F17" s="40">
        <v>101600</v>
      </c>
      <c r="G17" s="41">
        <f t="shared" si="0"/>
        <v>101600</v>
      </c>
    </row>
    <row r="18" spans="1:7" ht="28.5" customHeight="1">
      <c r="A18" s="39" t="s">
        <v>762</v>
      </c>
      <c r="B18" s="40">
        <v>20156029</v>
      </c>
      <c r="C18" s="179" t="s">
        <v>763</v>
      </c>
      <c r="D18" s="40"/>
      <c r="E18" s="40">
        <v>20156029</v>
      </c>
      <c r="F18" s="40">
        <v>20156029</v>
      </c>
      <c r="G18" s="41">
        <f t="shared" si="0"/>
        <v>20156029</v>
      </c>
    </row>
    <row r="19" spans="1:7" ht="15.75" customHeight="1">
      <c r="A19" s="39"/>
      <c r="B19" s="40"/>
      <c r="C19" s="179"/>
      <c r="D19" s="40"/>
      <c r="E19" s="40"/>
      <c r="F19" s="40"/>
      <c r="G19" s="41">
        <f t="shared" si="0"/>
        <v>0</v>
      </c>
    </row>
    <row r="20" spans="1:7" ht="15.75" customHeight="1">
      <c r="A20" s="39"/>
      <c r="B20" s="40"/>
      <c r="C20" s="179"/>
      <c r="D20" s="40"/>
      <c r="E20" s="40"/>
      <c r="F20" s="40"/>
      <c r="G20" s="41">
        <f t="shared" si="0"/>
        <v>0</v>
      </c>
    </row>
    <row r="21" spans="1:7" ht="15.75" customHeight="1">
      <c r="A21" s="39"/>
      <c r="B21" s="40"/>
      <c r="C21" s="179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179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179"/>
      <c r="D23" s="40"/>
      <c r="E23" s="40"/>
      <c r="F23" s="40"/>
      <c r="G23" s="41">
        <f t="shared" si="0"/>
        <v>0</v>
      </c>
    </row>
    <row r="24" spans="1:7" ht="15.75" customHeight="1" thickBot="1">
      <c r="A24" s="42"/>
      <c r="B24" s="43"/>
      <c r="C24" s="180"/>
      <c r="D24" s="43"/>
      <c r="E24" s="43"/>
      <c r="F24" s="43"/>
      <c r="G24" s="44">
        <f t="shared" si="0"/>
        <v>0</v>
      </c>
    </row>
    <row r="25" spans="1:7" s="38" customFormat="1" ht="18" customHeight="1" thickBot="1">
      <c r="A25" s="66" t="s">
        <v>44</v>
      </c>
      <c r="B25" s="67">
        <f>SUM(B7:B24)</f>
        <v>582167565</v>
      </c>
      <c r="C25" s="55"/>
      <c r="D25" s="67">
        <f>SUM(D7:D24)</f>
        <v>38878231</v>
      </c>
      <c r="E25" s="67">
        <f>SUM(E7:E24)</f>
        <v>511251186</v>
      </c>
      <c r="F25" s="67">
        <f>SUM(F7:F24)</f>
        <v>351663092</v>
      </c>
      <c r="G25" s="45">
        <f>SUM(G7:G24)</f>
        <v>390541323</v>
      </c>
    </row>
    <row r="26" ht="12.75">
      <c r="F26" s="27" t="s">
        <v>759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fitToHeight="1" fitToWidth="1" horizontalDpi="600" verticalDpi="600" orientation="landscape" paperSize="9" scale="89" r:id="rId1"/>
  <headerFooter alignWithMargins="0">
    <oddHeader xml:space="preserve">&amp;R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2020-06-04T09:36:12Z</cp:lastPrinted>
  <dcterms:created xsi:type="dcterms:W3CDTF">1999-10-30T10:30:45Z</dcterms:created>
  <dcterms:modified xsi:type="dcterms:W3CDTF">2020-06-11T12:53:01Z</dcterms:modified>
  <cp:category/>
  <cp:version/>
  <cp:contentType/>
  <cp:contentStatus/>
</cp:coreProperties>
</file>