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definedNames>
    <definedName name="_xlnm.Print_Titles" localSheetId="2">'2.mell - bevétel'!$8:$10</definedName>
    <definedName name="_xlnm.Print_Area" localSheetId="2">'2.mell - bevétel'!$A$1:$I$118</definedName>
  </definedNames>
  <calcPr fullCalcOnLoad="1"/>
</workbook>
</file>

<file path=xl/sharedStrings.xml><?xml version="1.0" encoding="utf-8"?>
<sst xmlns="http://schemas.openxmlformats.org/spreadsheetml/2006/main" count="1126" uniqueCount="629">
  <si>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</si>
  <si>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</si>
  <si>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</si>
  <si>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</si>
  <si>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</si>
  <si>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</si>
  <si>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</si>
  <si>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</si>
  <si>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</si>
  <si>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</si>
  <si>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</si>
  <si>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</si>
  <si>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</si>
  <si>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</si>
  <si>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</si>
  <si>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</si>
  <si>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</si>
  <si>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</si>
  <si>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</si>
  <si>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</si>
  <si>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</si>
  <si>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</si>
  <si>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</si>
  <si>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</si>
  <si>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</si>
  <si>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</si>
  <si>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</si>
  <si>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</si>
  <si>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</si>
  <si>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</si>
  <si>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</si>
  <si>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</si>
  <si>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</si>
  <si>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</si>
  <si>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</si>
  <si>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</si>
  <si>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</si>
  <si>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</si>
  <si>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</si>
  <si>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</si>
  <si>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</si>
  <si>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</si>
  <si>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</si>
  <si>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</si>
  <si>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</si>
  <si>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</si>
  <si>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</si>
  <si>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</si>
  <si>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</si>
  <si>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</si>
  <si>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</si>
  <si>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</si>
  <si>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</si>
  <si>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</si>
  <si>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</si>
  <si>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</si>
  <si>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</si>
  <si>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</si>
  <si>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</si>
  <si>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</si>
  <si>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</si>
  <si>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</si>
  <si>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</si>
  <si>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</si>
  <si>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</si>
  <si>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</si>
  <si>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</si>
  <si>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</si>
  <si>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</si>
  <si>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</si>
  <si>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</si>
  <si>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</si>
  <si>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</si>
  <si>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</si>
  <si>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</si>
  <si>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</si>
  <si>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</si>
  <si>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</si>
  <si>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</si>
  <si>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</si>
  <si>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</si>
  <si>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</si>
  <si>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</si>
  <si>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</si>
  <si>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</si>
  <si>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</si>
  <si>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</si>
  <si>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</si>
  <si>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</si>
  <si>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</si>
  <si>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</si>
  <si>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</si>
  <si>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</si>
  <si>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</si>
  <si>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</si>
  <si>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</si>
  <si>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</si>
  <si>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</si>
  <si>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</si>
  <si>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</si>
  <si>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</si>
  <si>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</si>
  <si>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</si>
  <si>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</si>
  <si>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</si>
  <si>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</si>
  <si>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</si>
  <si>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</si>
  <si>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</si>
  <si>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</si>
  <si>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</si>
  <si>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</si>
  <si>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</si>
  <si>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</si>
  <si>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</si>
  <si>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</si>
  <si>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</si>
  <si>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</si>
  <si>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</si>
  <si>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</si>
  <si>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</si>
  <si>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</si>
  <si>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</si>
  <si>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</si>
  <si>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</si>
  <si>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</si>
  <si>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</si>
  <si>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</si>
  <si>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</si>
  <si>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</si>
  <si>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</si>
  <si>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</si>
  <si>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</si>
  <si>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</si>
  <si>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</si>
  <si>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</si>
  <si>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</si>
  <si>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</si>
  <si>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</si>
  <si>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</si>
  <si>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</si>
  <si>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</si>
  <si>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</si>
  <si>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</si>
  <si>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</si>
  <si>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</si>
  <si>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</si>
  <si>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</si>
  <si>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</si>
  <si>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</si>
  <si>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</si>
  <si>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</si>
  <si>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</si>
  <si>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</si>
  <si>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</si>
  <si>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</si>
  <si>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</si>
  <si>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</si>
  <si>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</si>
  <si>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</si>
  <si>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</si>
  <si>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</si>
  <si>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</si>
  <si>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</si>
  <si>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</si>
  <si>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</si>
  <si>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</si>
  <si>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</si>
  <si>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</si>
  <si>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</si>
  <si>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</si>
  <si>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</si>
  <si>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</si>
  <si>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</si>
  <si>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</si>
  <si>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</si>
  <si>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</si>
  <si>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</si>
  <si>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</si>
  <si>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</si>
  <si>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</si>
  <si>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</si>
  <si>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</si>
  <si>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</si>
  <si>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</si>
  <si>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</si>
  <si>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</si>
  <si>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</si>
  <si>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</si>
  <si>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</si>
  <si>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</si>
  <si>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</si>
  <si>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</si>
  <si>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</si>
  <si>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</si>
  <si>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</si>
  <si>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</si>
  <si>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</si>
  <si>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</si>
  <si>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</si>
  <si>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</si>
  <si>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</si>
  <si>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</si>
  <si>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</si>
  <si>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</si>
  <si>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</si>
  <si>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</si>
  <si>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</si>
  <si>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</si>
  <si>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</si>
  <si>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</si>
  <si>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</si>
  <si>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</si>
  <si>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</si>
  <si>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</si>
  <si>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</si>
  <si>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</si>
  <si>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</si>
  <si>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</si>
  <si>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</si>
  <si>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</si>
  <si>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</si>
  <si>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</si>
  <si>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</si>
  <si>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</si>
  <si>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</si>
  <si>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</si>
  <si>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</si>
  <si>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</si>
  <si>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</si>
  <si>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</si>
  <si>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</si>
  <si>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</si>
  <si>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</si>
  <si>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</si>
  <si>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</si>
  <si>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</si>
  <si>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</si>
  <si>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</si>
  <si>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</si>
  <si>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</si>
  <si>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</si>
  <si>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</si>
  <si>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</si>
  <si>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</si>
  <si>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</si>
  <si>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</si>
  <si>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</si>
  <si>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</si>
  <si>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</si>
  <si>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</si>
  <si>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</si>
  <si>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</si>
  <si>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</si>
  <si>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</si>
  <si>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</si>
  <si>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</si>
  <si>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</si>
  <si>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</si>
  <si>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</si>
  <si>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</si>
  <si>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</si>
  <si>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</si>
  <si>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</si>
  <si>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</si>
  <si>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</si>
  <si>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</si>
  <si>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</si>
  <si>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</si>
  <si>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</si>
  <si>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</si>
  <si>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</si>
  <si>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</si>
  <si>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</si>
  <si>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</si>
  <si>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</si>
  <si>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</si>
  <si>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</si>
  <si>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</si>
  <si>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</si>
  <si>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</si>
  <si>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</si>
  <si>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</si>
  <si>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</si>
  <si>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</si>
  <si>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</si>
  <si>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</si>
  <si>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</si>
  <si>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</si>
  <si>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</si>
  <si>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</si>
  <si>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</si>
  <si>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</si>
  <si>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</si>
  <si>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</si>
  <si>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</si>
  <si>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</si>
  <si>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</si>
  <si>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</si>
  <si>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</si>
  <si>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</si>
  <si>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</si>
  <si>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</si>
  <si>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</si>
  <si>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</si>
  <si>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</si>
  <si>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</si>
  <si>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</si>
  <si>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</si>
  <si>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</si>
  <si>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</si>
  <si>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</si>
  <si>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</si>
  <si>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</si>
  <si>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</si>
  <si>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</si>
  <si>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</si>
  <si>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</si>
  <si>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</si>
  <si>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</si>
  <si>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</si>
  <si>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</si>
  <si>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</si>
  <si>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</si>
  <si>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</si>
  <si>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</si>
  <si>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</si>
  <si>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</si>
  <si>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</si>
  <si>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</si>
  <si>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</si>
  <si>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</si>
  <si>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</si>
  <si>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</si>
  <si>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</si>
  <si>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</si>
  <si>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</si>
  <si>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</si>
  <si>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</si>
  <si>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</si>
  <si>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</si>
  <si>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</si>
  <si>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</si>
  <si>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</si>
  <si>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</si>
  <si>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</si>
  <si>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</si>
  <si>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</si>
  <si>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</si>
  <si>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</si>
  <si>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</si>
  <si>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</si>
  <si>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</si>
  <si>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</si>
  <si>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</si>
  <si>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</si>
  <si>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</si>
  <si>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</si>
  <si>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</si>
  <si>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</si>
  <si>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</si>
  <si>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</si>
  <si>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</si>
  <si>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</si>
  <si>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</si>
  <si>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</si>
  <si>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</si>
  <si>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</si>
  <si>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</si>
  <si>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</si>
  <si>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</si>
  <si>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</si>
  <si>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</si>
  <si>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</si>
  <si>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</si>
  <si>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</si>
  <si>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</si>
  <si>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</si>
  <si>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</si>
  <si>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</si>
  <si>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</si>
  <si>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</si>
  <si>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</si>
  <si>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</si>
  <si>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</si>
  <si>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</si>
  <si>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</si>
  <si>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</si>
  <si>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</si>
  <si>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</si>
  <si>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</si>
  <si>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</si>
  <si>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</si>
  <si>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</si>
  <si>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</si>
  <si>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</si>
  <si>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</si>
  <si>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</si>
  <si>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</si>
  <si>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</si>
  <si>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</si>
  <si>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</si>
  <si>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</si>
  <si>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</si>
  <si>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</si>
  <si>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</si>
  <si>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</si>
  <si>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</si>
  <si>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</si>
  <si>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</si>
  <si>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</si>
  <si>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</si>
  <si>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</si>
  <si>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</si>
  <si>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</si>
  <si>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</si>
  <si>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</si>
  <si>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</si>
  <si>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</si>
  <si>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</si>
  <si>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</si>
  <si>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</si>
  <si>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</si>
  <si>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</si>
  <si>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</si>
  <si>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</si>
  <si>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</si>
  <si>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</si>
  <si>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</si>
  <si>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</si>
  <si>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</si>
  <si>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</si>
  <si>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</si>
  <si>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</si>
  <si>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</si>
  <si>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</si>
  <si>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</si>
  <si>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</si>
  <si>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</si>
  <si>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</si>
  <si>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</si>
  <si>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</si>
  <si>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</si>
  <si>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</si>
  <si>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</si>
  <si>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</si>
  <si>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</si>
  <si>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</si>
  <si>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</si>
  <si>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</si>
  <si>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</si>
  <si>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</si>
  <si>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</si>
  <si>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</si>
  <si>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</si>
  <si>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</si>
  <si>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</si>
  <si>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</si>
  <si>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</si>
  <si>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</si>
  <si>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</si>
  <si>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</si>
  <si>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</si>
  <si>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</si>
  <si>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</si>
  <si>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</si>
  <si>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</si>
  <si>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</si>
  <si>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</si>
  <si>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</si>
  <si>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</si>
  <si>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</si>
  <si>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</si>
  <si>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</si>
  <si>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</si>
  <si>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</si>
  <si>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</si>
  <si>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</si>
  <si>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</si>
  <si>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</si>
  <si>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</si>
  <si>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</si>
  <si>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</si>
  <si>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</si>
  <si>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</si>
  <si>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</si>
  <si>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</si>
  <si>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</si>
  <si>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</si>
  <si>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</si>
  <si>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</si>
  <si>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adósságkonszolidációban nem részerült település önkormányzatok támogatása 2016. évről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</si>
  <si>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</si>
  <si>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</si>
  <si>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</si>
  <si>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</si>
  <si>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</si>
  <si>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</si>
  <si>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</si>
  <si>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</si>
  <si>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</si>
  <si>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</si>
  <si>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</si>
  <si>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</si>
  <si>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</si>
  <si>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</si>
  <si>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</si>
  <si>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</si>
  <si>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</si>
  <si>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</si>
  <si>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</si>
  <si>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</si>
  <si>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</si>
  <si>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</si>
  <si>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</si>
  <si>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</si>
  <si>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</si>
  <si>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</si>
  <si>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</si>
  <si>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</si>
  <si>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</si>
  <si>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</si>
  <si>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</si>
  <si>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</si>
  <si>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</si>
  <si>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</si>
  <si>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</si>
  <si>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</si>
  <si>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</si>
  <si>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</si>
  <si>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</si>
  <si>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</si>
  <si>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</si>
  <si>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 xml:space="preserve">2018. évi </t>
  </si>
  <si>
    <t>2018. évre</t>
  </si>
  <si>
    <t>2018. év</t>
  </si>
  <si>
    <t>2018.évre</t>
  </si>
  <si>
    <t>2018.év</t>
  </si>
  <si>
    <t>(2017. december 31-i állapot szerint)</t>
  </si>
  <si>
    <t>2018. 01.01-től</t>
  </si>
  <si>
    <t>2019-2021. év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</si>
  <si>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</si>
  <si>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</si>
  <si>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</si>
  <si>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</si>
  <si>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</si>
  <si>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</si>
  <si>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</si>
  <si>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</si>
  <si>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</si>
  <si>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</si>
  <si>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</si>
  <si>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</si>
  <si>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</si>
  <si>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</si>
  <si>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</si>
  <si>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</si>
  <si>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Sághegy Leader tagdíj ( 2017. és 2018.évi)</t>
  </si>
  <si>
    <t>Nyugdíjas Klub ( 2017. évről 90.000 Ft)</t>
  </si>
  <si>
    <t>Házi segítség nyújtás ellátására Sárvár Város Önkormányzattal kötött szerződés alapján fizetendő támogatás</t>
  </si>
  <si>
    <t>2015-2018. év</t>
  </si>
  <si>
    <t>Hunyadi utca burkolat felújítása (Sitke község fejlesztési feladatainak támogatása 2017. évi pályázat)</t>
  </si>
  <si>
    <t>1.1.3.</t>
  </si>
  <si>
    <t>Vadkert utca burkolatfelújítás (Önkormányzati feladat ellátást szolgáló pályázat 2017. évi)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</si>
  <si>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</si>
  <si>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</si>
  <si>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</si>
  <si>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</si>
  <si>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</si>
  <si>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</si>
  <si>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</si>
  <si>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</si>
  <si>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</si>
  <si>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</si>
  <si>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</si>
  <si>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</si>
  <si>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</si>
  <si>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</si>
  <si>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</si>
  <si>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</si>
  <si>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</si>
  <si>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</si>
  <si>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</si>
  <si>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</si>
  <si>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</si>
  <si>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</si>
  <si>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</si>
  <si>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</si>
  <si>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</si>
  <si>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</si>
  <si>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</si>
  <si>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</si>
  <si>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</si>
  <si>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</si>
  <si>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</si>
  <si>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2017.ÉVBEN MEGELŐLEGEZETT ÁLLAMI TÁMOGATÁS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</si>
  <si>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</si>
  <si>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</si>
  <si>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</si>
  <si>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</si>
  <si>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</si>
  <si>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</si>
  <si>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>ELŐZŐ ÉVEK KÖLTSÉGVETÉSI MARADVÁNY IGÉNYBEVÉTELE 2017. ÉVRŐL ÁTHÚZÓDÓ FELADATOKRA</t>
  </si>
  <si>
    <t xml:space="preserve">Áht-n belüli megelőlegezések </t>
  </si>
  <si>
    <t>1.1.5.</t>
  </si>
  <si>
    <t>Vadkert utca burkolatfelújítás (Önkormányzati feladat ellátást szolgáló pályázat 2017. évi) önrész</t>
  </si>
  <si>
    <t>1. melléklet  a  2/2018. (II. 13.) önkormányzati rendelethez</t>
  </si>
  <si>
    <t>2. melléklet  a  2./2018. (II.13.) önkormányzati rendelethez</t>
  </si>
  <si>
    <t>3. melléklet  a  2/2018. (II. 13.) önkormányzati rendelethez</t>
  </si>
  <si>
    <t>4. melléklet  a  2/2018. (II.13.) önkormányzati rendelethez</t>
  </si>
  <si>
    <t>5. melléklet  a 2/2018. (II.13. ) önkormányzati rendelethez</t>
  </si>
  <si>
    <t>6. melléklet  a  2/2018. (II.13.) önkormányzati rendelethez</t>
  </si>
  <si>
    <t>7. melléklet  a  2/2018. (II.13.) önkormányzati rendelethez</t>
  </si>
  <si>
    <t>8. melléklet a 2/2018. (II. 13.) önkormányzati rendelethez</t>
  </si>
  <si>
    <t xml:space="preserve">Zrínyi-Kossuth  utca sarok árok jókarba helyezése felújítása (kistelepülési önkormányzatok alacsony összegű fejlesztseinek támogatásának felhasználása 2017.évi </t>
  </si>
  <si>
    <t>9. melléklet a 2/2018.(II.13.) sz. önkormányzati rendelethez</t>
  </si>
  <si>
    <t>10. melléklet a 2/2018. (II.13.) önkormányzati rendelethez</t>
  </si>
  <si>
    <t>11. melléklet a 2/2018. (II.13.) önkormányzati rendelethez</t>
  </si>
  <si>
    <t>12. melléklet a 2/2018. (II.13.) önkormányzati rendelethez</t>
  </si>
  <si>
    <t>13. melléklet a 2/2018. (II.13.) önkormányzati rendelethez</t>
  </si>
  <si>
    <t>14. melléklet  a  2/2018. (II.13.) önkormányzati rendelethez</t>
  </si>
  <si>
    <t>15. melléklet  a  2/2018. (II. 13.) önkormányzati rendelethez</t>
  </si>
  <si>
    <t>16. melléklet  a  2/2018. (II.13.) önkormányzati rendelethez</t>
  </si>
  <si>
    <t xml:space="preserve"> 17. melléklet a 2/2018. (II.13.) önkormányzati rendelethez </t>
  </si>
  <si>
    <t xml:space="preserve"> 18. melléklet a 2/2018.(II.13.) önkormányzati rendelethez </t>
  </si>
  <si>
    <t>Jóváhagyva: 2/2018.(II.13.) ÖR.</t>
  </si>
  <si>
    <t xml:space="preserve">Sitke Község Önkormányzata   </t>
  </si>
  <si>
    <t>Sitke Község Önkormányzta</t>
  </si>
  <si>
    <t>Sitke Község Önkormányzata saját bevételeinek, valamint az adósságot keletkeztető ügyleteiből eredő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</si>
</sst>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82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0" xfId="60" applyNumberFormat="1" applyFont="1" applyBorder="1" applyAlignment="1">
      <alignment horizontal="center"/>
      <protection/>
    </xf>
    <xf numFmtId="168" fontId="12" fillId="0" borderId="50" xfId="60" applyNumberFormat="1" applyFont="1" applyBorder="1" applyAlignment="1">
      <alignment horizontal="center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7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55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7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8" xfId="60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9" xfId="59" applyFont="1" applyBorder="1" applyAlignment="1" quotePrefix="1">
      <alignment horizontal="center" vertical="center" wrapText="1"/>
      <protection/>
    </xf>
    <xf numFmtId="0" fontId="11" fillId="0" borderId="58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0" fillId="0" borderId="47" xfId="60" applyFont="1" applyBorder="1">
      <alignment/>
      <protection/>
    </xf>
    <xf numFmtId="168" fontId="4" fillId="0" borderId="62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4" xfId="59" applyNumberFormat="1" applyFont="1" applyBorder="1" applyAlignment="1">
      <alignment/>
      <protection/>
    </xf>
    <xf numFmtId="168" fontId="4" fillId="0" borderId="64" xfId="59" applyNumberFormat="1" applyFont="1" applyBorder="1" applyAlignment="1">
      <alignment horizontal="right"/>
      <protection/>
    </xf>
    <xf numFmtId="168" fontId="7" fillId="0" borderId="30" xfId="40" applyNumberFormat="1" applyFont="1" applyBorder="1" applyAlignment="1">
      <alignment/>
    </xf>
    <xf numFmtId="168" fontId="7" fillId="0" borderId="56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4" fillId="0" borderId="0" xfId="60" applyFont="1" applyBorder="1" quotePrefix="1">
      <alignment/>
      <protection/>
    </xf>
    <xf numFmtId="0" fontId="11" fillId="0" borderId="65" xfId="59" applyFont="1" applyBorder="1" applyAlignment="1" quotePrefix="1">
      <alignment horizontal="center" vertical="center" wrapText="1"/>
      <protection/>
    </xf>
    <xf numFmtId="0" fontId="10" fillId="0" borderId="58" xfId="59" applyFont="1" applyBorder="1">
      <alignment/>
      <protection/>
    </xf>
    <xf numFmtId="0" fontId="11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7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7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6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1" fillId="0" borderId="0" xfId="57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64" xfId="59" applyNumberFormat="1" applyFont="1" applyBorder="1" applyAlignment="1">
      <alignment horizontal="right"/>
      <protection/>
    </xf>
    <xf numFmtId="3" fontId="10" fillId="0" borderId="29" xfId="59" applyNumberFormat="1" applyFont="1" applyBorder="1" applyAlignment="1">
      <alignment horizontal="right"/>
      <protection/>
    </xf>
    <xf numFmtId="3" fontId="10" fillId="0" borderId="22" xfId="59" applyNumberFormat="1" applyFont="1" applyBorder="1" applyAlignment="1">
      <alignment horizontal="right"/>
      <protection/>
    </xf>
    <xf numFmtId="0" fontId="11" fillId="0" borderId="43" xfId="60" applyFont="1" applyBorder="1">
      <alignment/>
      <protection/>
    </xf>
    <xf numFmtId="0" fontId="11" fillId="0" borderId="42" xfId="60" applyFont="1" applyBorder="1">
      <alignment/>
      <protection/>
    </xf>
    <xf numFmtId="3" fontId="10" fillId="0" borderId="21" xfId="59" applyNumberFormat="1" applyFont="1" applyBorder="1" applyAlignment="1">
      <alignment horizontal="right"/>
      <protection/>
    </xf>
    <xf numFmtId="3" fontId="11" fillId="0" borderId="67" xfId="59" applyNumberFormat="1" applyFont="1" applyBorder="1" applyAlignment="1">
      <alignment horizontal="right"/>
      <protection/>
    </xf>
    <xf numFmtId="3" fontId="11" fillId="0" borderId="43" xfId="59" applyNumberFormat="1" applyFont="1" applyBorder="1" applyAlignment="1">
      <alignment horizontal="right"/>
      <protection/>
    </xf>
    <xf numFmtId="3" fontId="22" fillId="0" borderId="43" xfId="59" applyNumberFormat="1" applyFont="1" applyBorder="1">
      <alignment/>
      <protection/>
    </xf>
    <xf numFmtId="3" fontId="11" fillId="0" borderId="43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11" fillId="0" borderId="66" xfId="59" applyNumberFormat="1" applyFont="1" applyBorder="1">
      <alignment/>
      <protection/>
    </xf>
    <xf numFmtId="3" fontId="11" fillId="0" borderId="68" xfId="59" applyNumberFormat="1" applyFont="1" applyBorder="1">
      <alignment/>
      <protection/>
    </xf>
    <xf numFmtId="4" fontId="11" fillId="0" borderId="43" xfId="60" applyNumberFormat="1" applyFont="1" applyBorder="1">
      <alignment/>
      <protection/>
    </xf>
    <xf numFmtId="0" fontId="4" fillId="0" borderId="30" xfId="60" applyFont="1" applyBorder="1">
      <alignment/>
      <protection/>
    </xf>
    <xf numFmtId="0" fontId="7" fillId="0" borderId="29" xfId="60" applyFont="1" applyBorder="1">
      <alignment/>
      <protection/>
    </xf>
    <xf numFmtId="0" fontId="7" fillId="0" borderId="30" xfId="60" applyFont="1" applyBorder="1">
      <alignment/>
      <protection/>
    </xf>
    <xf numFmtId="0" fontId="10" fillId="0" borderId="30" xfId="60" applyFont="1" applyBorder="1">
      <alignment/>
      <protection/>
    </xf>
    <xf numFmtId="0" fontId="6" fillId="0" borderId="30" xfId="60" applyFont="1" applyBorder="1">
      <alignment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4" fontId="10" fillId="0" borderId="0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69" xfId="0" applyFont="1" applyBorder="1" applyAlignment="1">
      <alignment/>
    </xf>
    <xf numFmtId="0" fontId="11" fillId="0" borderId="70" xfId="60" applyFont="1" applyBorder="1">
      <alignment/>
      <protection/>
    </xf>
    <xf numFmtId="168" fontId="7" fillId="0" borderId="69" xfId="40" applyNumberFormat="1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43" xfId="40" applyNumberFormat="1" applyFont="1" applyBorder="1" applyAlignment="1">
      <alignment/>
    </xf>
    <xf numFmtId="168" fontId="4" fillId="0" borderId="68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9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9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33" fillId="0" borderId="0" xfId="0" applyNumberFormat="1" applyFont="1" applyAlignment="1">
      <alignment/>
    </xf>
    <xf numFmtId="3" fontId="12" fillId="0" borderId="50" xfId="0" applyNumberFormat="1" applyFont="1" applyBorder="1" applyAlignment="1">
      <alignment/>
    </xf>
    <xf numFmtId="3" fontId="12" fillId="32" borderId="0" xfId="57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0" applyNumberFormat="1" applyFont="1" applyBorder="1">
      <alignment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7" applyFont="1" applyAlignment="1">
      <alignment horizontal="left" wrapText="1"/>
      <protection/>
    </xf>
    <xf numFmtId="0" fontId="12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58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72" xfId="40" applyNumberFormat="1" applyFont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right"/>
      <protection/>
    </xf>
    <xf numFmtId="0" fontId="7" fillId="0" borderId="47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8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71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8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71" xfId="4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" fillId="0" borderId="79" xfId="57" applyFont="1" applyBorder="1" applyAlignment="1">
      <alignment horizontal="center"/>
      <protection/>
    </xf>
    <xf numFmtId="0" fontId="4" fillId="0" borderId="80" xfId="57" applyFont="1" applyBorder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81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168" fontId="4" fillId="0" borderId="82" xfId="40" applyNumberFormat="1" applyFont="1" applyBorder="1" applyAlignment="1">
      <alignment horizontal="center" vertical="center"/>
    </xf>
    <xf numFmtId="168" fontId="4" fillId="0" borderId="83" xfId="40" applyNumberFormat="1" applyFont="1" applyBorder="1" applyAlignment="1">
      <alignment horizontal="center" vertical="center"/>
    </xf>
    <xf numFmtId="0" fontId="4" fillId="0" borderId="84" xfId="57" applyFont="1" applyBorder="1" applyAlignment="1">
      <alignment horizontal="center" vertical="center"/>
      <protection/>
    </xf>
    <xf numFmtId="0" fontId="4" fillId="0" borderId="83" xfId="57" applyFont="1" applyBorder="1" applyAlignment="1">
      <alignment horizontal="center" vertical="center"/>
      <protection/>
    </xf>
    <xf numFmtId="0" fontId="4" fillId="0" borderId="85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12" fillId="0" borderId="86" xfId="40" applyNumberFormat="1" applyFont="1" applyBorder="1" applyAlignment="1">
      <alignment horizontal="center" vertical="center"/>
    </xf>
    <xf numFmtId="168" fontId="12" fillId="0" borderId="87" xfId="40" applyNumberFormat="1" applyFont="1" applyBorder="1" applyAlignment="1">
      <alignment horizontal="center" vertical="center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1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5" xfId="0" applyFont="1" applyBorder="1" applyAlignment="1">
      <alignment horizontal="left" vertical="center"/>
    </xf>
    <xf numFmtId="0" fontId="12" fillId="0" borderId="9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99" xfId="40" applyNumberFormat="1" applyFont="1" applyBorder="1" applyAlignment="1">
      <alignment horizontal="center" vertical="center"/>
    </xf>
    <xf numFmtId="168" fontId="18" fillId="0" borderId="100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2" fontId="12" fillId="0" borderId="86" xfId="0" applyNumberFormat="1" applyFont="1" applyBorder="1" applyAlignment="1">
      <alignment horizontal="center" vertical="center" wrapText="1"/>
    </xf>
    <xf numFmtId="2" fontId="12" fillId="0" borderId="87" xfId="0" applyNumberFormat="1" applyFont="1" applyBorder="1" applyAlignment="1">
      <alignment horizontal="center" vertical="center" wrapText="1"/>
    </xf>
    <xf numFmtId="2" fontId="12" fillId="0" borderId="9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108" xfId="40" applyNumberFormat="1" applyFont="1" applyBorder="1" applyAlignment="1">
      <alignment horizontal="center" vertical="center"/>
    </xf>
    <xf numFmtId="168" fontId="12" fillId="0" borderId="109" xfId="40" applyNumberFormat="1" applyFont="1" applyBorder="1" applyAlignment="1">
      <alignment horizontal="center" vertical="center"/>
    </xf>
    <xf numFmtId="168" fontId="12" fillId="0" borderId="110" xfId="4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8" fontId="12" fillId="0" borderId="4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0" fillId="0" borderId="43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2" xfId="40" applyNumberFormat="1" applyFont="1" applyBorder="1" applyAlignment="1">
      <alignment horizontal="center"/>
    </xf>
    <xf numFmtId="168" fontId="12" fillId="0" borderId="112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168" fontId="12" fillId="0" borderId="29" xfId="4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7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3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8" xfId="56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3" fontId="0" fillId="0" borderId="30" xfId="0" applyNumberFormat="1" applyBorder="1" applyAlignment="1">
      <alignment/>
    </xf>
    <xf numFmtId="0" fontId="35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U63"/>
  <sheetViews>
    <sheetView tabSelected="1" zoomScalePageLayoutView="0" workbookViewId="0" topLeftCell="C28">
      <selection activeCell="O50" sqref="O50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6"/>
      <c r="J39" s="2"/>
      <c r="L39" s="494" t="s">
        <v>4</v>
      </c>
      <c r="M39" s="494"/>
      <c r="N39" s="494"/>
      <c r="O39" s="494"/>
      <c r="P39" s="494"/>
      <c r="Q39" s="494"/>
      <c r="R39" s="494"/>
      <c r="S39" s="494"/>
      <c r="T39" s="494"/>
      <c r="U39" s="6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9"/>
      <c r="J41" s="2"/>
      <c r="L41" s="494" t="s">
        <v>533</v>
      </c>
      <c r="M41" s="494"/>
      <c r="N41" s="494"/>
      <c r="O41" s="494"/>
      <c r="P41" s="494"/>
      <c r="Q41" s="494"/>
      <c r="R41" s="494"/>
      <c r="S41" s="494"/>
      <c r="T41" s="494"/>
      <c r="U41" s="6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9"/>
      <c r="J43" s="2"/>
      <c r="L43" s="494" t="s">
        <v>437</v>
      </c>
      <c r="M43" s="494"/>
      <c r="N43" s="494"/>
      <c r="O43" s="494"/>
      <c r="P43" s="494"/>
      <c r="Q43" s="494"/>
      <c r="R43" s="494"/>
      <c r="S43" s="494"/>
      <c r="T43" s="494"/>
      <c r="U43" s="6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95" t="s">
        <v>625</v>
      </c>
      <c r="M45" s="495"/>
      <c r="N45" s="495"/>
      <c r="O45" s="495"/>
      <c r="P45" s="495"/>
      <c r="Q45" s="495"/>
      <c r="R45" s="495"/>
      <c r="S45" s="495"/>
      <c r="T45" s="495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7"/>
      <c r="M46" s="327"/>
      <c r="N46" s="18"/>
      <c r="O46" s="186"/>
    </row>
    <row r="47" spans="1:10" ht="27.75">
      <c r="A47" s="67"/>
      <c r="B47" s="6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617" t="s">
        <v>615</v>
      </c>
      <c r="C1" s="617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593"/>
      <c r="C4" s="593"/>
      <c r="D4" s="21"/>
    </row>
    <row r="5" spans="2:4" ht="15.75">
      <c r="B5" s="21"/>
      <c r="C5" s="21"/>
      <c r="D5" s="21"/>
    </row>
    <row r="6" spans="2:12" ht="15.75">
      <c r="B6" s="593" t="s">
        <v>40</v>
      </c>
      <c r="C6" s="627"/>
      <c r="D6" s="21"/>
      <c r="L6" s="339"/>
    </row>
    <row r="7" spans="2:4" ht="15.75">
      <c r="B7" s="593" t="s">
        <v>463</v>
      </c>
      <c r="C7" s="627"/>
      <c r="D7" s="21"/>
    </row>
    <row r="8" spans="2:4" ht="15.75">
      <c r="B8" s="593" t="s">
        <v>535</v>
      </c>
      <c r="C8" s="627"/>
      <c r="D8" s="21"/>
    </row>
    <row r="9" spans="2:4" ht="16.5" thickBot="1">
      <c r="B9" s="21"/>
      <c r="C9" s="21"/>
      <c r="D9" s="21"/>
    </row>
    <row r="10" spans="1:4" ht="16.5" thickTop="1">
      <c r="A10" s="618" t="s">
        <v>488</v>
      </c>
      <c r="B10" s="621" t="s">
        <v>0</v>
      </c>
      <c r="C10" s="624" t="s">
        <v>599</v>
      </c>
      <c r="D10" s="21"/>
    </row>
    <row r="11" spans="1:4" ht="15.75">
      <c r="A11" s="619"/>
      <c r="B11" s="622"/>
      <c r="C11" s="625"/>
      <c r="D11" s="21"/>
    </row>
    <row r="12" spans="1:4" ht="21" customHeight="1" thickBot="1">
      <c r="A12" s="620"/>
      <c r="B12" s="623"/>
      <c r="C12" s="626"/>
      <c r="D12" s="21"/>
    </row>
    <row r="13" spans="1:4" ht="21" customHeight="1">
      <c r="A13" s="483"/>
      <c r="B13" s="484"/>
      <c r="C13" s="485"/>
      <c r="D13" s="21"/>
    </row>
    <row r="14" spans="1:4" ht="15.75">
      <c r="A14" s="410" t="s">
        <v>43</v>
      </c>
      <c r="B14" s="21" t="s">
        <v>522</v>
      </c>
      <c r="C14" s="21"/>
      <c r="D14" s="21"/>
    </row>
    <row r="15" spans="1:4" ht="15.75">
      <c r="A15" s="410"/>
      <c r="B15" s="21"/>
      <c r="C15" s="21"/>
      <c r="D15" s="21"/>
    </row>
    <row r="16" spans="1:4" ht="15.75">
      <c r="A16" s="486" t="s">
        <v>493</v>
      </c>
      <c r="B16" s="381" t="s">
        <v>523</v>
      </c>
      <c r="C16" s="21"/>
      <c r="D16" s="382"/>
    </row>
    <row r="17" spans="1:4" ht="51.75" customHeight="1">
      <c r="A17" s="472" t="s">
        <v>494</v>
      </c>
      <c r="B17" s="114" t="s">
        <v>614</v>
      </c>
      <c r="C17" s="430">
        <v>984252</v>
      </c>
      <c r="D17" s="382"/>
    </row>
    <row r="18" spans="1:4" ht="35.25" customHeight="1">
      <c r="A18" s="472" t="s">
        <v>495</v>
      </c>
      <c r="B18" s="114" t="s">
        <v>561</v>
      </c>
      <c r="C18" s="430">
        <v>31496063</v>
      </c>
      <c r="D18" s="382"/>
    </row>
    <row r="19" spans="1:4" ht="33" customHeight="1">
      <c r="A19" s="472" t="s">
        <v>562</v>
      </c>
      <c r="B19" s="114" t="s">
        <v>563</v>
      </c>
      <c r="C19" s="430">
        <v>9945265</v>
      </c>
      <c r="D19" s="382"/>
    </row>
    <row r="20" spans="1:4" ht="33" customHeight="1">
      <c r="A20" s="472" t="s">
        <v>564</v>
      </c>
      <c r="B20" s="114" t="s">
        <v>605</v>
      </c>
      <c r="C20" s="430">
        <v>1755046</v>
      </c>
      <c r="D20" s="382"/>
    </row>
    <row r="21" spans="1:4" ht="18.75" customHeight="1">
      <c r="A21" s="410" t="s">
        <v>604</v>
      </c>
      <c r="B21" s="21" t="s">
        <v>466</v>
      </c>
      <c r="C21" s="487">
        <f>(C17+C18+C19+C20)*0.27+1</f>
        <v>11928770.020000001</v>
      </c>
      <c r="D21" s="21"/>
    </row>
    <row r="22" spans="1:4" ht="18.75" customHeight="1">
      <c r="A22" s="410"/>
      <c r="B22" s="18" t="s">
        <v>464</v>
      </c>
      <c r="C22" s="19">
        <f>SUM(C17:C21)</f>
        <v>56109396.02</v>
      </c>
      <c r="D22" s="21"/>
    </row>
    <row r="23" spans="1:4" ht="18.75" customHeight="1">
      <c r="A23" s="410"/>
      <c r="B23" s="18"/>
      <c r="C23" s="19"/>
      <c r="D23" s="21"/>
    </row>
    <row r="24" spans="1:4" ht="18.75" customHeight="1">
      <c r="A24" s="472" t="s">
        <v>496</v>
      </c>
      <c r="B24" s="18" t="s">
        <v>596</v>
      </c>
      <c r="C24" s="19"/>
      <c r="D24" s="21"/>
    </row>
    <row r="25" spans="1:4" ht="18.75" customHeight="1">
      <c r="A25" s="472" t="s">
        <v>597</v>
      </c>
      <c r="B25" s="21" t="s">
        <v>598</v>
      </c>
      <c r="C25" s="488">
        <v>1500000</v>
      </c>
      <c r="D25" s="21"/>
    </row>
    <row r="26" spans="1:4" ht="18.75" customHeight="1">
      <c r="A26" s="410"/>
      <c r="B26" s="18" t="s">
        <v>464</v>
      </c>
      <c r="C26" s="19">
        <f>C25</f>
        <v>1500000</v>
      </c>
      <c r="D26" s="21"/>
    </row>
    <row r="27" spans="1:4" ht="18.75" customHeight="1">
      <c r="A27" s="410"/>
      <c r="B27" s="18"/>
      <c r="C27" s="19"/>
      <c r="D27" s="21"/>
    </row>
    <row r="28" spans="1:4" s="340" customFormat="1" ht="15.75">
      <c r="A28" s="411"/>
      <c r="B28" s="18" t="s">
        <v>465</v>
      </c>
      <c r="C28" s="19">
        <f>C22+C26</f>
        <v>57609396.02</v>
      </c>
      <c r="D28" s="18"/>
    </row>
    <row r="29" spans="2:4" ht="15.75">
      <c r="B29" s="21"/>
      <c r="C29" s="21"/>
      <c r="D29" s="21"/>
    </row>
    <row r="30" spans="2:4" ht="15.75">
      <c r="B30" s="21"/>
      <c r="C30" s="21"/>
      <c r="D30" s="21"/>
    </row>
    <row r="31" spans="2:4" ht="15.75">
      <c r="B31" s="21"/>
      <c r="C31" s="21"/>
      <c r="D31" s="21"/>
    </row>
    <row r="32" spans="2:4" ht="15.75">
      <c r="B32" s="21"/>
      <c r="C32" s="21"/>
      <c r="D32" s="21"/>
    </row>
    <row r="33" spans="2:4" ht="15.75">
      <c r="B33" s="21"/>
      <c r="C33" s="21"/>
      <c r="D33" s="21"/>
    </row>
    <row r="34" spans="2:4" ht="15.75">
      <c r="B34" s="21"/>
      <c r="C34" s="21"/>
      <c r="D34" s="21"/>
    </row>
  </sheetData>
  <sheetProtection password="AF00" sheet="1"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52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96" t="s">
        <v>616</v>
      </c>
      <c r="B1" s="496"/>
      <c r="C1" s="496"/>
    </row>
    <row r="2" s="145" customFormat="1" ht="15.75">
      <c r="C2" s="151"/>
    </row>
    <row r="3" spans="1:3" s="136" customFormat="1" ht="15">
      <c r="A3" s="630"/>
      <c r="B3" s="630"/>
      <c r="C3" s="630"/>
    </row>
    <row r="4" spans="1:3" s="136" customFormat="1" ht="6.75" customHeight="1">
      <c r="A4" s="146"/>
      <c r="B4" s="80"/>
      <c r="C4" s="80"/>
    </row>
    <row r="5" spans="1:3" ht="15.75">
      <c r="A5" s="502" t="s">
        <v>581</v>
      </c>
      <c r="B5" s="502"/>
      <c r="C5" s="502"/>
    </row>
    <row r="6" spans="1:3" ht="15.75">
      <c r="A6" s="512" t="s">
        <v>285</v>
      </c>
      <c r="B6" s="512"/>
      <c r="C6" s="512"/>
    </row>
    <row r="7" spans="1:3" ht="15.75">
      <c r="A7" s="512" t="s">
        <v>229</v>
      </c>
      <c r="B7" s="512"/>
      <c r="C7" s="512"/>
    </row>
    <row r="8" spans="1:3" ht="15.75">
      <c r="A8" s="512" t="s">
        <v>535</v>
      </c>
      <c r="B8" s="512"/>
      <c r="C8" s="512"/>
    </row>
    <row r="9" ht="16.5" thickBot="1"/>
    <row r="10" spans="1:3" ht="15.75">
      <c r="A10" s="154" t="s">
        <v>41</v>
      </c>
      <c r="B10" s="147"/>
      <c r="C10" s="155" t="s">
        <v>19</v>
      </c>
    </row>
    <row r="11" spans="1:3" ht="15.75">
      <c r="A11" s="148"/>
      <c r="B11" s="149" t="s">
        <v>0</v>
      </c>
      <c r="C11" s="156" t="s">
        <v>10</v>
      </c>
    </row>
    <row r="12" spans="1:4" ht="18" customHeight="1" thickBot="1">
      <c r="A12" s="150" t="s">
        <v>42</v>
      </c>
      <c r="B12" s="157"/>
      <c r="C12" s="158" t="s">
        <v>1</v>
      </c>
      <c r="D12" s="383"/>
    </row>
    <row r="13" spans="2:4" ht="8.25" customHeight="1">
      <c r="B13" s="335"/>
      <c r="C13" s="336"/>
      <c r="D13" s="184"/>
    </row>
    <row r="14" spans="1:3" ht="20.25" customHeight="1">
      <c r="A14" s="632" t="s">
        <v>230</v>
      </c>
      <c r="B14" s="632"/>
      <c r="C14" s="632"/>
    </row>
    <row r="15" spans="1:3" ht="20.25" customHeight="1">
      <c r="A15" s="159" t="s">
        <v>43</v>
      </c>
      <c r="B15" s="160" t="s">
        <v>231</v>
      </c>
      <c r="C15" s="161"/>
    </row>
    <row r="16" spans="1:3" ht="20.25" customHeight="1">
      <c r="A16" s="159"/>
      <c r="B16" s="21" t="s">
        <v>232</v>
      </c>
      <c r="C16" s="161">
        <f>'2.mell - bevétel'!H49</f>
        <v>35442468</v>
      </c>
    </row>
    <row r="17" spans="1:5" ht="20.25" customHeight="1">
      <c r="A17" s="159"/>
      <c r="B17" s="114" t="s">
        <v>233</v>
      </c>
      <c r="C17" s="161">
        <f>'2.mell - bevétel'!H54</f>
        <v>46400</v>
      </c>
      <c r="D17" s="111"/>
      <c r="E17" s="111"/>
    </row>
    <row r="18" spans="1:3" ht="20.25" customHeight="1">
      <c r="A18" s="159" t="s">
        <v>27</v>
      </c>
      <c r="B18" s="160" t="s">
        <v>234</v>
      </c>
      <c r="C18" s="161">
        <f>'2.mell - bevétel'!H75</f>
        <v>7813000</v>
      </c>
    </row>
    <row r="19" spans="1:3" ht="20.25" customHeight="1">
      <c r="A19" s="159" t="s">
        <v>44</v>
      </c>
      <c r="B19" s="160" t="s">
        <v>235</v>
      </c>
      <c r="C19" s="161">
        <f>'2.mell - bevétel'!H97</f>
        <v>10097846</v>
      </c>
    </row>
    <row r="20" spans="1:3" ht="20.25" customHeight="1">
      <c r="A20" s="159" t="s">
        <v>100</v>
      </c>
      <c r="B20" s="162" t="s">
        <v>236</v>
      </c>
      <c r="C20" s="161"/>
    </row>
    <row r="21" spans="1:5" ht="36" customHeight="1">
      <c r="A21" s="159"/>
      <c r="B21" s="114" t="s">
        <v>237</v>
      </c>
      <c r="C21" s="161"/>
      <c r="D21" s="114"/>
      <c r="E21" s="114"/>
    </row>
    <row r="22" spans="1:3" ht="20.25" customHeight="1">
      <c r="A22" s="159"/>
      <c r="B22" s="21" t="s">
        <v>238</v>
      </c>
      <c r="C22" s="161"/>
    </row>
    <row r="23" spans="1:3" ht="30" customHeight="1">
      <c r="A23" s="406"/>
      <c r="B23" s="407" t="s">
        <v>239</v>
      </c>
      <c r="C23" s="179">
        <f>SUM(C16:C22)</f>
        <v>53399714</v>
      </c>
    </row>
    <row r="24" spans="1:3" ht="21" customHeight="1">
      <c r="A24" s="153" t="s">
        <v>101</v>
      </c>
      <c r="B24" s="160" t="s">
        <v>240</v>
      </c>
      <c r="C24" s="24">
        <f>'4.mell. - kiadás'!E44</f>
        <v>22390927</v>
      </c>
    </row>
    <row r="25" spans="1:3" ht="21" customHeight="1">
      <c r="A25" s="153" t="s">
        <v>107</v>
      </c>
      <c r="B25" s="160" t="s">
        <v>241</v>
      </c>
      <c r="C25" s="24">
        <f>'4.mell. - kiadás'!F44</f>
        <v>4484142</v>
      </c>
    </row>
    <row r="26" spans="1:3" ht="21" customHeight="1">
      <c r="A26" s="153" t="s">
        <v>242</v>
      </c>
      <c r="B26" s="166" t="s">
        <v>243</v>
      </c>
      <c r="C26" s="24">
        <f>'4.mell. - kiadás'!G44</f>
        <v>20910797</v>
      </c>
    </row>
    <row r="27" spans="1:3" ht="21" customHeight="1">
      <c r="A27" s="153" t="s">
        <v>244</v>
      </c>
      <c r="B27" s="166" t="s">
        <v>245</v>
      </c>
      <c r="C27" s="24">
        <f>'4.mell. - kiadás'!H44</f>
        <v>3061400</v>
      </c>
    </row>
    <row r="28" spans="1:3" ht="21" customHeight="1">
      <c r="A28" s="153" t="s">
        <v>246</v>
      </c>
      <c r="B28" s="166" t="s">
        <v>247</v>
      </c>
      <c r="C28" s="24"/>
    </row>
    <row r="29" spans="1:3" ht="32.25" customHeight="1">
      <c r="A29" s="153"/>
      <c r="B29" s="114" t="s">
        <v>248</v>
      </c>
      <c r="C29" s="168"/>
    </row>
    <row r="30" spans="1:3" ht="15.75">
      <c r="A30" s="153"/>
      <c r="B30" s="167" t="s">
        <v>600</v>
      </c>
      <c r="C30" s="168">
        <f>'4.mell. - kiadás'!I44</f>
        <v>1908500</v>
      </c>
    </row>
    <row r="31" spans="1:5" ht="15.75">
      <c r="A31" s="153"/>
      <c r="B31" s="167" t="s">
        <v>249</v>
      </c>
      <c r="E31" s="116"/>
    </row>
    <row r="32" spans="1:6" ht="33.75" customHeight="1">
      <c r="A32" s="406"/>
      <c r="B32" s="407" t="s">
        <v>250</v>
      </c>
      <c r="C32" s="179">
        <f>SUM(C24:C31)</f>
        <v>52755766</v>
      </c>
      <c r="E32" s="116"/>
      <c r="F32" s="116"/>
    </row>
    <row r="33" spans="1:6" ht="86.25" customHeight="1">
      <c r="A33" s="159"/>
      <c r="B33" s="160"/>
      <c r="C33" s="161"/>
      <c r="E33" s="116"/>
      <c r="F33" s="116"/>
    </row>
    <row r="34" spans="1:3" ht="15.75">
      <c r="A34" s="628">
        <v>2</v>
      </c>
      <c r="B34" s="628"/>
      <c r="C34" s="628"/>
    </row>
    <row r="35" spans="1:3" ht="16.5" thickBot="1">
      <c r="A35" s="328"/>
      <c r="B35" s="328"/>
      <c r="C35" s="328"/>
    </row>
    <row r="36" spans="1:3" ht="15.75">
      <c r="A36" s="154" t="s">
        <v>41</v>
      </c>
      <c r="B36" s="147"/>
      <c r="C36" s="155" t="s">
        <v>19</v>
      </c>
    </row>
    <row r="37" spans="1:3" ht="12.75" customHeight="1">
      <c r="A37" s="148"/>
      <c r="B37" s="149" t="s">
        <v>0</v>
      </c>
      <c r="C37" s="156"/>
    </row>
    <row r="38" spans="1:3" ht="21.75" customHeight="1" thickBot="1">
      <c r="A38" s="150" t="s">
        <v>42</v>
      </c>
      <c r="B38" s="157"/>
      <c r="C38" s="158" t="s">
        <v>10</v>
      </c>
    </row>
    <row r="39" spans="1:3" ht="12" customHeight="1">
      <c r="A39" s="174"/>
      <c r="B39" s="334"/>
      <c r="C39" s="184"/>
    </row>
    <row r="40" spans="1:3" ht="21" customHeight="1">
      <c r="A40" s="629" t="s">
        <v>251</v>
      </c>
      <c r="B40" s="629"/>
      <c r="C40" s="629"/>
    </row>
    <row r="41" spans="1:2" ht="21" customHeight="1">
      <c r="A41" s="153" t="s">
        <v>252</v>
      </c>
      <c r="B41" s="72" t="s">
        <v>253</v>
      </c>
    </row>
    <row r="42" spans="1:2" ht="21" customHeight="1">
      <c r="A42" s="153" t="s">
        <v>254</v>
      </c>
      <c r="B42" s="72" t="s">
        <v>255</v>
      </c>
    </row>
    <row r="43" spans="1:2" ht="21" customHeight="1">
      <c r="A43" s="153" t="s">
        <v>256</v>
      </c>
      <c r="B43" s="162" t="s">
        <v>257</v>
      </c>
    </row>
    <row r="44" spans="1:3" ht="31.5" customHeight="1">
      <c r="A44" s="153"/>
      <c r="B44" s="129" t="s">
        <v>258</v>
      </c>
      <c r="C44" s="152">
        <f>'2.mell - bevétel'!H105</f>
        <v>121800</v>
      </c>
    </row>
    <row r="45" spans="1:2" ht="21" customHeight="1">
      <c r="A45" s="153"/>
      <c r="B45" s="57" t="s">
        <v>259</v>
      </c>
    </row>
    <row r="46" spans="1:5" ht="30" customHeight="1">
      <c r="A46" s="406"/>
      <c r="B46" s="407" t="s">
        <v>260</v>
      </c>
      <c r="C46" s="179">
        <f>SUM(C41:C45)</f>
        <v>121800</v>
      </c>
      <c r="E46" s="116"/>
    </row>
    <row r="47" spans="1:3" ht="21" customHeight="1">
      <c r="A47" s="153" t="s">
        <v>261</v>
      </c>
      <c r="B47" s="72" t="s">
        <v>262</v>
      </c>
      <c r="C47" s="152">
        <f>'4.mell. - kiadás'!K44</f>
        <v>433959</v>
      </c>
    </row>
    <row r="48" spans="1:3" ht="21" customHeight="1">
      <c r="A48" s="153" t="s">
        <v>263</v>
      </c>
      <c r="B48" s="72" t="s">
        <v>264</v>
      </c>
      <c r="C48" s="152">
        <f>'4.mell. - kiadás'!L44</f>
        <v>57609396</v>
      </c>
    </row>
    <row r="49" spans="1:2" ht="21" customHeight="1">
      <c r="A49" s="153" t="s">
        <v>265</v>
      </c>
      <c r="B49" s="162" t="s">
        <v>266</v>
      </c>
    </row>
    <row r="50" spans="1:3" ht="21" customHeight="1">
      <c r="A50" s="153"/>
      <c r="B50" s="167" t="s">
        <v>267</v>
      </c>
      <c r="C50" s="152">
        <f>'4.mell. - kiadás'!M44</f>
        <v>1000000</v>
      </c>
    </row>
    <row r="51" spans="1:2" ht="21" customHeight="1">
      <c r="A51" s="153"/>
      <c r="B51" s="167" t="s">
        <v>249</v>
      </c>
    </row>
    <row r="52" spans="1:6" s="9" customFormat="1" ht="27.75" customHeight="1" thickBot="1">
      <c r="A52" s="406"/>
      <c r="B52" s="407" t="s">
        <v>268</v>
      </c>
      <c r="C52" s="179">
        <f>SUM(C47:C51)</f>
        <v>59043355</v>
      </c>
      <c r="F52" s="169"/>
    </row>
    <row r="53" spans="1:3" s="9" customFormat="1" ht="24" customHeight="1" thickBot="1">
      <c r="A53" s="170"/>
      <c r="B53" s="171" t="s">
        <v>269</v>
      </c>
      <c r="C53" s="172">
        <f>C23+C46</f>
        <v>53521514</v>
      </c>
    </row>
    <row r="54" spans="1:6" s="9" customFormat="1" ht="22.5" customHeight="1" thickBot="1">
      <c r="A54" s="170"/>
      <c r="B54" s="171" t="s">
        <v>270</v>
      </c>
      <c r="C54" s="172">
        <f>C32+C52</f>
        <v>111799121</v>
      </c>
      <c r="F54" s="169"/>
    </row>
    <row r="55" spans="1:3" s="9" customFormat="1" ht="15.75">
      <c r="A55" s="173"/>
      <c r="B55" s="174"/>
      <c r="C55" s="175"/>
    </row>
    <row r="56" spans="1:3" s="176" customFormat="1" ht="9.75" customHeight="1">
      <c r="A56" s="337"/>
      <c r="B56" s="337"/>
      <c r="C56" s="337"/>
    </row>
    <row r="57" spans="1:3" s="176" customFormat="1" ht="9" customHeight="1">
      <c r="A57" s="174"/>
      <c r="B57" s="183"/>
      <c r="C57" s="184"/>
    </row>
    <row r="58" spans="1:3" ht="20.25" customHeight="1">
      <c r="A58" s="631" t="s">
        <v>271</v>
      </c>
      <c r="B58" s="631"/>
      <c r="C58" s="631"/>
    </row>
    <row r="59" spans="1:3" ht="6.75" customHeight="1">
      <c r="A59" s="177"/>
      <c r="B59" s="177"/>
      <c r="C59" s="177"/>
    </row>
    <row r="60" spans="1:3" ht="20.25" customHeight="1">
      <c r="A60" s="163" t="s">
        <v>272</v>
      </c>
      <c r="B60" s="178" t="s">
        <v>273</v>
      </c>
      <c r="C60" s="165">
        <f>'2.mell - bevétel'!H113</f>
        <v>58277607</v>
      </c>
    </row>
    <row r="61" spans="1:3" ht="20.25" customHeight="1">
      <c r="A61" s="163" t="s">
        <v>275</v>
      </c>
      <c r="B61" s="164" t="s">
        <v>603</v>
      </c>
      <c r="C61" s="165">
        <v>1417579</v>
      </c>
    </row>
    <row r="62" spans="1:3" ht="21" customHeight="1">
      <c r="A62" s="163"/>
      <c r="B62" s="164" t="s">
        <v>274</v>
      </c>
      <c r="C62" s="179">
        <f>SUM(C60:C61)</f>
        <v>59695186</v>
      </c>
    </row>
    <row r="63" spans="1:3" ht="21" customHeight="1">
      <c r="A63" s="159" t="s">
        <v>277</v>
      </c>
      <c r="B63" s="164" t="s">
        <v>460</v>
      </c>
      <c r="C63" s="492">
        <f>'4.mell. - kiadás'!R44</f>
        <v>1417579</v>
      </c>
    </row>
    <row r="64" spans="1:3" ht="15.75">
      <c r="A64" s="159" t="s">
        <v>348</v>
      </c>
      <c r="B64" s="178" t="s">
        <v>276</v>
      </c>
      <c r="C64" s="165"/>
    </row>
    <row r="65" spans="1:3" ht="15.75">
      <c r="A65" s="153" t="s">
        <v>350</v>
      </c>
      <c r="B65" s="178" t="s">
        <v>278</v>
      </c>
      <c r="C65" s="165"/>
    </row>
    <row r="66" spans="1:3" s="180" customFormat="1" ht="30" customHeight="1" thickBot="1">
      <c r="A66" s="163"/>
      <c r="B66" s="164" t="s">
        <v>279</v>
      </c>
      <c r="C66" s="179">
        <f>SUM(C63:C65)</f>
        <v>1417579</v>
      </c>
    </row>
    <row r="67" spans="1:5" s="180" customFormat="1" ht="37.5" customHeight="1" thickBot="1">
      <c r="A67" s="181"/>
      <c r="B67" s="408" t="s">
        <v>280</v>
      </c>
      <c r="C67" s="409">
        <f>C53+C62</f>
        <v>113216700</v>
      </c>
      <c r="E67" s="182"/>
    </row>
    <row r="68" spans="1:5" ht="34.5" customHeight="1" thickBot="1">
      <c r="A68" s="181"/>
      <c r="B68" s="408" t="s">
        <v>281</v>
      </c>
      <c r="C68" s="409">
        <f>C54+C66</f>
        <v>113216700</v>
      </c>
      <c r="E68" s="182"/>
    </row>
  </sheetData>
  <sheetProtection password="AF00" sheet="1"/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55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" width="5.125" style="57" customWidth="1"/>
    <col min="2" max="2" width="43.625" style="57" customWidth="1"/>
    <col min="3" max="14" width="15.375" style="24" customWidth="1"/>
    <col min="15" max="15" width="16.25390625" style="24" customWidth="1"/>
    <col min="16" max="17" width="15.625" style="57" bestFit="1" customWidth="1"/>
    <col min="18" max="18" width="12.625" style="57" bestFit="1" customWidth="1"/>
    <col min="19" max="16384" width="9.125" style="57" customWidth="1"/>
  </cols>
  <sheetData>
    <row r="2" spans="1:15" s="117" customFormat="1" ht="15.75">
      <c r="A2" s="541" t="s">
        <v>617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</row>
    <row r="4" spans="2:15" ht="15.7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2:15" ht="15.7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</row>
    <row r="6" spans="2:15" ht="15.75">
      <c r="B6" s="498" t="s">
        <v>40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2:15" ht="15.75">
      <c r="B7" s="498" t="s">
        <v>313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2:15" ht="15.75">
      <c r="B8" s="498" t="s">
        <v>535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3:15" ht="16.5" thickBot="1">
      <c r="C9" s="25"/>
      <c r="D9" s="25"/>
      <c r="E9" s="25"/>
      <c r="F9" s="219"/>
      <c r="G9" s="25"/>
      <c r="H9" s="25"/>
      <c r="I9" s="25"/>
      <c r="J9" s="25"/>
      <c r="O9" s="220" t="s">
        <v>470</v>
      </c>
    </row>
    <row r="10" spans="1:15" ht="15.75">
      <c r="A10" s="221" t="s">
        <v>41</v>
      </c>
      <c r="B10" s="222"/>
      <c r="C10" s="223"/>
      <c r="D10" s="224"/>
      <c r="E10" s="225"/>
      <c r="F10" s="226"/>
      <c r="G10" s="226"/>
      <c r="H10" s="226"/>
      <c r="I10" s="226"/>
      <c r="J10" s="226"/>
      <c r="K10" s="227"/>
      <c r="L10" s="227"/>
      <c r="M10" s="227"/>
      <c r="N10" s="228"/>
      <c r="O10" s="229"/>
    </row>
    <row r="11" spans="1:15" ht="15.75">
      <c r="A11" s="230"/>
      <c r="B11" s="231" t="s">
        <v>0</v>
      </c>
      <c r="C11" s="120" t="s">
        <v>314</v>
      </c>
      <c r="D11" s="232" t="s">
        <v>315</v>
      </c>
      <c r="E11" s="233" t="s">
        <v>316</v>
      </c>
      <c r="F11" s="234" t="s">
        <v>317</v>
      </c>
      <c r="G11" s="234" t="s">
        <v>318</v>
      </c>
      <c r="H11" s="234" t="s">
        <v>319</v>
      </c>
      <c r="I11" s="234" t="s">
        <v>320</v>
      </c>
      <c r="J11" s="234" t="s">
        <v>321</v>
      </c>
      <c r="K11" s="234" t="s">
        <v>322</v>
      </c>
      <c r="L11" s="234" t="s">
        <v>323</v>
      </c>
      <c r="M11" s="234" t="s">
        <v>324</v>
      </c>
      <c r="N11" s="233" t="s">
        <v>325</v>
      </c>
      <c r="O11" s="156" t="s">
        <v>305</v>
      </c>
    </row>
    <row r="12" spans="1:15" ht="16.5" thickBot="1">
      <c r="A12" s="235" t="s">
        <v>42</v>
      </c>
      <c r="B12" s="236"/>
      <c r="C12" s="237"/>
      <c r="D12" s="238"/>
      <c r="E12" s="239"/>
      <c r="F12" s="240"/>
      <c r="G12" s="240"/>
      <c r="H12" s="240"/>
      <c r="I12" s="240"/>
      <c r="J12" s="240"/>
      <c r="K12" s="240"/>
      <c r="L12" s="240"/>
      <c r="M12" s="240"/>
      <c r="N12" s="239"/>
      <c r="O12" s="237"/>
    </row>
    <row r="13" spans="1:15" ht="28.5" customHeight="1">
      <c r="A13" s="241"/>
      <c r="B13" s="242" t="s">
        <v>326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4"/>
    </row>
    <row r="14" spans="1:15" ht="28.5" customHeight="1">
      <c r="A14" s="241" t="s">
        <v>43</v>
      </c>
      <c r="B14" s="242" t="s">
        <v>327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</row>
    <row r="15" spans="1:15" ht="28.5" customHeight="1">
      <c r="A15" s="241"/>
      <c r="B15" s="242" t="s">
        <v>328</v>
      </c>
      <c r="C15" s="243">
        <v>2999939</v>
      </c>
      <c r="D15" s="243">
        <v>2953539</v>
      </c>
      <c r="E15" s="243">
        <v>2953539</v>
      </c>
      <c r="F15" s="243">
        <v>2953539</v>
      </c>
      <c r="G15" s="243">
        <v>2953539</v>
      </c>
      <c r="H15" s="243">
        <v>2953539</v>
      </c>
      <c r="I15" s="243">
        <v>2953539</v>
      </c>
      <c r="J15" s="243">
        <v>2953539</v>
      </c>
      <c r="K15" s="243">
        <v>2953539</v>
      </c>
      <c r="L15" s="243">
        <v>2953539</v>
      </c>
      <c r="M15" s="243">
        <v>2953539</v>
      </c>
      <c r="N15" s="243">
        <v>2907139</v>
      </c>
      <c r="O15" s="244">
        <f>SUM(C15:N15)</f>
        <v>35442468</v>
      </c>
    </row>
    <row r="16" spans="1:15" ht="28.5" customHeight="1">
      <c r="A16" s="241"/>
      <c r="B16" s="242" t="s">
        <v>329</v>
      </c>
      <c r="C16" s="243"/>
      <c r="D16" s="243"/>
      <c r="E16" s="243"/>
      <c r="F16" s="243"/>
      <c r="G16" s="243"/>
      <c r="H16" s="243"/>
      <c r="I16" s="243"/>
      <c r="J16" s="243">
        <v>23200</v>
      </c>
      <c r="K16" s="243"/>
      <c r="L16" s="243"/>
      <c r="M16" s="243">
        <v>23200</v>
      </c>
      <c r="N16" s="243"/>
      <c r="O16" s="244">
        <f>SUM(C16:N16)</f>
        <v>46400</v>
      </c>
    </row>
    <row r="17" spans="1:15" ht="15.75">
      <c r="A17" s="241" t="s">
        <v>44</v>
      </c>
      <c r="B17" s="242" t="s">
        <v>330</v>
      </c>
      <c r="C17" s="243">
        <f>(12+44+32+31)*1000</f>
        <v>119000</v>
      </c>
      <c r="D17" s="243">
        <f>(19+12+118+253+31)*1000</f>
        <v>433000</v>
      </c>
      <c r="E17" s="243">
        <f>(1127+11+620+382+31)*1000</f>
        <v>2171000</v>
      </c>
      <c r="F17" s="243">
        <f>(9+12+76+34+31+200)*1000</f>
        <v>362000</v>
      </c>
      <c r="G17" s="243">
        <f>(408+12+48+35+31-200)*1000</f>
        <v>334000</v>
      </c>
      <c r="H17" s="243">
        <f>(46+12+20+19+31)*1000</f>
        <v>128000</v>
      </c>
      <c r="I17" s="243">
        <f>(12+2+2+31)*1000</f>
        <v>47000</v>
      </c>
      <c r="J17" s="243">
        <f>(12+237+346+31)*1000</f>
        <v>626000</v>
      </c>
      <c r="K17" s="243">
        <f>(1188+11+601+335+31)*1000</f>
        <v>2166000</v>
      </c>
      <c r="L17" s="243">
        <f>(10+12+27+35+31)*1000</f>
        <v>115000</v>
      </c>
      <c r="M17" s="243">
        <f>(852+11+76+12+31)*1000</f>
        <v>982000</v>
      </c>
      <c r="N17" s="243">
        <f>(241+11+34+15+29)*1000</f>
        <v>330000</v>
      </c>
      <c r="O17" s="244">
        <f aca="true" t="shared" si="0" ref="O17:O26">SUM(C17:N17)</f>
        <v>7813000</v>
      </c>
    </row>
    <row r="18" spans="1:18" ht="15.75">
      <c r="A18" s="241" t="s">
        <v>100</v>
      </c>
      <c r="B18" s="242" t="s">
        <v>331</v>
      </c>
      <c r="C18" s="243">
        <v>840000</v>
      </c>
      <c r="D18" s="243">
        <v>840000</v>
      </c>
      <c r="E18" s="243">
        <v>840000</v>
      </c>
      <c r="F18" s="243">
        <v>840000</v>
      </c>
      <c r="G18" s="243">
        <v>840000</v>
      </c>
      <c r="H18" s="243">
        <v>840000</v>
      </c>
      <c r="I18" s="243">
        <v>840000</v>
      </c>
      <c r="J18" s="243">
        <v>840000</v>
      </c>
      <c r="K18" s="243">
        <v>840000</v>
      </c>
      <c r="L18" s="243">
        <v>840000</v>
      </c>
      <c r="M18" s="243">
        <v>857846</v>
      </c>
      <c r="N18" s="243">
        <v>840000</v>
      </c>
      <c r="O18" s="244">
        <f t="shared" si="0"/>
        <v>10097846</v>
      </c>
      <c r="Q18" s="266"/>
      <c r="R18" s="266"/>
    </row>
    <row r="19" spans="1:15" ht="15.75">
      <c r="A19" s="241" t="s">
        <v>101</v>
      </c>
      <c r="B19" s="245" t="s">
        <v>332</v>
      </c>
      <c r="C19" s="246">
        <v>10150</v>
      </c>
      <c r="D19" s="246">
        <v>10150</v>
      </c>
      <c r="E19" s="246">
        <v>10150</v>
      </c>
      <c r="F19" s="246">
        <v>10150</v>
      </c>
      <c r="G19" s="246">
        <v>10150</v>
      </c>
      <c r="H19" s="246">
        <v>10150</v>
      </c>
      <c r="I19" s="246">
        <v>10150</v>
      </c>
      <c r="J19" s="246">
        <v>10150</v>
      </c>
      <c r="K19" s="246">
        <v>10150</v>
      </c>
      <c r="L19" s="246">
        <v>10150</v>
      </c>
      <c r="M19" s="246">
        <v>10150</v>
      </c>
      <c r="N19" s="246">
        <v>10150</v>
      </c>
      <c r="O19" s="244">
        <f t="shared" si="0"/>
        <v>121800</v>
      </c>
    </row>
    <row r="20" spans="1:15" ht="15.75">
      <c r="A20" s="241" t="s">
        <v>107</v>
      </c>
      <c r="B20" s="245" t="s">
        <v>236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244">
        <f t="shared" si="0"/>
        <v>0</v>
      </c>
    </row>
    <row r="21" spans="1:15" ht="31.5">
      <c r="A21" s="241"/>
      <c r="B21" s="242" t="s">
        <v>333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244">
        <f t="shared" si="0"/>
        <v>0</v>
      </c>
    </row>
    <row r="22" spans="1:15" ht="17.25" customHeight="1">
      <c r="A22" s="241"/>
      <c r="B22" s="242" t="s">
        <v>334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O22" s="244">
        <f t="shared" si="0"/>
        <v>0</v>
      </c>
    </row>
    <row r="23" spans="1:15" ht="15.75">
      <c r="A23" s="241" t="s">
        <v>242</v>
      </c>
      <c r="B23" s="245" t="s">
        <v>335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0"/>
      <c r="O23" s="244">
        <f t="shared" si="0"/>
        <v>0</v>
      </c>
    </row>
    <row r="24" spans="1:15" ht="47.25">
      <c r="A24" s="241"/>
      <c r="B24" s="264" t="s">
        <v>336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/>
      <c r="O24" s="244">
        <f t="shared" si="0"/>
        <v>0</v>
      </c>
    </row>
    <row r="25" spans="1:15" ht="15.75">
      <c r="A25" s="241"/>
      <c r="B25" s="242" t="s">
        <v>337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44">
        <f t="shared" si="0"/>
        <v>0</v>
      </c>
    </row>
    <row r="26" spans="1:15" ht="15.75">
      <c r="A26" s="241" t="s">
        <v>244</v>
      </c>
      <c r="B26" s="245" t="s">
        <v>338</v>
      </c>
      <c r="C26" s="249">
        <v>392711</v>
      </c>
      <c r="D26" s="249">
        <f>7466277</f>
        <v>7466277</v>
      </c>
      <c r="E26" s="249"/>
      <c r="F26" s="249">
        <f>50000000+1836198</f>
        <v>51836198</v>
      </c>
      <c r="G26" s="249"/>
      <c r="H26" s="249"/>
      <c r="I26" s="249"/>
      <c r="J26" s="249"/>
      <c r="K26" s="249"/>
      <c r="L26" s="249"/>
      <c r="M26" s="249"/>
      <c r="N26" s="250"/>
      <c r="O26" s="244">
        <f t="shared" si="0"/>
        <v>59695186</v>
      </c>
    </row>
    <row r="27" spans="1:15" ht="16.5" thickBot="1">
      <c r="A27" s="251" t="s">
        <v>246</v>
      </c>
      <c r="B27" s="252" t="s">
        <v>339</v>
      </c>
      <c r="C27" s="249"/>
      <c r="D27" s="249">
        <f>C49</f>
        <v>344011</v>
      </c>
      <c r="E27" s="249">
        <f aca="true" t="shared" si="1" ref="E27:N27">D49</f>
        <v>1243247</v>
      </c>
      <c r="F27" s="249">
        <f t="shared" si="1"/>
        <v>781747</v>
      </c>
      <c r="G27" s="249">
        <f t="shared" si="1"/>
        <v>249649</v>
      </c>
      <c r="H27" s="249">
        <f t="shared" si="1"/>
        <v>243649</v>
      </c>
      <c r="I27" s="249">
        <f t="shared" si="1"/>
        <v>40749</v>
      </c>
      <c r="J27" s="249">
        <f t="shared" si="1"/>
        <v>616849</v>
      </c>
      <c r="K27" s="249">
        <f t="shared" si="1"/>
        <v>507649</v>
      </c>
      <c r="L27" s="249">
        <f t="shared" si="1"/>
        <v>1117749</v>
      </c>
      <c r="M27" s="249">
        <f t="shared" si="1"/>
        <v>901849</v>
      </c>
      <c r="N27" s="249">
        <f t="shared" si="1"/>
        <v>1161798</v>
      </c>
      <c r="O27" s="244"/>
    </row>
    <row r="28" spans="1:16" s="18" customFormat="1" ht="27.75" customHeight="1" thickBot="1">
      <c r="A28" s="253"/>
      <c r="B28" s="253" t="s">
        <v>340</v>
      </c>
      <c r="C28" s="254">
        <f aca="true" t="shared" si="2" ref="C28:N28">SUM(C15:C27)</f>
        <v>4361800</v>
      </c>
      <c r="D28" s="254">
        <f t="shared" si="2"/>
        <v>12046977</v>
      </c>
      <c r="E28" s="254">
        <f t="shared" si="2"/>
        <v>7217936</v>
      </c>
      <c r="F28" s="254">
        <f t="shared" si="2"/>
        <v>56783634</v>
      </c>
      <c r="G28" s="254">
        <f t="shared" si="2"/>
        <v>4387338</v>
      </c>
      <c r="H28" s="254">
        <f t="shared" si="2"/>
        <v>4175338</v>
      </c>
      <c r="I28" s="254">
        <f t="shared" si="2"/>
        <v>3891438</v>
      </c>
      <c r="J28" s="254">
        <f t="shared" si="2"/>
        <v>5069738</v>
      </c>
      <c r="K28" s="254">
        <f t="shared" si="2"/>
        <v>6477338</v>
      </c>
      <c r="L28" s="254">
        <f t="shared" si="2"/>
        <v>5036438</v>
      </c>
      <c r="M28" s="254">
        <f t="shared" si="2"/>
        <v>5728584</v>
      </c>
      <c r="N28" s="254">
        <f t="shared" si="2"/>
        <v>5249087</v>
      </c>
      <c r="O28" s="255">
        <f>SUM(O14:O27)</f>
        <v>113216700</v>
      </c>
      <c r="P28" s="123"/>
    </row>
    <row r="29" spans="1:15" ht="15.75">
      <c r="A29" s="256"/>
      <c r="B29" s="257" t="s">
        <v>341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58"/>
    </row>
    <row r="30" spans="1:17" ht="15.75">
      <c r="A30" s="241" t="s">
        <v>252</v>
      </c>
      <c r="B30" s="245" t="s">
        <v>184</v>
      </c>
      <c r="C30" s="243">
        <v>1865910</v>
      </c>
      <c r="D30" s="243">
        <v>1865910</v>
      </c>
      <c r="E30" s="243">
        <v>1865910</v>
      </c>
      <c r="F30" s="243">
        <v>1865910</v>
      </c>
      <c r="G30" s="243">
        <v>1865910</v>
      </c>
      <c r="H30" s="243">
        <v>1865910</v>
      </c>
      <c r="I30" s="243">
        <v>1865910</v>
      </c>
      <c r="J30" s="243">
        <v>1865910</v>
      </c>
      <c r="K30" s="243">
        <v>1865910</v>
      </c>
      <c r="L30" s="243">
        <v>1865910</v>
      </c>
      <c r="M30" s="243">
        <v>1865910</v>
      </c>
      <c r="N30" s="243">
        <v>1865917</v>
      </c>
      <c r="O30" s="244">
        <f aca="true" t="shared" si="3" ref="O30:O47">SUM(C30:N30)</f>
        <v>22390927</v>
      </c>
      <c r="P30" s="266"/>
      <c r="Q30" s="266"/>
    </row>
    <row r="31" spans="1:17" ht="31.5">
      <c r="A31" s="241" t="s">
        <v>254</v>
      </c>
      <c r="B31" s="264" t="s">
        <v>342</v>
      </c>
      <c r="C31" s="243">
        <v>373679</v>
      </c>
      <c r="D31" s="243">
        <v>373679</v>
      </c>
      <c r="E31" s="243">
        <v>373679</v>
      </c>
      <c r="F31" s="243">
        <v>373679</v>
      </c>
      <c r="G31" s="243">
        <v>373679</v>
      </c>
      <c r="H31" s="243">
        <v>373679</v>
      </c>
      <c r="I31" s="243">
        <v>373679</v>
      </c>
      <c r="J31" s="243">
        <v>373679</v>
      </c>
      <c r="K31" s="243">
        <v>373679</v>
      </c>
      <c r="L31" s="243">
        <v>373679</v>
      </c>
      <c r="M31" s="243">
        <v>373679</v>
      </c>
      <c r="N31" s="243">
        <v>373673</v>
      </c>
      <c r="O31" s="244">
        <f t="shared" si="3"/>
        <v>4484142</v>
      </c>
      <c r="Q31" s="266"/>
    </row>
    <row r="32" spans="1:17" ht="15.75">
      <c r="A32" s="241" t="s">
        <v>256</v>
      </c>
      <c r="B32" s="245" t="s">
        <v>186</v>
      </c>
      <c r="C32" s="243">
        <v>1521000</v>
      </c>
      <c r="D32" s="243">
        <v>1945000</v>
      </c>
      <c r="E32" s="243">
        <v>2645000</v>
      </c>
      <c r="F32" s="243">
        <v>1745000</v>
      </c>
      <c r="G32" s="243">
        <v>1545000</v>
      </c>
      <c r="H32" s="243">
        <v>1745000</v>
      </c>
      <c r="I32" s="243">
        <v>845000</v>
      </c>
      <c r="J32" s="243">
        <v>1745000</v>
      </c>
      <c r="K32" s="243">
        <v>1745000</v>
      </c>
      <c r="L32" s="243">
        <v>1745000</v>
      </c>
      <c r="M32" s="243">
        <v>1745000</v>
      </c>
      <c r="N32" s="243">
        <v>1939797</v>
      </c>
      <c r="O32" s="244">
        <f t="shared" si="3"/>
        <v>20910797</v>
      </c>
      <c r="P32" s="266"/>
      <c r="Q32" s="266"/>
    </row>
    <row r="33" spans="1:15" ht="15.75">
      <c r="A33" s="241" t="s">
        <v>261</v>
      </c>
      <c r="B33" s="245" t="s">
        <v>187</v>
      </c>
      <c r="C33" s="243">
        <v>150000</v>
      </c>
      <c r="D33" s="243">
        <v>150000</v>
      </c>
      <c r="E33" s="243">
        <v>150000</v>
      </c>
      <c r="F33" s="243">
        <v>150000</v>
      </c>
      <c r="G33" s="243">
        <v>150000</v>
      </c>
      <c r="H33" s="243">
        <v>150000</v>
      </c>
      <c r="I33" s="243">
        <v>150000</v>
      </c>
      <c r="J33" s="243">
        <v>500000</v>
      </c>
      <c r="K33" s="243">
        <v>150000</v>
      </c>
      <c r="L33" s="243">
        <v>150000</v>
      </c>
      <c r="M33" s="243">
        <f>150000+61400</f>
        <v>211400</v>
      </c>
      <c r="N33" s="243">
        <v>1000000</v>
      </c>
      <c r="O33" s="244">
        <f t="shared" si="3"/>
        <v>3061400</v>
      </c>
    </row>
    <row r="34" spans="1:15" ht="15.75">
      <c r="A34" s="241" t="s">
        <v>263</v>
      </c>
      <c r="B34" s="245" t="s">
        <v>343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4"/>
    </row>
    <row r="35" spans="1:15" ht="15.75">
      <c r="A35" s="241"/>
      <c r="B35" s="245" t="s">
        <v>344</v>
      </c>
      <c r="C35" s="243">
        <f>37500+69700</f>
        <v>107200</v>
      </c>
      <c r="D35" s="243"/>
      <c r="E35" s="243"/>
      <c r="F35" s="243"/>
      <c r="G35" s="243">
        <v>209100</v>
      </c>
      <c r="H35" s="243"/>
      <c r="I35" s="243"/>
      <c r="J35" s="243">
        <v>37500</v>
      </c>
      <c r="K35" s="243">
        <v>600000</v>
      </c>
      <c r="L35" s="243"/>
      <c r="M35" s="243"/>
      <c r="N35" s="243">
        <v>69700</v>
      </c>
      <c r="O35" s="244">
        <f t="shared" si="3"/>
        <v>1023500</v>
      </c>
    </row>
    <row r="36" spans="1:16" ht="15.75">
      <c r="A36" s="241"/>
      <c r="B36" s="245" t="s">
        <v>345</v>
      </c>
      <c r="C36" s="243"/>
      <c r="D36" s="243"/>
      <c r="E36" s="243">
        <v>50000</v>
      </c>
      <c r="F36" s="243">
        <v>40000</v>
      </c>
      <c r="G36" s="243"/>
      <c r="H36" s="243"/>
      <c r="I36" s="243">
        <v>40000</v>
      </c>
      <c r="J36" s="243">
        <v>40000</v>
      </c>
      <c r="K36" s="243">
        <v>625000</v>
      </c>
      <c r="L36" s="243"/>
      <c r="M36" s="243">
        <v>90000</v>
      </c>
      <c r="N36" s="243"/>
      <c r="O36" s="244">
        <f t="shared" si="3"/>
        <v>885000</v>
      </c>
      <c r="P36" s="266"/>
    </row>
    <row r="37" spans="1:15" ht="15.75">
      <c r="A37" s="241" t="s">
        <v>265</v>
      </c>
      <c r="B37" s="245" t="s">
        <v>190</v>
      </c>
      <c r="C37" s="243"/>
      <c r="D37" s="243">
        <v>51562</v>
      </c>
      <c r="E37" s="243">
        <v>101600</v>
      </c>
      <c r="F37" s="243"/>
      <c r="G37" s="243"/>
      <c r="H37" s="243"/>
      <c r="I37" s="243"/>
      <c r="J37" s="243"/>
      <c r="K37" s="243"/>
      <c r="L37" s="243"/>
      <c r="M37" s="243">
        <v>280797</v>
      </c>
      <c r="N37" s="243"/>
      <c r="O37" s="244">
        <f t="shared" si="3"/>
        <v>433959</v>
      </c>
    </row>
    <row r="38" spans="1:15" ht="15.75">
      <c r="A38" s="241" t="s">
        <v>272</v>
      </c>
      <c r="B38" s="245" t="s">
        <v>74</v>
      </c>
      <c r="C38" s="243"/>
      <c r="D38" s="243">
        <v>5000000</v>
      </c>
      <c r="E38" s="243">
        <v>1250000</v>
      </c>
      <c r="F38" s="243">
        <f>49130487+2228909</f>
        <v>51359396</v>
      </c>
      <c r="G38" s="243"/>
      <c r="H38" s="243"/>
      <c r="I38" s="243"/>
      <c r="J38" s="243"/>
      <c r="K38" s="243"/>
      <c r="L38" s="243"/>
      <c r="M38" s="243"/>
      <c r="N38" s="243"/>
      <c r="O38" s="244">
        <f t="shared" si="3"/>
        <v>57609396</v>
      </c>
    </row>
    <row r="39" spans="1:15" ht="20.25" customHeight="1">
      <c r="A39" s="241" t="s">
        <v>275</v>
      </c>
      <c r="B39" s="245" t="s">
        <v>266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>
        <f t="shared" si="3"/>
        <v>0</v>
      </c>
    </row>
    <row r="40" spans="1:15" ht="20.25" customHeight="1">
      <c r="A40" s="241"/>
      <c r="B40" s="245" t="s">
        <v>344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>
        <f t="shared" si="3"/>
        <v>0</v>
      </c>
    </row>
    <row r="41" spans="1:15" ht="15.75">
      <c r="A41" s="241"/>
      <c r="B41" s="245" t="s">
        <v>345</v>
      </c>
      <c r="C41" s="243"/>
      <c r="D41" s="243"/>
      <c r="E41" s="243"/>
      <c r="F41" s="243">
        <v>1000000</v>
      </c>
      <c r="G41" s="243"/>
      <c r="H41" s="243"/>
      <c r="I41" s="243"/>
      <c r="J41" s="243"/>
      <c r="K41" s="243"/>
      <c r="L41" s="243"/>
      <c r="M41" s="243"/>
      <c r="N41" s="243"/>
      <c r="O41" s="244">
        <f t="shared" si="3"/>
        <v>1000000</v>
      </c>
    </row>
    <row r="42" spans="1:15" ht="15.75">
      <c r="A42" s="241" t="s">
        <v>277</v>
      </c>
      <c r="B42" s="245" t="s">
        <v>183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>
        <f t="shared" si="3"/>
        <v>0</v>
      </c>
    </row>
    <row r="43" spans="1:15" ht="15.75">
      <c r="A43" s="241"/>
      <c r="B43" s="338" t="s">
        <v>462</v>
      </c>
      <c r="C43" s="243"/>
      <c r="D43" s="243">
        <v>1417579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>
        <f t="shared" si="3"/>
        <v>1417579</v>
      </c>
    </row>
    <row r="44" spans="1:15" ht="15.75">
      <c r="A44" s="241"/>
      <c r="B44" s="245" t="s">
        <v>346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>
        <f t="shared" si="3"/>
        <v>0</v>
      </c>
    </row>
    <row r="45" spans="1:15" ht="15.75">
      <c r="A45" s="241"/>
      <c r="B45" s="245" t="s">
        <v>347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>
        <f t="shared" si="3"/>
        <v>0</v>
      </c>
    </row>
    <row r="46" spans="1:16" ht="15.75">
      <c r="A46" s="241" t="s">
        <v>348</v>
      </c>
      <c r="B46" s="245" t="s">
        <v>349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266"/>
    </row>
    <row r="47" spans="1:15" ht="16.5" thickBot="1">
      <c r="A47" s="251" t="s">
        <v>350</v>
      </c>
      <c r="B47" s="252" t="s">
        <v>351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>
        <f t="shared" si="3"/>
        <v>0</v>
      </c>
    </row>
    <row r="48" spans="1:19" s="18" customFormat="1" ht="24" customHeight="1" thickBot="1">
      <c r="A48" s="253"/>
      <c r="B48" s="253" t="s">
        <v>352</v>
      </c>
      <c r="C48" s="254">
        <f aca="true" t="shared" si="4" ref="C48:O48">SUM(C30:C47)</f>
        <v>4017789</v>
      </c>
      <c r="D48" s="254">
        <f t="shared" si="4"/>
        <v>10803730</v>
      </c>
      <c r="E48" s="254">
        <f t="shared" si="4"/>
        <v>6436189</v>
      </c>
      <c r="F48" s="254">
        <f t="shared" si="4"/>
        <v>56533985</v>
      </c>
      <c r="G48" s="254">
        <f t="shared" si="4"/>
        <v>4143689</v>
      </c>
      <c r="H48" s="254">
        <f t="shared" si="4"/>
        <v>4134589</v>
      </c>
      <c r="I48" s="254">
        <f t="shared" si="4"/>
        <v>3274589</v>
      </c>
      <c r="J48" s="254">
        <f t="shared" si="4"/>
        <v>4562089</v>
      </c>
      <c r="K48" s="254">
        <f t="shared" si="4"/>
        <v>5359589</v>
      </c>
      <c r="L48" s="254">
        <f t="shared" si="4"/>
        <v>4134589</v>
      </c>
      <c r="M48" s="254">
        <f t="shared" si="4"/>
        <v>4566786</v>
      </c>
      <c r="N48" s="254">
        <f t="shared" si="4"/>
        <v>5249087</v>
      </c>
      <c r="O48" s="255">
        <f t="shared" si="4"/>
        <v>113216700</v>
      </c>
      <c r="S48" s="259"/>
    </row>
    <row r="49" spans="1:15" ht="26.25" customHeight="1" thickBot="1">
      <c r="A49" s="260"/>
      <c r="B49" s="261" t="s">
        <v>353</v>
      </c>
      <c r="C49" s="262">
        <f aca="true" t="shared" si="5" ref="C49:N49">C28-C48</f>
        <v>344011</v>
      </c>
      <c r="D49" s="262">
        <f t="shared" si="5"/>
        <v>1243247</v>
      </c>
      <c r="E49" s="262">
        <f t="shared" si="5"/>
        <v>781747</v>
      </c>
      <c r="F49" s="262">
        <f t="shared" si="5"/>
        <v>249649</v>
      </c>
      <c r="G49" s="262">
        <f t="shared" si="5"/>
        <v>243649</v>
      </c>
      <c r="H49" s="262">
        <f t="shared" si="5"/>
        <v>40749</v>
      </c>
      <c r="I49" s="262">
        <f t="shared" si="5"/>
        <v>616849</v>
      </c>
      <c r="J49" s="262">
        <f t="shared" si="5"/>
        <v>507649</v>
      </c>
      <c r="K49" s="262">
        <f t="shared" si="5"/>
        <v>1117749</v>
      </c>
      <c r="L49" s="262">
        <f t="shared" si="5"/>
        <v>901849</v>
      </c>
      <c r="M49" s="262">
        <f t="shared" si="5"/>
        <v>1161798</v>
      </c>
      <c r="N49" s="262">
        <f t="shared" si="5"/>
        <v>0</v>
      </c>
      <c r="O49" s="263"/>
    </row>
    <row r="51" spans="3:15" ht="15.75"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</row>
    <row r="52" ht="15.75">
      <c r="O52" s="265"/>
    </row>
    <row r="53" ht="15.75">
      <c r="O53" s="265"/>
    </row>
    <row r="54" ht="15.75">
      <c r="O54" s="265"/>
    </row>
    <row r="55" ht="15.75">
      <c r="O55" s="265"/>
    </row>
  </sheetData>
  <sheetProtection password="AF00" sheet="1"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41" t="s">
        <v>618</v>
      </c>
      <c r="B1" s="541"/>
      <c r="C1" s="541"/>
      <c r="D1" s="117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33" t="s">
        <v>581</v>
      </c>
      <c r="B4" s="633"/>
      <c r="C4" s="633"/>
      <c r="D4" s="633"/>
      <c r="E4" s="26"/>
    </row>
    <row r="5" spans="1:5" ht="15.75">
      <c r="A5" s="633" t="s">
        <v>24</v>
      </c>
      <c r="B5" s="633"/>
      <c r="C5" s="633"/>
      <c r="D5" s="633"/>
      <c r="E5" s="26"/>
    </row>
    <row r="6" spans="1:5" ht="15.75">
      <c r="A6" s="633" t="s">
        <v>538</v>
      </c>
      <c r="B6" s="633"/>
      <c r="C6" s="633"/>
      <c r="D6" s="633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12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13</v>
      </c>
      <c r="C14" s="34"/>
    </row>
    <row r="15" spans="1:5" ht="19.5" customHeight="1">
      <c r="A15" s="36"/>
      <c r="B15" s="26" t="s">
        <v>14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15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102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541" t="s">
        <v>619</v>
      </c>
      <c r="B1" s="541"/>
      <c r="C1" s="541"/>
      <c r="D1" s="541"/>
      <c r="E1" s="541"/>
    </row>
    <row r="3" spans="1:5" ht="12.75">
      <c r="A3" s="499"/>
      <c r="B3" s="499"/>
      <c r="C3" s="499"/>
      <c r="D3" s="499"/>
      <c r="E3" s="499"/>
    </row>
    <row r="4" spans="1:6" ht="14.25">
      <c r="A4" s="630"/>
      <c r="B4" s="630"/>
      <c r="C4" s="630"/>
      <c r="D4" s="630"/>
      <c r="E4" s="630"/>
      <c r="F4" s="80"/>
    </row>
    <row r="5" spans="1:6" ht="14.25">
      <c r="A5" s="630" t="s">
        <v>627</v>
      </c>
      <c r="B5" s="630"/>
      <c r="C5" s="630"/>
      <c r="D5" s="630"/>
      <c r="E5" s="630"/>
      <c r="F5" s="80"/>
    </row>
    <row r="6" spans="1:6" s="5" customFormat="1" ht="15.75">
      <c r="A6" s="512" t="s">
        <v>286</v>
      </c>
      <c r="B6" s="512"/>
      <c r="C6" s="512"/>
      <c r="D6" s="512"/>
      <c r="E6" s="512"/>
      <c r="F6" s="71"/>
    </row>
    <row r="7" spans="1:6" s="5" customFormat="1" ht="15.75">
      <c r="A7" s="512" t="s">
        <v>539</v>
      </c>
      <c r="B7" s="512"/>
      <c r="C7" s="512"/>
      <c r="D7" s="512"/>
      <c r="E7" s="512"/>
      <c r="F7" s="71"/>
    </row>
    <row r="8" spans="1:5" s="5" customFormat="1" ht="13.5" thickBot="1">
      <c r="A8" s="81"/>
      <c r="B8" s="81"/>
      <c r="C8" s="81"/>
      <c r="D8" s="81"/>
      <c r="E8" s="82" t="s">
        <v>5</v>
      </c>
    </row>
    <row r="9" spans="1:5" s="85" customFormat="1" ht="22.5" customHeight="1" thickTop="1">
      <c r="A9" s="83" t="s">
        <v>41</v>
      </c>
      <c r="B9" s="84"/>
      <c r="C9" s="638" t="s">
        <v>61</v>
      </c>
      <c r="D9" s="638" t="s">
        <v>62</v>
      </c>
      <c r="E9" s="643" t="s">
        <v>63</v>
      </c>
    </row>
    <row r="10" spans="1:5" s="85" customFormat="1" ht="12.75">
      <c r="A10" s="86"/>
      <c r="B10" s="87" t="s">
        <v>64</v>
      </c>
      <c r="C10" s="639"/>
      <c r="D10" s="639"/>
      <c r="E10" s="644"/>
    </row>
    <row r="11" spans="1:5" s="85" customFormat="1" ht="13.5" thickBot="1">
      <c r="A11" s="88" t="s">
        <v>42</v>
      </c>
      <c r="B11" s="89"/>
      <c r="C11" s="640"/>
      <c r="D11" s="640"/>
      <c r="E11" s="645"/>
    </row>
    <row r="12" spans="1:5" s="85" customFormat="1" ht="12.75">
      <c r="A12" s="634" t="s">
        <v>43</v>
      </c>
      <c r="B12" s="636" t="s">
        <v>65</v>
      </c>
      <c r="C12" s="646">
        <v>1887</v>
      </c>
      <c r="D12" s="646">
        <v>1887</v>
      </c>
      <c r="E12" s="641">
        <f>SUM(C12:D17)</f>
        <v>3774</v>
      </c>
    </row>
    <row r="13" spans="1:5" s="85" customFormat="1" ht="15" customHeight="1">
      <c r="A13" s="635"/>
      <c r="B13" s="637"/>
      <c r="C13" s="647"/>
      <c r="D13" s="647"/>
      <c r="E13" s="642"/>
    </row>
    <row r="14" spans="1:5" s="85" customFormat="1" ht="15" customHeight="1">
      <c r="A14" s="635"/>
      <c r="B14" s="90" t="s">
        <v>66</v>
      </c>
      <c r="C14" s="647"/>
      <c r="D14" s="647"/>
      <c r="E14" s="642"/>
    </row>
    <row r="15" spans="1:5" s="85" customFormat="1" ht="25.5">
      <c r="A15" s="635"/>
      <c r="B15" s="90" t="s">
        <v>287</v>
      </c>
      <c r="C15" s="647"/>
      <c r="D15" s="647"/>
      <c r="E15" s="642"/>
    </row>
    <row r="16" spans="1:5" s="85" customFormat="1" ht="12.75">
      <c r="A16" s="635"/>
      <c r="B16" s="91" t="s">
        <v>67</v>
      </c>
      <c r="C16" s="647"/>
      <c r="D16" s="647"/>
      <c r="E16" s="642"/>
    </row>
    <row r="17" spans="1:5" s="85" customFormat="1" ht="13.5" thickBot="1">
      <c r="A17" s="635"/>
      <c r="B17" s="92" t="s">
        <v>68</v>
      </c>
      <c r="C17" s="647"/>
      <c r="D17" s="647"/>
      <c r="E17" s="642"/>
    </row>
    <row r="18" spans="1:6" s="98" customFormat="1" ht="40.5" customHeight="1" thickBot="1" thickTop="1">
      <c r="A18" s="93"/>
      <c r="B18" s="94" t="s">
        <v>69</v>
      </c>
      <c r="C18" s="95">
        <f>SUM(C12:C17)</f>
        <v>1887</v>
      </c>
      <c r="D18" s="95">
        <f>SUM(D12:D17)</f>
        <v>1887</v>
      </c>
      <c r="E18" s="96">
        <f>SUM(E12:E17)</f>
        <v>3774</v>
      </c>
      <c r="F18" s="97"/>
    </row>
    <row r="19" spans="1:4" s="98" customFormat="1" ht="27" customHeight="1">
      <c r="A19" s="99"/>
      <c r="B19" s="100"/>
      <c r="C19" s="101"/>
      <c r="D19" s="101"/>
    </row>
  </sheetData>
  <sheetProtection password="AF00" sheet="1"/>
  <mergeCells count="14">
    <mergeCell ref="E12:E17"/>
    <mergeCell ref="E9:E11"/>
    <mergeCell ref="C12:C17"/>
    <mergeCell ref="C9:C11"/>
    <mergeCell ref="D12:D17"/>
    <mergeCell ref="A1:E1"/>
    <mergeCell ref="A3:E3"/>
    <mergeCell ref="A4:E4"/>
    <mergeCell ref="A12:A17"/>
    <mergeCell ref="B12:B13"/>
    <mergeCell ref="A6:E6"/>
    <mergeCell ref="A7:E7"/>
    <mergeCell ref="A5:E5"/>
    <mergeCell ref="D9:D11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3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875" style="57" customWidth="1"/>
    <col min="2" max="2" width="37.375" style="57" customWidth="1"/>
    <col min="3" max="3" width="9.625" style="57" customWidth="1"/>
    <col min="4" max="15" width="15.75390625" style="57" customWidth="1"/>
    <col min="16" max="16" width="13.625" style="57" bestFit="1" customWidth="1"/>
    <col min="17" max="16384" width="9.125" style="57" customWidth="1"/>
  </cols>
  <sheetData>
    <row r="2" spans="1:15" ht="15.75">
      <c r="A2" s="657" t="s">
        <v>620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ht="15.75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</row>
    <row r="4" spans="2:15" ht="15.7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15.7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15.75">
      <c r="A6" s="498" t="s">
        <v>40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1:15" ht="15.75">
      <c r="A7" s="498" t="s">
        <v>362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1:15" ht="15.75">
      <c r="A8" s="498" t="s">
        <v>560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1:15" ht="15.7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</row>
    <row r="10" spans="1:15" ht="15.7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</row>
    <row r="11" ht="16.5" thickBot="1">
      <c r="O11" s="269" t="s">
        <v>489</v>
      </c>
    </row>
    <row r="12" spans="1:15" ht="32.25" customHeight="1" thickTop="1">
      <c r="A12" s="681" t="s">
        <v>363</v>
      </c>
      <c r="B12" s="684" t="s">
        <v>364</v>
      </c>
      <c r="C12" s="684" t="s">
        <v>365</v>
      </c>
      <c r="D12" s="685" t="s">
        <v>366</v>
      </c>
      <c r="E12" s="685"/>
      <c r="F12" s="686"/>
      <c r="G12" s="685" t="s">
        <v>367</v>
      </c>
      <c r="H12" s="685"/>
      <c r="I12" s="686"/>
      <c r="J12" s="685" t="s">
        <v>63</v>
      </c>
      <c r="K12" s="685"/>
      <c r="L12" s="686"/>
      <c r="M12" s="693" t="s">
        <v>368</v>
      </c>
      <c r="N12" s="694"/>
      <c r="O12" s="695"/>
    </row>
    <row r="13" spans="1:15" ht="16.5" thickBot="1">
      <c r="A13" s="682"/>
      <c r="B13" s="682"/>
      <c r="C13" s="682"/>
      <c r="D13" s="687"/>
      <c r="E13" s="687"/>
      <c r="F13" s="688"/>
      <c r="G13" s="687"/>
      <c r="H13" s="687"/>
      <c r="I13" s="688"/>
      <c r="J13" s="687"/>
      <c r="K13" s="687"/>
      <c r="L13" s="688"/>
      <c r="M13" s="696"/>
      <c r="N13" s="697"/>
      <c r="O13" s="692"/>
    </row>
    <row r="14" spans="1:15" ht="15.75">
      <c r="A14" s="682"/>
      <c r="B14" s="682"/>
      <c r="C14" s="682"/>
      <c r="D14" s="654" t="s">
        <v>372</v>
      </c>
      <c r="E14" s="654" t="s">
        <v>373</v>
      </c>
      <c r="F14" s="654" t="s">
        <v>521</v>
      </c>
      <c r="G14" s="654" t="s">
        <v>372</v>
      </c>
      <c r="H14" s="654" t="s">
        <v>373</v>
      </c>
      <c r="I14" s="654" t="s">
        <v>521</v>
      </c>
      <c r="J14" s="654" t="s">
        <v>372</v>
      </c>
      <c r="K14" s="654" t="s">
        <v>373</v>
      </c>
      <c r="L14" s="654" t="s">
        <v>521</v>
      </c>
      <c r="M14" s="654" t="s">
        <v>369</v>
      </c>
      <c r="N14" s="689" t="s">
        <v>367</v>
      </c>
      <c r="O14" s="691" t="s">
        <v>370</v>
      </c>
    </row>
    <row r="15" spans="1:15" ht="16.5" thickBot="1">
      <c r="A15" s="683"/>
      <c r="B15" s="683"/>
      <c r="C15" s="683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90"/>
      <c r="O15" s="692"/>
    </row>
    <row r="16" spans="1:16" ht="26.25" customHeight="1">
      <c r="A16" s="667" t="s">
        <v>43</v>
      </c>
      <c r="B16" s="669" t="s">
        <v>374</v>
      </c>
      <c r="C16" s="678"/>
      <c r="D16" s="648">
        <f>12559-9743</f>
        <v>2816</v>
      </c>
      <c r="E16" s="648"/>
      <c r="F16" s="648"/>
      <c r="G16" s="648"/>
      <c r="H16" s="648">
        <v>9743</v>
      </c>
      <c r="I16" s="648"/>
      <c r="J16" s="648">
        <f>D16+G16</f>
        <v>2816</v>
      </c>
      <c r="K16" s="648">
        <f>F16+H16</f>
        <v>9743</v>
      </c>
      <c r="L16" s="648"/>
      <c r="M16" s="675">
        <f>D16+F16</f>
        <v>2816</v>
      </c>
      <c r="N16" s="672">
        <f>G16+H16</f>
        <v>9743</v>
      </c>
      <c r="O16" s="698">
        <f>J16+K16</f>
        <v>12559</v>
      </c>
      <c r="P16" s="266"/>
    </row>
    <row r="17" spans="1:15" ht="26.25" customHeight="1">
      <c r="A17" s="659"/>
      <c r="B17" s="670"/>
      <c r="C17" s="679"/>
      <c r="D17" s="649"/>
      <c r="E17" s="649"/>
      <c r="F17" s="649"/>
      <c r="G17" s="649"/>
      <c r="H17" s="649"/>
      <c r="I17" s="649"/>
      <c r="J17" s="649"/>
      <c r="K17" s="649"/>
      <c r="L17" s="649"/>
      <c r="M17" s="676"/>
      <c r="N17" s="673"/>
      <c r="O17" s="699"/>
    </row>
    <row r="18" spans="1:15" s="270" customFormat="1" ht="26.25" customHeight="1" thickBot="1">
      <c r="A18" s="668"/>
      <c r="B18" s="671"/>
      <c r="C18" s="680"/>
      <c r="D18" s="650"/>
      <c r="E18" s="650"/>
      <c r="F18" s="650"/>
      <c r="G18" s="656"/>
      <c r="H18" s="656"/>
      <c r="I18" s="656"/>
      <c r="J18" s="656"/>
      <c r="K18" s="656"/>
      <c r="L18" s="656"/>
      <c r="M18" s="677"/>
      <c r="N18" s="674"/>
      <c r="O18" s="700"/>
    </row>
    <row r="19" spans="1:15" ht="26.25" customHeight="1" thickTop="1">
      <c r="A19" s="658"/>
      <c r="B19" s="661" t="s">
        <v>371</v>
      </c>
      <c r="C19" s="664"/>
      <c r="D19" s="651">
        <f>D16</f>
        <v>2816</v>
      </c>
      <c r="E19" s="651"/>
      <c r="F19" s="651">
        <f aca="true" t="shared" si="0" ref="F19:O19">F16</f>
        <v>0</v>
      </c>
      <c r="G19" s="651">
        <f t="shared" si="0"/>
        <v>0</v>
      </c>
      <c r="H19" s="651">
        <f>H16</f>
        <v>9743</v>
      </c>
      <c r="I19" s="651">
        <f>I16</f>
        <v>0</v>
      </c>
      <c r="J19" s="651">
        <f t="shared" si="0"/>
        <v>2816</v>
      </c>
      <c r="K19" s="651">
        <f>K16</f>
        <v>9743</v>
      </c>
      <c r="L19" s="651"/>
      <c r="M19" s="651">
        <f t="shared" si="0"/>
        <v>2816</v>
      </c>
      <c r="N19" s="651">
        <f t="shared" si="0"/>
        <v>9743</v>
      </c>
      <c r="O19" s="651">
        <f t="shared" si="0"/>
        <v>12559</v>
      </c>
    </row>
    <row r="20" spans="1:15" ht="26.25" customHeight="1">
      <c r="A20" s="659"/>
      <c r="B20" s="662"/>
      <c r="C20" s="665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</row>
    <row r="21" spans="1:15" s="270" customFormat="1" ht="26.25" customHeight="1" thickBot="1">
      <c r="A21" s="660"/>
      <c r="B21" s="663"/>
      <c r="C21" s="666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</row>
    <row r="22" spans="1:15" ht="26.25" customHeight="1" thickTop="1">
      <c r="A22" s="271"/>
      <c r="B22" s="271"/>
      <c r="C22" s="271"/>
      <c r="D22" s="272"/>
      <c r="E22" s="272"/>
      <c r="F22" s="272"/>
      <c r="G22" s="273"/>
      <c r="H22" s="273"/>
      <c r="I22" s="273"/>
      <c r="J22" s="273"/>
      <c r="K22" s="273"/>
      <c r="L22" s="273"/>
      <c r="M22" s="272"/>
      <c r="N22" s="273"/>
      <c r="O22" s="272"/>
    </row>
    <row r="23" spans="1:15" ht="26.25" customHeight="1">
      <c r="A23" s="271"/>
      <c r="B23" s="271"/>
      <c r="C23" s="271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</row>
    <row r="24" spans="1:15" ht="26.25" customHeight="1">
      <c r="A24" s="271"/>
      <c r="B24" s="271"/>
      <c r="C24" s="271"/>
      <c r="D24" s="272"/>
      <c r="E24" s="272"/>
      <c r="F24" s="272"/>
      <c r="G24" s="272"/>
      <c r="H24" s="272"/>
      <c r="I24" s="272"/>
      <c r="J24" s="273"/>
      <c r="K24" s="273"/>
      <c r="L24" s="273"/>
      <c r="M24" s="272"/>
      <c r="N24" s="272"/>
      <c r="O24" s="272"/>
    </row>
    <row r="25" spans="1:15" ht="26.25" customHeight="1">
      <c r="A25" s="271"/>
      <c r="B25" s="271"/>
      <c r="C25" s="271"/>
      <c r="D25" s="272"/>
      <c r="E25" s="272"/>
      <c r="F25" s="272"/>
      <c r="G25" s="273"/>
      <c r="H25" s="273"/>
      <c r="I25" s="273"/>
      <c r="J25" s="272"/>
      <c r="K25" s="272"/>
      <c r="L25" s="272"/>
      <c r="M25" s="272"/>
      <c r="N25" s="272"/>
      <c r="O25" s="272"/>
    </row>
    <row r="26" spans="1:15" ht="26.25" customHeight="1">
      <c r="A26" s="271"/>
      <c r="B26" s="27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</row>
    <row r="30" spans="7:9" ht="15.75">
      <c r="G30" s="266"/>
      <c r="H30" s="266"/>
      <c r="I30" s="266"/>
    </row>
  </sheetData>
  <sheetProtection password="AF00" sheet="1"/>
  <mergeCells count="54">
    <mergeCell ref="N14:N15"/>
    <mergeCell ref="O14:O15"/>
    <mergeCell ref="M12:O13"/>
    <mergeCell ref="M14:M15"/>
    <mergeCell ref="K16:K18"/>
    <mergeCell ref="O16:O18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41" t="s">
        <v>621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12.7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4" spans="1:13" ht="20.25" customHeight="1">
      <c r="A4" s="731"/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</row>
    <row r="5" spans="1:13" s="57" customFormat="1" ht="15.75">
      <c r="A5" s="498" t="s">
        <v>40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1:13" s="57" customFormat="1" ht="15.75">
      <c r="A6" s="498" t="s">
        <v>375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</row>
    <row r="7" spans="1:13" s="57" customFormat="1" ht="15.75">
      <c r="A7" s="498" t="s">
        <v>535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</row>
    <row r="8" spans="1:13" ht="12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s="57" customFormat="1" ht="15.75">
      <c r="A9" s="275" t="s">
        <v>376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2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3" ht="15.75">
      <c r="A11" s="276" t="s">
        <v>520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2" customHeight="1" thickBo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</row>
    <row r="13" spans="1:13" ht="16.5" thickBot="1">
      <c r="A13" s="710" t="s">
        <v>377</v>
      </c>
      <c r="B13" s="711"/>
      <c r="C13" s="711"/>
      <c r="D13" s="785" t="s">
        <v>378</v>
      </c>
      <c r="E13" s="786"/>
      <c r="F13" s="787"/>
      <c r="G13" s="785" t="s">
        <v>379</v>
      </c>
      <c r="H13" s="786"/>
      <c r="I13" s="787"/>
      <c r="J13" s="785" t="s">
        <v>380</v>
      </c>
      <c r="K13" s="786"/>
      <c r="L13" s="787"/>
      <c r="M13" s="716" t="s">
        <v>381</v>
      </c>
    </row>
    <row r="14" spans="1:13" ht="15.75">
      <c r="A14" s="712"/>
      <c r="B14" s="713"/>
      <c r="C14" s="713"/>
      <c r="D14" s="277" t="s">
        <v>382</v>
      </c>
      <c r="E14" s="278" t="s">
        <v>383</v>
      </c>
      <c r="F14" s="279" t="s">
        <v>384</v>
      </c>
      <c r="G14" s="278" t="s">
        <v>385</v>
      </c>
      <c r="H14" s="278" t="s">
        <v>383</v>
      </c>
      <c r="I14" s="279" t="s">
        <v>386</v>
      </c>
      <c r="J14" s="278" t="s">
        <v>385</v>
      </c>
      <c r="K14" s="279" t="s">
        <v>383</v>
      </c>
      <c r="L14" s="278" t="s">
        <v>386</v>
      </c>
      <c r="M14" s="717"/>
    </row>
    <row r="15" spans="1:13" ht="16.5" thickBot="1">
      <c r="A15" s="712"/>
      <c r="B15" s="713"/>
      <c r="C15" s="713"/>
      <c r="D15" s="280" t="s">
        <v>387</v>
      </c>
      <c r="E15" s="281" t="s">
        <v>388</v>
      </c>
      <c r="F15" s="282" t="s">
        <v>6</v>
      </c>
      <c r="G15" s="283" t="s">
        <v>387</v>
      </c>
      <c r="H15" s="281" t="s">
        <v>388</v>
      </c>
      <c r="I15" s="282" t="s">
        <v>6</v>
      </c>
      <c r="J15" s="283" t="s">
        <v>387</v>
      </c>
      <c r="K15" s="282" t="s">
        <v>388</v>
      </c>
      <c r="L15" s="281" t="s">
        <v>6</v>
      </c>
      <c r="M15" s="718"/>
    </row>
    <row r="16" spans="1:13" ht="7.5" customHeight="1">
      <c r="A16" s="793" t="s">
        <v>389</v>
      </c>
      <c r="B16" s="794"/>
      <c r="C16" s="795"/>
      <c r="D16" s="743"/>
      <c r="E16" s="707"/>
      <c r="F16" s="772"/>
      <c r="G16" s="802" t="s">
        <v>390</v>
      </c>
      <c r="H16" s="805"/>
      <c r="I16" s="791">
        <v>2172</v>
      </c>
      <c r="J16" s="707"/>
      <c r="K16" s="707"/>
      <c r="L16" s="707"/>
      <c r="M16" s="732">
        <f>I16</f>
        <v>2172</v>
      </c>
    </row>
    <row r="17" spans="1:13" ht="7.5" customHeight="1">
      <c r="A17" s="796"/>
      <c r="B17" s="797"/>
      <c r="C17" s="798"/>
      <c r="D17" s="782"/>
      <c r="E17" s="728"/>
      <c r="F17" s="752"/>
      <c r="G17" s="803"/>
      <c r="H17" s="806"/>
      <c r="I17" s="728"/>
      <c r="J17" s="728"/>
      <c r="K17" s="728"/>
      <c r="L17" s="728"/>
      <c r="M17" s="728"/>
    </row>
    <row r="18" spans="1:13" ht="15.75" customHeight="1" thickBot="1">
      <c r="A18" s="799"/>
      <c r="B18" s="800"/>
      <c r="C18" s="801"/>
      <c r="D18" s="783"/>
      <c r="E18" s="733"/>
      <c r="F18" s="773"/>
      <c r="G18" s="804"/>
      <c r="H18" s="807"/>
      <c r="I18" s="792"/>
      <c r="J18" s="733"/>
      <c r="K18" s="733"/>
      <c r="L18" s="733"/>
      <c r="M18" s="733"/>
    </row>
    <row r="19" spans="1:13" s="127" customFormat="1" ht="12.75" customHeight="1">
      <c r="A19" s="748" t="s">
        <v>2</v>
      </c>
      <c r="B19" s="763"/>
      <c r="C19" s="749"/>
      <c r="D19" s="766"/>
      <c r="E19" s="766"/>
      <c r="F19" s="770">
        <f>SUM(F16)</f>
        <v>0</v>
      </c>
      <c r="G19" s="766"/>
      <c r="H19" s="766"/>
      <c r="I19" s="766">
        <f>I16</f>
        <v>2172</v>
      </c>
      <c r="J19" s="766"/>
      <c r="K19" s="766"/>
      <c r="L19" s="766"/>
      <c r="M19" s="768">
        <f>M16</f>
        <v>2172</v>
      </c>
    </row>
    <row r="20" spans="1:13" s="127" customFormat="1" ht="13.5" customHeight="1" thickBot="1">
      <c r="A20" s="750"/>
      <c r="B20" s="764"/>
      <c r="C20" s="751"/>
      <c r="D20" s="767"/>
      <c r="E20" s="767"/>
      <c r="F20" s="771"/>
      <c r="G20" s="767"/>
      <c r="H20" s="767"/>
      <c r="I20" s="767"/>
      <c r="J20" s="767"/>
      <c r="K20" s="767"/>
      <c r="L20" s="767"/>
      <c r="M20" s="767"/>
    </row>
    <row r="21" spans="1:13" ht="12" customHeight="1">
      <c r="A21" s="274"/>
      <c r="B21" s="274"/>
      <c r="C21" s="274"/>
      <c r="D21" s="274"/>
      <c r="E21" s="274"/>
      <c r="F21" s="284"/>
      <c r="G21" s="274"/>
      <c r="H21" s="274"/>
      <c r="I21" s="274"/>
      <c r="J21" s="274"/>
      <c r="K21" s="274"/>
      <c r="L21" s="274"/>
      <c r="M21" s="274"/>
    </row>
    <row r="22" spans="1:6" s="276" customFormat="1" ht="12" customHeight="1">
      <c r="A22" s="276" t="s">
        <v>391</v>
      </c>
      <c r="F22" s="285"/>
    </row>
    <row r="23" spans="1:13" ht="17.25" customHeight="1">
      <c r="A23" s="286" t="s">
        <v>392</v>
      </c>
      <c r="B23" s="286"/>
      <c r="C23" s="286"/>
      <c r="D23" s="286"/>
      <c r="E23" s="286"/>
      <c r="F23" s="287"/>
      <c r="G23" s="288" t="s">
        <v>6</v>
      </c>
      <c r="H23" s="274"/>
      <c r="I23" s="274"/>
      <c r="J23" s="274"/>
      <c r="K23" s="274"/>
      <c r="L23" s="274"/>
      <c r="M23" s="274"/>
    </row>
    <row r="24" spans="1:13" ht="17.25" customHeight="1">
      <c r="A24" s="286" t="s">
        <v>393</v>
      </c>
      <c r="B24" s="286"/>
      <c r="C24" s="286"/>
      <c r="D24" s="286"/>
      <c r="E24" s="286"/>
      <c r="F24" s="287"/>
      <c r="G24" s="288" t="s">
        <v>6</v>
      </c>
      <c r="H24" s="274"/>
      <c r="I24" s="274"/>
      <c r="J24" s="274"/>
      <c r="K24" s="274"/>
      <c r="L24" s="274"/>
      <c r="M24" s="274"/>
    </row>
    <row r="25" spans="1:13" ht="15.75" customHeight="1">
      <c r="A25" s="286" t="s">
        <v>394</v>
      </c>
      <c r="B25" s="286"/>
      <c r="C25" s="286"/>
      <c r="D25" s="286"/>
      <c r="E25" s="286"/>
      <c r="F25" s="289">
        <v>41</v>
      </c>
      <c r="G25" s="290" t="s">
        <v>6</v>
      </c>
      <c r="H25" s="274"/>
      <c r="I25" s="274"/>
      <c r="J25" s="274"/>
      <c r="K25" s="274"/>
      <c r="L25" s="274"/>
      <c r="M25" s="274"/>
    </row>
    <row r="26" spans="1:13" ht="17.25" customHeight="1">
      <c r="A26" s="286" t="s">
        <v>395</v>
      </c>
      <c r="B26" s="286"/>
      <c r="C26" s="286"/>
      <c r="D26" s="286"/>
      <c r="E26" s="286"/>
      <c r="F26" s="291">
        <f>SUM(F23:F25)</f>
        <v>41</v>
      </c>
      <c r="G26" s="292" t="s">
        <v>6</v>
      </c>
      <c r="H26" s="274"/>
      <c r="I26" s="274"/>
      <c r="J26" s="274"/>
      <c r="K26" s="274"/>
      <c r="L26" s="274"/>
      <c r="M26" s="274"/>
    </row>
    <row r="27" spans="1:13" ht="13.5" customHeight="1">
      <c r="A27" s="286"/>
      <c r="B27" s="286"/>
      <c r="C27" s="286"/>
      <c r="D27" s="286"/>
      <c r="E27" s="286"/>
      <c r="F27" s="291"/>
      <c r="G27" s="292"/>
      <c r="H27" s="274"/>
      <c r="I27" s="274"/>
      <c r="J27" s="274"/>
      <c r="K27" s="274"/>
      <c r="L27" s="274"/>
      <c r="M27" s="274"/>
    </row>
    <row r="28" spans="1:13" ht="15.75">
      <c r="A28" s="276" t="s">
        <v>396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3.5" customHeight="1">
      <c r="A29" s="286"/>
      <c r="B29" s="286"/>
      <c r="C29" s="286"/>
      <c r="D29" s="286"/>
      <c r="E29" s="286"/>
      <c r="F29" s="291"/>
      <c r="G29" s="292"/>
      <c r="H29" s="274"/>
      <c r="I29" s="274"/>
      <c r="J29" s="274"/>
      <c r="K29" s="274"/>
      <c r="L29" s="274"/>
      <c r="M29" s="274"/>
    </row>
    <row r="30" spans="1:13" ht="13.5" customHeight="1" thickBot="1">
      <c r="A30" s="286"/>
      <c r="B30" s="286"/>
      <c r="C30" s="286"/>
      <c r="D30" s="286"/>
      <c r="E30" s="286"/>
      <c r="F30" s="291"/>
      <c r="G30" s="292"/>
      <c r="H30" s="274"/>
      <c r="I30" s="274"/>
      <c r="J30" s="274"/>
      <c r="K30" s="274"/>
      <c r="L30" s="274"/>
      <c r="M30" s="274"/>
    </row>
    <row r="31" spans="1:13" ht="16.5" thickBot="1">
      <c r="A31" s="710" t="s">
        <v>377</v>
      </c>
      <c r="B31" s="711"/>
      <c r="C31" s="711"/>
      <c r="D31" s="785" t="s">
        <v>378</v>
      </c>
      <c r="E31" s="786"/>
      <c r="F31" s="787"/>
      <c r="G31" s="785" t="s">
        <v>379</v>
      </c>
      <c r="H31" s="786"/>
      <c r="I31" s="787"/>
      <c r="J31" s="785" t="s">
        <v>380</v>
      </c>
      <c r="K31" s="786"/>
      <c r="L31" s="787"/>
      <c r="M31" s="716" t="s">
        <v>381</v>
      </c>
    </row>
    <row r="32" spans="1:13" ht="15.75">
      <c r="A32" s="712"/>
      <c r="B32" s="713"/>
      <c r="C32" s="713"/>
      <c r="D32" s="277" t="s">
        <v>382</v>
      </c>
      <c r="E32" s="278" t="s">
        <v>383</v>
      </c>
      <c r="F32" s="279" t="s">
        <v>384</v>
      </c>
      <c r="G32" s="278" t="s">
        <v>385</v>
      </c>
      <c r="H32" s="278" t="s">
        <v>383</v>
      </c>
      <c r="I32" s="279" t="s">
        <v>386</v>
      </c>
      <c r="J32" s="278" t="s">
        <v>385</v>
      </c>
      <c r="K32" s="279" t="s">
        <v>383</v>
      </c>
      <c r="L32" s="278" t="s">
        <v>386</v>
      </c>
      <c r="M32" s="717"/>
    </row>
    <row r="33" spans="1:13" ht="16.5" thickBot="1">
      <c r="A33" s="712"/>
      <c r="B33" s="713"/>
      <c r="C33" s="713"/>
      <c r="D33" s="280" t="s">
        <v>387</v>
      </c>
      <c r="E33" s="281" t="s">
        <v>388</v>
      </c>
      <c r="F33" s="282" t="s">
        <v>6</v>
      </c>
      <c r="G33" s="283" t="s">
        <v>387</v>
      </c>
      <c r="H33" s="281" t="s">
        <v>388</v>
      </c>
      <c r="I33" s="282" t="s">
        <v>6</v>
      </c>
      <c r="J33" s="283" t="s">
        <v>387</v>
      </c>
      <c r="K33" s="282" t="s">
        <v>388</v>
      </c>
      <c r="L33" s="281" t="s">
        <v>6</v>
      </c>
      <c r="M33" s="718"/>
    </row>
    <row r="34" spans="1:13" ht="7.5" customHeight="1">
      <c r="A34" s="788" t="s">
        <v>397</v>
      </c>
      <c r="B34" s="789"/>
      <c r="C34" s="790"/>
      <c r="D34" s="743" t="s">
        <v>398</v>
      </c>
      <c r="E34" s="707"/>
      <c r="F34" s="772">
        <v>14</v>
      </c>
      <c r="G34" s="746"/>
      <c r="H34" s="746"/>
      <c r="I34" s="746"/>
      <c r="J34" s="707"/>
      <c r="K34" s="707"/>
      <c r="L34" s="707"/>
      <c r="M34" s="732">
        <f>L34+I34+F34</f>
        <v>14</v>
      </c>
    </row>
    <row r="35" spans="1:13" ht="7.5" customHeight="1">
      <c r="A35" s="776"/>
      <c r="B35" s="777"/>
      <c r="C35" s="778"/>
      <c r="D35" s="782"/>
      <c r="E35" s="728"/>
      <c r="F35" s="752"/>
      <c r="G35" s="746"/>
      <c r="H35" s="746"/>
      <c r="I35" s="746"/>
      <c r="J35" s="728"/>
      <c r="K35" s="728"/>
      <c r="L35" s="728"/>
      <c r="M35" s="728"/>
    </row>
    <row r="36" spans="1:13" ht="7.5" customHeight="1">
      <c r="A36" s="779"/>
      <c r="B36" s="780"/>
      <c r="C36" s="781"/>
      <c r="D36" s="783"/>
      <c r="E36" s="733"/>
      <c r="F36" s="773"/>
      <c r="G36" s="746"/>
      <c r="H36" s="746"/>
      <c r="I36" s="746"/>
      <c r="J36" s="733"/>
      <c r="K36" s="733"/>
      <c r="L36" s="733"/>
      <c r="M36" s="733"/>
    </row>
    <row r="37" spans="1:13" ht="7.5" customHeight="1">
      <c r="A37" s="734" t="s">
        <v>467</v>
      </c>
      <c r="B37" s="735"/>
      <c r="C37" s="736"/>
      <c r="D37" s="743" t="s">
        <v>468</v>
      </c>
      <c r="E37" s="707"/>
      <c r="F37" s="772">
        <v>71</v>
      </c>
      <c r="G37" s="707"/>
      <c r="H37" s="707"/>
      <c r="I37" s="707"/>
      <c r="J37" s="707"/>
      <c r="K37" s="707"/>
      <c r="L37" s="707"/>
      <c r="M37" s="732">
        <f>L37+I37+F37</f>
        <v>71</v>
      </c>
    </row>
    <row r="38" spans="1:13" ht="7.5" customHeight="1">
      <c r="A38" s="737"/>
      <c r="B38" s="738"/>
      <c r="C38" s="739"/>
      <c r="D38" s="744"/>
      <c r="E38" s="708"/>
      <c r="F38" s="708"/>
      <c r="G38" s="708"/>
      <c r="H38" s="708"/>
      <c r="I38" s="708"/>
      <c r="J38" s="708"/>
      <c r="K38" s="708"/>
      <c r="L38" s="708"/>
      <c r="M38" s="728"/>
    </row>
    <row r="39" spans="1:13" ht="7.5" customHeight="1">
      <c r="A39" s="740"/>
      <c r="B39" s="741"/>
      <c r="C39" s="742"/>
      <c r="D39" s="745"/>
      <c r="E39" s="709"/>
      <c r="F39" s="709"/>
      <c r="G39" s="709"/>
      <c r="H39" s="709"/>
      <c r="I39" s="709"/>
      <c r="J39" s="709"/>
      <c r="K39" s="709"/>
      <c r="L39" s="709"/>
      <c r="M39" s="733"/>
    </row>
    <row r="40" spans="1:13" ht="19.5" customHeight="1">
      <c r="A40" s="701" t="s">
        <v>399</v>
      </c>
      <c r="B40" s="702"/>
      <c r="C40" s="703"/>
      <c r="D40" s="433"/>
      <c r="E40" s="434"/>
      <c r="F40" s="434"/>
      <c r="G40" s="435" t="s">
        <v>545</v>
      </c>
      <c r="H40" s="434"/>
      <c r="I40" s="434">
        <v>7</v>
      </c>
      <c r="J40" s="434"/>
      <c r="K40" s="434"/>
      <c r="L40" s="434"/>
      <c r="M40" s="431">
        <f>I40</f>
        <v>7</v>
      </c>
    </row>
    <row r="41" spans="1:13" ht="24.75" customHeight="1">
      <c r="A41" s="704" t="s">
        <v>399</v>
      </c>
      <c r="B41" s="705"/>
      <c r="C41" s="706"/>
      <c r="D41" s="433"/>
      <c r="E41" s="434"/>
      <c r="F41" s="434"/>
      <c r="G41" s="436" t="s">
        <v>400</v>
      </c>
      <c r="H41" s="434"/>
      <c r="I41" s="434">
        <v>227</v>
      </c>
      <c r="J41" s="434"/>
      <c r="K41" s="434"/>
      <c r="L41" s="434"/>
      <c r="M41" s="431">
        <f>I41</f>
        <v>227</v>
      </c>
    </row>
    <row r="42" spans="1:13" ht="7.5" customHeight="1">
      <c r="A42" s="734" t="s">
        <v>399</v>
      </c>
      <c r="B42" s="774"/>
      <c r="C42" s="775"/>
      <c r="D42" s="743"/>
      <c r="E42" s="707"/>
      <c r="F42" s="772"/>
      <c r="G42" s="769" t="s">
        <v>546</v>
      </c>
      <c r="H42" s="746"/>
      <c r="I42" s="784"/>
      <c r="J42" s="707"/>
      <c r="K42" s="707"/>
      <c r="L42" s="707"/>
      <c r="M42" s="732">
        <f>L42+I42+F42</f>
        <v>0</v>
      </c>
    </row>
    <row r="43" spans="1:13" ht="7.5" customHeight="1">
      <c r="A43" s="776"/>
      <c r="B43" s="777"/>
      <c r="C43" s="778"/>
      <c r="D43" s="782"/>
      <c r="E43" s="728"/>
      <c r="F43" s="752"/>
      <c r="G43" s="769"/>
      <c r="H43" s="746"/>
      <c r="I43" s="784"/>
      <c r="J43" s="728"/>
      <c r="K43" s="728"/>
      <c r="L43" s="728"/>
      <c r="M43" s="728"/>
    </row>
    <row r="44" spans="1:13" ht="7.5" customHeight="1" thickBot="1">
      <c r="A44" s="779"/>
      <c r="B44" s="780"/>
      <c r="C44" s="781"/>
      <c r="D44" s="783"/>
      <c r="E44" s="733"/>
      <c r="F44" s="773"/>
      <c r="G44" s="769"/>
      <c r="H44" s="746"/>
      <c r="I44" s="784"/>
      <c r="J44" s="733"/>
      <c r="K44" s="733"/>
      <c r="L44" s="733"/>
      <c r="M44" s="733"/>
    </row>
    <row r="45" spans="1:13" s="127" customFormat="1" ht="12.75" customHeight="1">
      <c r="A45" s="748" t="s">
        <v>2</v>
      </c>
      <c r="B45" s="763"/>
      <c r="C45" s="749"/>
      <c r="D45" s="766"/>
      <c r="E45" s="766"/>
      <c r="F45" s="770">
        <f>SUM(F34:F44)</f>
        <v>85</v>
      </c>
      <c r="G45" s="766"/>
      <c r="H45" s="766"/>
      <c r="I45" s="768">
        <f>SUM(I34:I44)</f>
        <v>234</v>
      </c>
      <c r="J45" s="766"/>
      <c r="K45" s="766"/>
      <c r="L45" s="766"/>
      <c r="M45" s="768">
        <f>SUM(M34:M44)</f>
        <v>319</v>
      </c>
    </row>
    <row r="46" spans="1:13" s="127" customFormat="1" ht="13.5" customHeight="1" thickBot="1">
      <c r="A46" s="750"/>
      <c r="B46" s="764"/>
      <c r="C46" s="751"/>
      <c r="D46" s="767"/>
      <c r="E46" s="767"/>
      <c r="F46" s="771"/>
      <c r="G46" s="767"/>
      <c r="H46" s="767"/>
      <c r="I46" s="767"/>
      <c r="J46" s="767"/>
      <c r="K46" s="767"/>
      <c r="L46" s="767"/>
      <c r="M46" s="767"/>
    </row>
    <row r="47" spans="1:13" ht="13.5" customHeight="1">
      <c r="A47" s="286"/>
      <c r="B47" s="286"/>
      <c r="C47" s="286"/>
      <c r="D47" s="286"/>
      <c r="E47" s="286"/>
      <c r="F47" s="291"/>
      <c r="G47" s="292"/>
      <c r="H47" s="274"/>
      <c r="I47" s="274"/>
      <c r="J47" s="274"/>
      <c r="K47" s="274"/>
      <c r="L47" s="274"/>
      <c r="M47" s="274"/>
    </row>
    <row r="48" spans="1:13" ht="13.5" customHeight="1">
      <c r="A48" s="286"/>
      <c r="B48" s="286"/>
      <c r="C48" s="286"/>
      <c r="D48" s="286"/>
      <c r="E48" s="286"/>
      <c r="F48" s="291"/>
      <c r="G48" s="292"/>
      <c r="H48" s="274"/>
      <c r="I48" s="274"/>
      <c r="J48" s="274"/>
      <c r="K48" s="274"/>
      <c r="L48" s="274"/>
      <c r="M48" s="274"/>
    </row>
    <row r="49" spans="1:13" ht="13.5" customHeight="1">
      <c r="A49" s="286"/>
      <c r="B49" s="286"/>
      <c r="C49" s="286"/>
      <c r="D49" s="286"/>
      <c r="E49" s="286"/>
      <c r="F49" s="291"/>
      <c r="G49" s="292"/>
      <c r="H49" s="274"/>
      <c r="I49" s="274"/>
      <c r="J49" s="274"/>
      <c r="K49" s="274"/>
      <c r="L49" s="274"/>
      <c r="M49" s="274"/>
    </row>
    <row r="50" spans="1:13" ht="13.5" customHeight="1">
      <c r="A50" s="286"/>
      <c r="B50" s="286"/>
      <c r="C50" s="286"/>
      <c r="D50" s="286"/>
      <c r="E50" s="286"/>
      <c r="F50" s="291"/>
      <c r="G50" s="292"/>
      <c r="H50" s="274"/>
      <c r="I50" s="274"/>
      <c r="J50" s="274"/>
      <c r="K50" s="274"/>
      <c r="L50" s="274"/>
      <c r="M50" s="274"/>
    </row>
    <row r="51" spans="1:13" ht="13.5" customHeight="1">
      <c r="A51" s="286"/>
      <c r="B51" s="286"/>
      <c r="C51" s="286"/>
      <c r="D51" s="286"/>
      <c r="E51" s="286"/>
      <c r="F51" s="291"/>
      <c r="G51" s="292"/>
      <c r="H51" s="274"/>
      <c r="I51" s="274"/>
      <c r="J51" s="274"/>
      <c r="K51" s="274"/>
      <c r="L51" s="274"/>
      <c r="M51" s="274"/>
    </row>
    <row r="52" spans="1:13" ht="13.5" customHeight="1">
      <c r="A52" s="286"/>
      <c r="B52" s="286"/>
      <c r="C52" s="286"/>
      <c r="D52" s="286"/>
      <c r="E52" s="286"/>
      <c r="F52" s="291"/>
      <c r="G52" s="292"/>
      <c r="H52" s="274"/>
      <c r="I52" s="274"/>
      <c r="J52" s="274"/>
      <c r="K52" s="274"/>
      <c r="L52" s="274"/>
      <c r="M52" s="274"/>
    </row>
    <row r="53" spans="1:13" ht="13.5" customHeight="1">
      <c r="A53" s="286"/>
      <c r="B53" s="286"/>
      <c r="C53" s="286"/>
      <c r="D53" s="286"/>
      <c r="E53" s="286"/>
      <c r="F53" s="291"/>
      <c r="G53" s="292"/>
      <c r="H53" s="274"/>
      <c r="I53" s="274"/>
      <c r="J53" s="274"/>
      <c r="K53" s="274"/>
      <c r="L53" s="274"/>
      <c r="M53" s="274"/>
    </row>
    <row r="54" spans="1:13" ht="13.5" customHeight="1">
      <c r="A54" s="286"/>
      <c r="B54" s="286"/>
      <c r="C54" s="286"/>
      <c r="D54" s="286"/>
      <c r="E54" s="286"/>
      <c r="F54" s="291"/>
      <c r="G54" s="292"/>
      <c r="H54" s="274"/>
      <c r="I54" s="274"/>
      <c r="J54" s="274"/>
      <c r="K54" s="274"/>
      <c r="L54" s="274"/>
      <c r="M54" s="274"/>
    </row>
    <row r="55" spans="1:13" ht="13.5" customHeight="1">
      <c r="A55" s="286"/>
      <c r="B55" s="286"/>
      <c r="C55" s="286"/>
      <c r="D55" s="286"/>
      <c r="E55" s="286"/>
      <c r="F55" s="291"/>
      <c r="G55" s="292"/>
      <c r="H55" s="274"/>
      <c r="I55" s="274"/>
      <c r="J55" s="274"/>
      <c r="K55" s="274"/>
      <c r="L55" s="274"/>
      <c r="M55" s="274"/>
    </row>
    <row r="56" spans="1:13" ht="13.5" customHeight="1">
      <c r="A56" s="286"/>
      <c r="B56" s="286"/>
      <c r="C56" s="286"/>
      <c r="D56" s="286"/>
      <c r="E56" s="286"/>
      <c r="F56" s="291"/>
      <c r="G56" s="292"/>
      <c r="H56" s="274"/>
      <c r="I56" s="274"/>
      <c r="J56" s="274"/>
      <c r="K56" s="274"/>
      <c r="L56" s="274"/>
      <c r="M56" s="274"/>
    </row>
    <row r="57" spans="1:13" ht="13.5" customHeight="1">
      <c r="A57" s="286"/>
      <c r="B57" s="286"/>
      <c r="C57" s="286"/>
      <c r="D57" s="286"/>
      <c r="E57" s="286"/>
      <c r="F57" s="291"/>
      <c r="G57" s="292"/>
      <c r="H57" s="274"/>
      <c r="I57" s="274"/>
      <c r="J57" s="274"/>
      <c r="K57" s="274"/>
      <c r="L57" s="274"/>
      <c r="M57" s="274"/>
    </row>
    <row r="58" spans="1:13" ht="13.5" customHeight="1">
      <c r="A58" s="286"/>
      <c r="B58" s="286"/>
      <c r="C58" s="286"/>
      <c r="D58" s="286"/>
      <c r="E58" s="286"/>
      <c r="F58" s="291"/>
      <c r="G58" s="292"/>
      <c r="H58" s="274"/>
      <c r="I58" s="274"/>
      <c r="J58" s="274"/>
      <c r="K58" s="274"/>
      <c r="L58" s="274"/>
      <c r="M58" s="274"/>
    </row>
    <row r="59" spans="1:13" ht="15.75">
      <c r="A59" s="7" t="s">
        <v>401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2" customHeight="1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</row>
    <row r="61" spans="1:13" ht="15.75">
      <c r="A61" s="7" t="s">
        <v>402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" customHeight="1" thickBo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</row>
    <row r="63" spans="1:11" ht="12.75" customHeight="1">
      <c r="A63" s="710" t="s">
        <v>377</v>
      </c>
      <c r="B63" s="711"/>
      <c r="C63" s="711"/>
      <c r="D63" s="710" t="s">
        <v>403</v>
      </c>
      <c r="E63" s="716"/>
      <c r="F63" s="710" t="s">
        <v>404</v>
      </c>
      <c r="G63" s="716"/>
      <c r="H63" s="710" t="s">
        <v>405</v>
      </c>
      <c r="I63" s="716"/>
      <c r="J63" s="710" t="s">
        <v>406</v>
      </c>
      <c r="K63" s="716"/>
    </row>
    <row r="64" spans="1:11" ht="12.75" customHeight="1">
      <c r="A64" s="712"/>
      <c r="B64" s="713"/>
      <c r="C64" s="713"/>
      <c r="D64" s="712"/>
      <c r="E64" s="717"/>
      <c r="F64" s="712"/>
      <c r="G64" s="717"/>
      <c r="H64" s="712"/>
      <c r="I64" s="717"/>
      <c r="J64" s="712"/>
      <c r="K64" s="717"/>
    </row>
    <row r="65" spans="1:11" ht="13.5" customHeight="1" thickBot="1">
      <c r="A65" s="714"/>
      <c r="B65" s="715"/>
      <c r="C65" s="715"/>
      <c r="D65" s="714"/>
      <c r="E65" s="718"/>
      <c r="F65" s="714"/>
      <c r="G65" s="718"/>
      <c r="H65" s="714"/>
      <c r="I65" s="718"/>
      <c r="J65" s="714"/>
      <c r="K65" s="718"/>
    </row>
    <row r="66" spans="1:12" s="57" customFormat="1" ht="25.5" customHeight="1" thickBot="1">
      <c r="A66" s="728" t="s">
        <v>407</v>
      </c>
      <c r="B66" s="728"/>
      <c r="C66" s="728"/>
      <c r="D66" s="728" t="s">
        <v>408</v>
      </c>
      <c r="E66" s="728"/>
      <c r="F66" s="729" t="s">
        <v>408</v>
      </c>
      <c r="G66" s="730"/>
      <c r="H66" s="729" t="s">
        <v>408</v>
      </c>
      <c r="I66" s="730"/>
      <c r="J66" s="728" t="s">
        <v>408</v>
      </c>
      <c r="K66" s="728"/>
      <c r="L66" s="293"/>
    </row>
    <row r="67" spans="1:13" s="127" customFormat="1" ht="12.75" customHeight="1">
      <c r="A67" s="748" t="s">
        <v>2</v>
      </c>
      <c r="B67" s="763"/>
      <c r="C67" s="749"/>
      <c r="D67" s="748"/>
      <c r="E67" s="749"/>
      <c r="F67" s="748"/>
      <c r="G67" s="749"/>
      <c r="H67" s="748"/>
      <c r="I67" s="749"/>
      <c r="J67" s="748" t="s">
        <v>408</v>
      </c>
      <c r="K67" s="749"/>
      <c r="L67" s="765"/>
      <c r="M67" s="765"/>
    </row>
    <row r="68" spans="1:13" s="127" customFormat="1" ht="13.5" customHeight="1" thickBot="1">
      <c r="A68" s="750"/>
      <c r="B68" s="764"/>
      <c r="C68" s="751"/>
      <c r="D68" s="750"/>
      <c r="E68" s="751"/>
      <c r="F68" s="750"/>
      <c r="G68" s="751"/>
      <c r="H68" s="750"/>
      <c r="I68" s="751"/>
      <c r="J68" s="750"/>
      <c r="K68" s="751"/>
      <c r="L68" s="765"/>
      <c r="M68" s="765"/>
    </row>
    <row r="70" spans="1:13" ht="15.75">
      <c r="A70" s="7" t="s">
        <v>409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ht="13.5" thickBot="1"/>
    <row r="72" spans="1:11" ht="12.75" customHeight="1">
      <c r="A72" s="710" t="s">
        <v>377</v>
      </c>
      <c r="B72" s="711"/>
      <c r="C72" s="711"/>
      <c r="D72" s="710" t="s">
        <v>403</v>
      </c>
      <c r="E72" s="716"/>
      <c r="F72" s="710" t="s">
        <v>410</v>
      </c>
      <c r="G72" s="716"/>
      <c r="H72" s="710" t="s">
        <v>405</v>
      </c>
      <c r="I72" s="716"/>
      <c r="J72" s="710" t="s">
        <v>406</v>
      </c>
      <c r="K72" s="716"/>
    </row>
    <row r="73" spans="1:11" ht="12.75" customHeight="1">
      <c r="A73" s="712"/>
      <c r="B73" s="713"/>
      <c r="C73" s="713"/>
      <c r="D73" s="712"/>
      <c r="E73" s="717"/>
      <c r="F73" s="712"/>
      <c r="G73" s="717"/>
      <c r="H73" s="712"/>
      <c r="I73" s="717"/>
      <c r="J73" s="712"/>
      <c r="K73" s="717"/>
    </row>
    <row r="74" spans="1:11" ht="13.5" customHeight="1" thickBot="1">
      <c r="A74" s="714"/>
      <c r="B74" s="715"/>
      <c r="C74" s="715"/>
      <c r="D74" s="714"/>
      <c r="E74" s="718"/>
      <c r="F74" s="714"/>
      <c r="G74" s="718"/>
      <c r="H74" s="714"/>
      <c r="I74" s="718"/>
      <c r="J74" s="714"/>
      <c r="K74" s="718"/>
    </row>
    <row r="75" spans="1:12" s="57" customFormat="1" ht="25.5" customHeight="1" thickBot="1">
      <c r="A75" s="728" t="s">
        <v>411</v>
      </c>
      <c r="B75" s="728"/>
      <c r="C75" s="728"/>
      <c r="D75" s="728" t="s">
        <v>412</v>
      </c>
      <c r="E75" s="728"/>
      <c r="F75" s="761" t="s">
        <v>408</v>
      </c>
      <c r="G75" s="762"/>
      <c r="H75" s="761"/>
      <c r="I75" s="762"/>
      <c r="J75" s="752"/>
      <c r="K75" s="752"/>
      <c r="L75" s="293"/>
    </row>
    <row r="76" spans="1:13" ht="12.75" customHeight="1">
      <c r="A76" s="719" t="s">
        <v>2</v>
      </c>
      <c r="B76" s="720"/>
      <c r="C76" s="721"/>
      <c r="D76" s="725"/>
      <c r="E76" s="726"/>
      <c r="F76" s="753">
        <f>SUM(F75)</f>
        <v>0</v>
      </c>
      <c r="G76" s="754"/>
      <c r="H76" s="757">
        <f>SUM(H75)</f>
        <v>0</v>
      </c>
      <c r="I76" s="758"/>
      <c r="J76" s="757">
        <f>SUM(J75)</f>
        <v>0</v>
      </c>
      <c r="K76" s="758"/>
      <c r="L76" s="747"/>
      <c r="M76" s="747"/>
    </row>
    <row r="77" spans="1:13" ht="13.5" customHeight="1" thickBot="1">
      <c r="A77" s="722"/>
      <c r="B77" s="723"/>
      <c r="C77" s="724"/>
      <c r="D77" s="727"/>
      <c r="E77" s="688"/>
      <c r="F77" s="755"/>
      <c r="G77" s="756"/>
      <c r="H77" s="759"/>
      <c r="I77" s="760"/>
      <c r="J77" s="759"/>
      <c r="K77" s="760"/>
      <c r="L77" s="747"/>
      <c r="M77" s="747"/>
    </row>
    <row r="79" spans="1:13" ht="15.75">
      <c r="A79" s="7" t="s">
        <v>413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ht="13.5" thickBot="1"/>
    <row r="81" spans="1:11" ht="12.75" customHeight="1">
      <c r="A81" s="710" t="s">
        <v>377</v>
      </c>
      <c r="B81" s="711"/>
      <c r="C81" s="711"/>
      <c r="D81" s="710" t="s">
        <v>403</v>
      </c>
      <c r="E81" s="716"/>
      <c r="F81" s="710" t="s">
        <v>404</v>
      </c>
      <c r="G81" s="716"/>
      <c r="H81" s="710" t="s">
        <v>405</v>
      </c>
      <c r="I81" s="716"/>
      <c r="J81" s="710" t="s">
        <v>406</v>
      </c>
      <c r="K81" s="716"/>
    </row>
    <row r="82" spans="1:11" ht="12.75" customHeight="1">
      <c r="A82" s="712"/>
      <c r="B82" s="713"/>
      <c r="C82" s="713"/>
      <c r="D82" s="712"/>
      <c r="E82" s="717"/>
      <c r="F82" s="712"/>
      <c r="G82" s="717"/>
      <c r="H82" s="712"/>
      <c r="I82" s="717"/>
      <c r="J82" s="712"/>
      <c r="K82" s="717"/>
    </row>
    <row r="83" spans="1:11" ht="13.5" customHeight="1" thickBot="1">
      <c r="A83" s="714"/>
      <c r="B83" s="715"/>
      <c r="C83" s="715"/>
      <c r="D83" s="714"/>
      <c r="E83" s="718"/>
      <c r="F83" s="714"/>
      <c r="G83" s="718"/>
      <c r="H83" s="714"/>
      <c r="I83" s="718"/>
      <c r="J83" s="714"/>
      <c r="K83" s="718"/>
    </row>
    <row r="84" spans="1:12" s="57" customFormat="1" ht="25.5" customHeight="1" thickBot="1">
      <c r="A84" s="728" t="s">
        <v>411</v>
      </c>
      <c r="B84" s="728"/>
      <c r="C84" s="728"/>
      <c r="D84" s="728" t="s">
        <v>414</v>
      </c>
      <c r="E84" s="728"/>
      <c r="F84" s="729" t="s">
        <v>408</v>
      </c>
      <c r="G84" s="730"/>
      <c r="H84" s="729"/>
      <c r="I84" s="730"/>
      <c r="J84" s="728"/>
      <c r="K84" s="728"/>
      <c r="L84" s="293"/>
    </row>
    <row r="85" spans="1:13" ht="12.75" customHeight="1">
      <c r="A85" s="719" t="s">
        <v>2</v>
      </c>
      <c r="B85" s="720"/>
      <c r="C85" s="721"/>
      <c r="D85" s="725"/>
      <c r="E85" s="726"/>
      <c r="F85" s="725"/>
      <c r="G85" s="726"/>
      <c r="H85" s="748">
        <f>SUM(H84)</f>
        <v>0</v>
      </c>
      <c r="I85" s="749"/>
      <c r="J85" s="748">
        <f>SUM(J84)</f>
        <v>0</v>
      </c>
      <c r="K85" s="749"/>
      <c r="L85" s="747"/>
      <c r="M85" s="747"/>
    </row>
    <row r="86" spans="1:13" ht="13.5" customHeight="1" thickBot="1">
      <c r="A86" s="722"/>
      <c r="B86" s="723"/>
      <c r="C86" s="724"/>
      <c r="D86" s="727"/>
      <c r="E86" s="688"/>
      <c r="F86" s="727"/>
      <c r="G86" s="688"/>
      <c r="H86" s="750"/>
      <c r="I86" s="751"/>
      <c r="J86" s="750"/>
      <c r="K86" s="751"/>
      <c r="L86" s="747"/>
      <c r="M86" s="747"/>
    </row>
    <row r="88" spans="1:13" ht="15.75">
      <c r="A88" s="7" t="s">
        <v>415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ht="13.5" thickBot="1"/>
    <row r="90" spans="1:11" ht="12.75" customHeight="1">
      <c r="A90" s="710" t="s">
        <v>377</v>
      </c>
      <c r="B90" s="711"/>
      <c r="C90" s="711"/>
      <c r="D90" s="710" t="s">
        <v>403</v>
      </c>
      <c r="E90" s="716"/>
      <c r="F90" s="710" t="s">
        <v>404</v>
      </c>
      <c r="G90" s="716"/>
      <c r="H90" s="710" t="s">
        <v>405</v>
      </c>
      <c r="I90" s="716"/>
      <c r="J90" s="710" t="s">
        <v>406</v>
      </c>
      <c r="K90" s="716"/>
    </row>
    <row r="91" spans="1:11" ht="12.75" customHeight="1">
      <c r="A91" s="712"/>
      <c r="B91" s="713"/>
      <c r="C91" s="713"/>
      <c r="D91" s="712"/>
      <c r="E91" s="717"/>
      <c r="F91" s="712"/>
      <c r="G91" s="717"/>
      <c r="H91" s="712"/>
      <c r="I91" s="717"/>
      <c r="J91" s="712"/>
      <c r="K91" s="717"/>
    </row>
    <row r="92" spans="1:11" ht="13.5" customHeight="1" thickBot="1">
      <c r="A92" s="714"/>
      <c r="B92" s="715"/>
      <c r="C92" s="715"/>
      <c r="D92" s="714"/>
      <c r="E92" s="718"/>
      <c r="F92" s="714"/>
      <c r="G92" s="718"/>
      <c r="H92" s="714"/>
      <c r="I92" s="718"/>
      <c r="J92" s="714"/>
      <c r="K92" s="718"/>
    </row>
    <row r="93" spans="1:12" s="57" customFormat="1" ht="25.5" customHeight="1" thickBot="1">
      <c r="A93" s="728" t="s">
        <v>411</v>
      </c>
      <c r="B93" s="728"/>
      <c r="C93" s="728"/>
      <c r="D93" s="728"/>
      <c r="E93" s="728"/>
      <c r="F93" s="729" t="s">
        <v>408</v>
      </c>
      <c r="G93" s="730"/>
      <c r="H93" s="729"/>
      <c r="I93" s="730"/>
      <c r="J93" s="728"/>
      <c r="K93" s="728"/>
      <c r="L93" s="293"/>
    </row>
    <row r="94" spans="1:13" ht="12.75" customHeight="1">
      <c r="A94" s="719" t="s">
        <v>2</v>
      </c>
      <c r="B94" s="720"/>
      <c r="C94" s="721"/>
      <c r="D94" s="725"/>
      <c r="E94" s="726"/>
      <c r="F94" s="725"/>
      <c r="G94" s="726"/>
      <c r="H94" s="748">
        <f>SUM(H93)</f>
        <v>0</v>
      </c>
      <c r="I94" s="749"/>
      <c r="J94" s="748">
        <f>SUM(J93)</f>
        <v>0</v>
      </c>
      <c r="K94" s="749"/>
      <c r="L94" s="747"/>
      <c r="M94" s="747"/>
    </row>
    <row r="95" spans="1:13" ht="13.5" customHeight="1" thickBot="1">
      <c r="A95" s="722"/>
      <c r="B95" s="723"/>
      <c r="C95" s="724"/>
      <c r="D95" s="727"/>
      <c r="E95" s="688"/>
      <c r="F95" s="727"/>
      <c r="G95" s="688"/>
      <c r="H95" s="750"/>
      <c r="I95" s="751"/>
      <c r="J95" s="750"/>
      <c r="K95" s="751"/>
      <c r="L95" s="747"/>
      <c r="M95" s="747"/>
    </row>
  </sheetData>
  <sheetProtection password="AF00" sheet="1"/>
  <mergeCells count="152">
    <mergeCell ref="M13:M15"/>
    <mergeCell ref="A16:C18"/>
    <mergeCell ref="D16:D18"/>
    <mergeCell ref="E16:E18"/>
    <mergeCell ref="F16:F18"/>
    <mergeCell ref="G16:G18"/>
    <mergeCell ref="H16:H18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A19:C20"/>
    <mergeCell ref="D19:D20"/>
    <mergeCell ref="E19:E20"/>
    <mergeCell ref="F19:F20"/>
    <mergeCell ref="F34:F36"/>
    <mergeCell ref="G34:G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H45:H46"/>
    <mergeCell ref="I45:I46"/>
    <mergeCell ref="J45:J46"/>
    <mergeCell ref="L45:L46"/>
    <mergeCell ref="M45:M46"/>
    <mergeCell ref="K45:K46"/>
    <mergeCell ref="K42:K44"/>
    <mergeCell ref="L42:L44"/>
    <mergeCell ref="J67:K68"/>
    <mergeCell ref="L67:L68"/>
    <mergeCell ref="J63:K65"/>
    <mergeCell ref="M42:M44"/>
    <mergeCell ref="J66:K66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M76:M77"/>
    <mergeCell ref="A81:C83"/>
    <mergeCell ref="D81:E83"/>
    <mergeCell ref="F81:G83"/>
    <mergeCell ref="H81:I83"/>
    <mergeCell ref="J81:K83"/>
    <mergeCell ref="M85:M86"/>
    <mergeCell ref="J90:K92"/>
    <mergeCell ref="L85:L86"/>
    <mergeCell ref="J84:K84"/>
    <mergeCell ref="J85:K86"/>
    <mergeCell ref="H85:I86"/>
    <mergeCell ref="H84:I84"/>
    <mergeCell ref="M94:M95"/>
    <mergeCell ref="J93:K93"/>
    <mergeCell ref="H93:I93"/>
    <mergeCell ref="H94:I95"/>
    <mergeCell ref="J94:K95"/>
    <mergeCell ref="H90:I92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5" width="15.75390625" style="26" bestFit="1" customWidth="1"/>
    <col min="6" max="6" width="18.00390625" style="26" bestFit="1" customWidth="1"/>
    <col min="7" max="7" width="11.375" style="57" bestFit="1" customWidth="1"/>
    <col min="8" max="16384" width="9.125" style="57" customWidth="1"/>
  </cols>
  <sheetData>
    <row r="1" spans="1:6" ht="15.75">
      <c r="A1" s="541" t="s">
        <v>622</v>
      </c>
      <c r="B1" s="541"/>
      <c r="C1" s="541"/>
      <c r="D1" s="541"/>
      <c r="E1" s="541"/>
      <c r="F1" s="541"/>
    </row>
    <row r="2" spans="1:6" ht="21" customHeight="1">
      <c r="A2" s="633"/>
      <c r="B2" s="633"/>
      <c r="C2" s="633"/>
      <c r="D2" s="633"/>
      <c r="E2" s="633"/>
      <c r="F2" s="633"/>
    </row>
    <row r="3" spans="1:6" ht="15.75">
      <c r="A3" s="633" t="s">
        <v>628</v>
      </c>
      <c r="B3" s="633"/>
      <c r="C3" s="633"/>
      <c r="D3" s="633"/>
      <c r="E3" s="633"/>
      <c r="F3" s="633"/>
    </row>
    <row r="4" spans="1:6" ht="15.75">
      <c r="A4" s="633" t="s">
        <v>416</v>
      </c>
      <c r="B4" s="633"/>
      <c r="C4" s="633"/>
      <c r="D4" s="633"/>
      <c r="E4" s="633"/>
      <c r="F4" s="633"/>
    </row>
    <row r="5" spans="1:6" ht="15.75">
      <c r="A5" s="633" t="s">
        <v>540</v>
      </c>
      <c r="B5" s="633"/>
      <c r="C5" s="633"/>
      <c r="D5" s="633"/>
      <c r="E5" s="633"/>
      <c r="F5" s="633"/>
    </row>
    <row r="6" spans="1:6" ht="16.5" thickBot="1">
      <c r="A6" s="28"/>
      <c r="B6" s="28"/>
      <c r="C6" s="57"/>
      <c r="D6" s="295"/>
      <c r="E6" s="57"/>
      <c r="F6" s="295" t="s">
        <v>5</v>
      </c>
    </row>
    <row r="7" spans="1:6" ht="15.75">
      <c r="A7" s="296" t="s">
        <v>41</v>
      </c>
      <c r="B7" s="808" t="s">
        <v>417</v>
      </c>
      <c r="C7" s="811" t="s">
        <v>418</v>
      </c>
      <c r="D7" s="812"/>
      <c r="E7" s="812"/>
      <c r="F7" s="808" t="s">
        <v>305</v>
      </c>
    </row>
    <row r="8" spans="1:6" ht="16.5" thickBot="1">
      <c r="A8" s="297"/>
      <c r="B8" s="809"/>
      <c r="C8" s="813"/>
      <c r="D8" s="814"/>
      <c r="E8" s="814"/>
      <c r="F8" s="809"/>
    </row>
    <row r="9" spans="1:6" ht="16.5" thickBot="1">
      <c r="A9" s="297"/>
      <c r="B9" s="809"/>
      <c r="C9" s="298" t="s">
        <v>451</v>
      </c>
      <c r="D9" s="298" t="s">
        <v>490</v>
      </c>
      <c r="E9" s="298" t="s">
        <v>541</v>
      </c>
      <c r="F9" s="809"/>
    </row>
    <row r="10" spans="1:6" ht="16.5" thickBot="1">
      <c r="A10" s="299" t="s">
        <v>42</v>
      </c>
      <c r="B10" s="810"/>
      <c r="C10" s="815" t="s">
        <v>419</v>
      </c>
      <c r="D10" s="816"/>
      <c r="E10" s="816"/>
      <c r="F10" s="810"/>
    </row>
    <row r="11" spans="1:6" ht="15.75">
      <c r="A11" s="294" t="s">
        <v>43</v>
      </c>
      <c r="B11" s="324" t="s">
        <v>425</v>
      </c>
      <c r="C11" s="300">
        <v>7733</v>
      </c>
      <c r="D11" s="300">
        <v>7733</v>
      </c>
      <c r="E11" s="300">
        <v>7733</v>
      </c>
      <c r="F11" s="300">
        <f>SUM(C11:E11)</f>
        <v>23199</v>
      </c>
    </row>
    <row r="12" spans="1:6" ht="31.5">
      <c r="A12" s="294" t="s">
        <v>27</v>
      </c>
      <c r="B12" s="325" t="s">
        <v>426</v>
      </c>
      <c r="C12" s="301"/>
      <c r="D12" s="301"/>
      <c r="E12" s="301"/>
      <c r="F12" s="300">
        <f>SUM(C12:E12)</f>
        <v>0</v>
      </c>
    </row>
    <row r="13" spans="1:2" s="272" customFormat="1" ht="15.75">
      <c r="A13" s="294" t="s">
        <v>44</v>
      </c>
      <c r="B13" s="324" t="s">
        <v>427</v>
      </c>
    </row>
    <row r="14" spans="1:6" s="272" customFormat="1" ht="31.5">
      <c r="A14" s="294" t="s">
        <v>100</v>
      </c>
      <c r="B14" s="325" t="s">
        <v>428</v>
      </c>
      <c r="C14" s="302"/>
      <c r="D14" s="302"/>
      <c r="E14" s="302"/>
      <c r="F14" s="300">
        <f>SUM(C14:E14)</f>
        <v>0</v>
      </c>
    </row>
    <row r="15" spans="1:6" s="272" customFormat="1" ht="15.75">
      <c r="A15" s="294" t="s">
        <v>101</v>
      </c>
      <c r="B15" s="324" t="s">
        <v>420</v>
      </c>
      <c r="C15" s="302">
        <v>75</v>
      </c>
      <c r="D15" s="302">
        <v>75</v>
      </c>
      <c r="E15" s="302">
        <v>75</v>
      </c>
      <c r="F15" s="300">
        <f>SUM(C15:E15)</f>
        <v>225</v>
      </c>
    </row>
    <row r="16" spans="1:6" s="272" customFormat="1" ht="15.75">
      <c r="A16" s="294" t="s">
        <v>107</v>
      </c>
      <c r="B16" s="324" t="s">
        <v>429</v>
      </c>
      <c r="C16" s="303"/>
      <c r="D16" s="303"/>
      <c r="E16" s="303"/>
      <c r="F16" s="303"/>
    </row>
    <row r="17" spans="1:6" s="307" customFormat="1" ht="15.75">
      <c r="A17" s="304" t="s">
        <v>242</v>
      </c>
      <c r="B17" s="305" t="s">
        <v>421</v>
      </c>
      <c r="C17" s="306">
        <f>SUM(C11:C16)</f>
        <v>7808</v>
      </c>
      <c r="D17" s="306">
        <f>SUM(D11:D16)</f>
        <v>7808</v>
      </c>
      <c r="E17" s="306">
        <f>SUM(E11:E16)</f>
        <v>7808</v>
      </c>
      <c r="F17" s="306">
        <f>SUM(F11:F16)</f>
        <v>23424</v>
      </c>
    </row>
    <row r="18" spans="1:6" s="312" customFormat="1" ht="18.75">
      <c r="A18" s="308" t="s">
        <v>246</v>
      </c>
      <c r="B18" s="309" t="s">
        <v>422</v>
      </c>
      <c r="C18" s="310">
        <f>C17*0.5</f>
        <v>3904</v>
      </c>
      <c r="D18" s="310">
        <f>D17*0.5</f>
        <v>3904</v>
      </c>
      <c r="E18" s="310">
        <f>E17*0.5</f>
        <v>3904</v>
      </c>
      <c r="F18" s="311">
        <f>SUM(C18:E18)</f>
        <v>11712</v>
      </c>
    </row>
    <row r="19" spans="1:6" s="272" customFormat="1" ht="31.5">
      <c r="A19" s="313" t="s">
        <v>252</v>
      </c>
      <c r="B19" s="325" t="s">
        <v>430</v>
      </c>
      <c r="C19" s="302"/>
      <c r="D19" s="302"/>
      <c r="E19" s="302"/>
      <c r="F19" s="302">
        <f>SUM(C19:E19)</f>
        <v>0</v>
      </c>
    </row>
    <row r="20" spans="1:6" s="272" customFormat="1" ht="31.5">
      <c r="A20" s="313" t="s">
        <v>254</v>
      </c>
      <c r="B20" s="325" t="s">
        <v>431</v>
      </c>
      <c r="C20" s="302"/>
      <c r="D20" s="302"/>
      <c r="E20" s="302"/>
      <c r="F20" s="302">
        <f>SUM(C20:E20)</f>
        <v>0</v>
      </c>
    </row>
    <row r="21" spans="1:6" s="272" customFormat="1" ht="15.75">
      <c r="A21" s="313" t="s">
        <v>256</v>
      </c>
      <c r="B21" s="324" t="s">
        <v>432</v>
      </c>
      <c r="C21" s="302"/>
      <c r="D21" s="302"/>
      <c r="E21" s="302"/>
      <c r="F21" s="302"/>
    </row>
    <row r="22" spans="1:6" s="272" customFormat="1" ht="31.5">
      <c r="A22" s="313" t="s">
        <v>261</v>
      </c>
      <c r="B22" s="314" t="s">
        <v>433</v>
      </c>
      <c r="C22" s="302"/>
      <c r="D22" s="302"/>
      <c r="E22" s="302"/>
      <c r="F22" s="302"/>
    </row>
    <row r="23" spans="1:6" s="272" customFormat="1" ht="47.25">
      <c r="A23" s="313" t="s">
        <v>263</v>
      </c>
      <c r="B23" s="314" t="s">
        <v>434</v>
      </c>
      <c r="C23" s="302"/>
      <c r="D23" s="302"/>
      <c r="E23" s="302"/>
      <c r="F23" s="302"/>
    </row>
    <row r="24" spans="1:6" s="272" customFormat="1" ht="31.5">
      <c r="A24" s="313" t="s">
        <v>265</v>
      </c>
      <c r="B24" s="314" t="s">
        <v>435</v>
      </c>
      <c r="C24" s="302"/>
      <c r="D24" s="302"/>
      <c r="E24" s="302"/>
      <c r="F24" s="302"/>
    </row>
    <row r="25" spans="1:6" s="272" customFormat="1" ht="31.5">
      <c r="A25" s="313" t="s">
        <v>272</v>
      </c>
      <c r="B25" s="314" t="s">
        <v>436</v>
      </c>
      <c r="C25" s="315"/>
      <c r="D25" s="315"/>
      <c r="E25" s="315"/>
      <c r="F25" s="315"/>
    </row>
    <row r="26" spans="1:6" s="307" customFormat="1" ht="15.75">
      <c r="A26" s="304" t="s">
        <v>275</v>
      </c>
      <c r="B26" s="316" t="s">
        <v>423</v>
      </c>
      <c r="C26" s="317">
        <f>SUM(C19:C24)</f>
        <v>0</v>
      </c>
      <c r="D26" s="317">
        <f>SUM(D19:D24)</f>
        <v>0</v>
      </c>
      <c r="E26" s="317">
        <f>SUM(E19:E24)</f>
        <v>0</v>
      </c>
      <c r="F26" s="317">
        <f>SUM(F19:F24)</f>
        <v>0</v>
      </c>
    </row>
    <row r="27" spans="1:6" s="320" customFormat="1" ht="37.5">
      <c r="A27" s="308" t="s">
        <v>277</v>
      </c>
      <c r="B27" s="318" t="s">
        <v>424</v>
      </c>
      <c r="C27" s="319">
        <f>C18-C26</f>
        <v>3904</v>
      </c>
      <c r="D27" s="319">
        <f>D18-D26</f>
        <v>3904</v>
      </c>
      <c r="E27" s="319">
        <f>E18-E26</f>
        <v>3904</v>
      </c>
      <c r="F27" s="319">
        <f>SUM(C27:E27)</f>
        <v>11712</v>
      </c>
    </row>
    <row r="28" spans="1:6" s="272" customFormat="1" ht="15.75">
      <c r="A28" s="321"/>
      <c r="B28" s="322"/>
      <c r="C28" s="302"/>
      <c r="D28" s="302"/>
      <c r="E28" s="302"/>
      <c r="F28" s="302"/>
    </row>
    <row r="29" spans="1:7" s="272" customFormat="1" ht="15.75">
      <c r="A29" s="321"/>
      <c r="B29" s="322"/>
      <c r="C29" s="302"/>
      <c r="D29" s="302"/>
      <c r="E29" s="302"/>
      <c r="F29" s="302"/>
      <c r="G29" s="302"/>
    </row>
    <row r="30" spans="1:6" s="272" customFormat="1" ht="15.75">
      <c r="A30" s="322"/>
      <c r="B30" s="322"/>
      <c r="C30" s="302"/>
      <c r="D30" s="302"/>
      <c r="E30" s="302"/>
      <c r="F30" s="302"/>
    </row>
    <row r="31" spans="1:6" s="272" customFormat="1" ht="15.75">
      <c r="A31" s="322"/>
      <c r="B31" s="322"/>
      <c r="C31" s="302"/>
      <c r="D31" s="302"/>
      <c r="E31" s="302"/>
      <c r="F31" s="302"/>
    </row>
    <row r="32" spans="1:6" s="272" customFormat="1" ht="15.75">
      <c r="A32" s="322"/>
      <c r="B32" s="322"/>
      <c r="C32" s="302"/>
      <c r="D32" s="302"/>
      <c r="E32" s="302"/>
      <c r="F32" s="302"/>
    </row>
    <row r="33" spans="1:6" s="272" customFormat="1" ht="15.75">
      <c r="A33" s="322"/>
      <c r="B33" s="323"/>
      <c r="C33" s="302"/>
      <c r="D33" s="302"/>
      <c r="E33" s="302"/>
      <c r="F33" s="302"/>
    </row>
    <row r="34" spans="1:6" s="272" customFormat="1" ht="15.75">
      <c r="A34" s="322"/>
      <c r="B34" s="322"/>
      <c r="C34" s="302"/>
      <c r="D34" s="302"/>
      <c r="E34" s="302"/>
      <c r="F34" s="302"/>
    </row>
    <row r="35" spans="1:6" s="272" customFormat="1" ht="15.75">
      <c r="A35" s="322"/>
      <c r="B35" s="322"/>
      <c r="C35" s="302"/>
      <c r="D35" s="302"/>
      <c r="E35" s="302"/>
      <c r="F35" s="302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N23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14" ht="12.75">
      <c r="A2" s="824" t="s">
        <v>623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</row>
    <row r="4" spans="1:14" ht="18.75" customHeight="1">
      <c r="A4" s="819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</row>
    <row r="5" spans="1:14" ht="18" customHeight="1">
      <c r="A5" s="819" t="s">
        <v>565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</row>
    <row r="6" spans="1:14" ht="16.5" customHeight="1">
      <c r="A6" s="819" t="s">
        <v>566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</row>
    <row r="7" spans="1:14" ht="16.5" customHeight="1">
      <c r="A7" s="819" t="s">
        <v>535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</row>
    <row r="9" ht="13.5" thickBot="1">
      <c r="N9" s="473" t="s">
        <v>567</v>
      </c>
    </row>
    <row r="10" spans="1:14" ht="21" customHeight="1" thickBot="1">
      <c r="A10" s="818" t="s">
        <v>568</v>
      </c>
      <c r="B10" s="820" t="s">
        <v>0</v>
      </c>
      <c r="C10" s="821" t="s">
        <v>569</v>
      </c>
      <c r="D10" s="822" t="s">
        <v>570</v>
      </c>
      <c r="E10" s="822"/>
      <c r="F10" s="822"/>
      <c r="G10" s="822"/>
      <c r="H10" s="822"/>
      <c r="I10" s="817" t="s">
        <v>571</v>
      </c>
      <c r="J10" s="817"/>
      <c r="K10" s="817"/>
      <c r="L10" s="817"/>
      <c r="M10" s="817" t="s">
        <v>572</v>
      </c>
      <c r="N10" s="817"/>
    </row>
    <row r="11" spans="1:14" ht="63" customHeight="1" thickBot="1">
      <c r="A11" s="818"/>
      <c r="B11" s="820"/>
      <c r="C11" s="821"/>
      <c r="D11" s="475" t="s">
        <v>573</v>
      </c>
      <c r="E11" s="475" t="s">
        <v>574</v>
      </c>
      <c r="F11" s="475" t="s">
        <v>570</v>
      </c>
      <c r="G11" s="475" t="s">
        <v>575</v>
      </c>
      <c r="H11" s="475" t="s">
        <v>576</v>
      </c>
      <c r="I11" s="475" t="s">
        <v>577</v>
      </c>
      <c r="J11" s="475" t="s">
        <v>571</v>
      </c>
      <c r="K11" s="475" t="s">
        <v>594</v>
      </c>
      <c r="L11" s="475" t="s">
        <v>578</v>
      </c>
      <c r="M11" s="475" t="s">
        <v>579</v>
      </c>
      <c r="N11" s="475" t="s">
        <v>580</v>
      </c>
    </row>
    <row r="12" spans="1:14" ht="16.5" customHeight="1" thickBot="1">
      <c r="A12" s="476" t="s">
        <v>43</v>
      </c>
      <c r="B12" s="476" t="s">
        <v>581</v>
      </c>
      <c r="C12" s="477">
        <f>H12+M12+L12+N12</f>
        <v>99334799</v>
      </c>
      <c r="D12" s="477">
        <v>35488868</v>
      </c>
      <c r="E12" s="477">
        <v>7813000</v>
      </c>
      <c r="F12" s="477">
        <v>6917611</v>
      </c>
      <c r="G12" s="476"/>
      <c r="H12" s="477">
        <f>D12+E12+F12</f>
        <v>50219479</v>
      </c>
      <c r="I12" s="476"/>
      <c r="J12" s="477">
        <v>121800</v>
      </c>
      <c r="K12" s="476"/>
      <c r="L12" s="477">
        <f>I12+J12+K12</f>
        <v>121800</v>
      </c>
      <c r="M12" s="477">
        <f>59695186</f>
        <v>59695186</v>
      </c>
      <c r="N12" s="477">
        <v>-10701666</v>
      </c>
    </row>
    <row r="13" spans="1:14" ht="18.75" customHeight="1" thickBot="1">
      <c r="A13" s="476" t="s">
        <v>27</v>
      </c>
      <c r="B13" s="476" t="s">
        <v>582</v>
      </c>
      <c r="C13" s="477">
        <f>H13+N13</f>
        <v>13881901</v>
      </c>
      <c r="D13" s="476"/>
      <c r="E13" s="476"/>
      <c r="F13" s="477">
        <v>3180235</v>
      </c>
      <c r="G13" s="476"/>
      <c r="H13" s="477">
        <f>D13+E13+F13</f>
        <v>3180235</v>
      </c>
      <c r="I13" s="476"/>
      <c r="J13" s="476"/>
      <c r="K13" s="476"/>
      <c r="L13" s="476"/>
      <c r="M13" s="476"/>
      <c r="N13" s="477">
        <v>10701666</v>
      </c>
    </row>
    <row r="14" spans="1:14" ht="20.25" customHeight="1" thickBot="1">
      <c r="A14" s="476" t="s">
        <v>44</v>
      </c>
      <c r="B14" s="476" t="s">
        <v>583</v>
      </c>
      <c r="C14" s="477">
        <f>C12+C13</f>
        <v>113216700</v>
      </c>
      <c r="D14" s="477">
        <f aca="true" t="shared" si="0" ref="D14:N14">D12+D13</f>
        <v>35488868</v>
      </c>
      <c r="E14" s="477">
        <f t="shared" si="0"/>
        <v>7813000</v>
      </c>
      <c r="F14" s="477">
        <f t="shared" si="0"/>
        <v>10097846</v>
      </c>
      <c r="G14" s="477">
        <f t="shared" si="0"/>
        <v>0</v>
      </c>
      <c r="H14" s="477">
        <f t="shared" si="0"/>
        <v>53399714</v>
      </c>
      <c r="I14" s="477">
        <f t="shared" si="0"/>
        <v>0</v>
      </c>
      <c r="J14" s="477">
        <f t="shared" si="0"/>
        <v>121800</v>
      </c>
      <c r="K14" s="477">
        <f t="shared" si="0"/>
        <v>0</v>
      </c>
      <c r="L14" s="477">
        <f t="shared" si="0"/>
        <v>121800</v>
      </c>
      <c r="M14" s="477">
        <f t="shared" si="0"/>
        <v>59695186</v>
      </c>
      <c r="N14" s="477">
        <f t="shared" si="0"/>
        <v>0</v>
      </c>
    </row>
    <row r="23" ht="12.75">
      <c r="B23" s="479"/>
    </row>
  </sheetData>
  <sheetProtection password="AF00" sheet="1"/>
  <mergeCells count="11">
    <mergeCell ref="I10:L10"/>
    <mergeCell ref="A2:N2"/>
    <mergeCell ref="M10:N10"/>
    <mergeCell ref="A10:A11"/>
    <mergeCell ref="A4:N4"/>
    <mergeCell ref="A5:N5"/>
    <mergeCell ref="A6:N6"/>
    <mergeCell ref="A7:N7"/>
    <mergeCell ref="B10:B11"/>
    <mergeCell ref="C10:C11"/>
    <mergeCell ref="D10:H10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H14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824" t="s">
        <v>624</v>
      </c>
      <c r="B2" s="824"/>
      <c r="C2" s="824"/>
      <c r="D2" s="824"/>
      <c r="E2" s="824"/>
      <c r="F2" s="824"/>
      <c r="G2" s="824"/>
      <c r="H2" s="824"/>
    </row>
    <row r="5" spans="1:8" ht="20.25" customHeight="1">
      <c r="A5" s="819"/>
      <c r="B5" s="819"/>
      <c r="C5" s="819"/>
      <c r="D5" s="819"/>
      <c r="E5" s="819"/>
      <c r="F5" s="819"/>
      <c r="G5" s="819"/>
      <c r="H5" s="819"/>
    </row>
    <row r="6" spans="1:8" ht="17.25" customHeight="1">
      <c r="A6" s="819" t="s">
        <v>40</v>
      </c>
      <c r="B6" s="819"/>
      <c r="C6" s="819"/>
      <c r="D6" s="819"/>
      <c r="E6" s="819"/>
      <c r="F6" s="819"/>
      <c r="G6" s="819"/>
      <c r="H6" s="819"/>
    </row>
    <row r="7" spans="1:8" ht="25.5" customHeight="1">
      <c r="A7" s="826" t="s">
        <v>584</v>
      </c>
      <c r="B7" s="826"/>
      <c r="C7" s="826"/>
      <c r="D7" s="826"/>
      <c r="E7" s="826"/>
      <c r="F7" s="826"/>
      <c r="G7" s="826"/>
      <c r="H7" s="826"/>
    </row>
    <row r="8" spans="1:8" ht="16.5" customHeight="1">
      <c r="A8" s="819" t="s">
        <v>535</v>
      </c>
      <c r="B8" s="819"/>
      <c r="C8" s="819"/>
      <c r="D8" s="819"/>
      <c r="E8" s="819"/>
      <c r="F8" s="819"/>
      <c r="G8" s="819"/>
      <c r="H8" s="819"/>
    </row>
    <row r="10" spans="7:8" ht="13.5" thickBot="1">
      <c r="G10" s="824" t="s">
        <v>585</v>
      </c>
      <c r="H10" s="824"/>
    </row>
    <row r="11" spans="1:8" ht="71.25" customHeight="1" thickBot="1">
      <c r="A11" s="823" t="s">
        <v>568</v>
      </c>
      <c r="B11" s="820" t="s">
        <v>593</v>
      </c>
      <c r="C11" s="821" t="s">
        <v>586</v>
      </c>
      <c r="D11" s="823"/>
      <c r="E11" s="820" t="s">
        <v>587</v>
      </c>
      <c r="F11" s="817"/>
      <c r="G11" s="820" t="s">
        <v>588</v>
      </c>
      <c r="H11" s="820"/>
    </row>
    <row r="12" spans="1:8" ht="24.75" customHeight="1" thickBot="1">
      <c r="A12" s="823"/>
      <c r="B12" s="817"/>
      <c r="C12" s="474" t="s">
        <v>589</v>
      </c>
      <c r="D12" s="475" t="s">
        <v>590</v>
      </c>
      <c r="E12" s="476" t="s">
        <v>589</v>
      </c>
      <c r="F12" s="475" t="s">
        <v>591</v>
      </c>
      <c r="G12" s="817"/>
      <c r="H12" s="817"/>
    </row>
    <row r="13" spans="1:8" ht="18" customHeight="1" thickBot="1">
      <c r="A13" s="476" t="s">
        <v>43</v>
      </c>
      <c r="B13" s="476" t="s">
        <v>592</v>
      </c>
      <c r="C13" s="477">
        <f>830400+5541880</f>
        <v>6372280</v>
      </c>
      <c r="D13" s="478">
        <f>C13/G13*100</f>
        <v>59.54474751875082</v>
      </c>
      <c r="E13" s="477">
        <v>4329386</v>
      </c>
      <c r="F13" s="478">
        <f>E13/G13*100</f>
        <v>40.45525248124918</v>
      </c>
      <c r="G13" s="825">
        <f>C13+E13</f>
        <v>10701666</v>
      </c>
      <c r="H13" s="817"/>
    </row>
    <row r="14" spans="1:8" ht="23.25" customHeight="1" thickBot="1">
      <c r="A14" s="476" t="s">
        <v>27</v>
      </c>
      <c r="B14" s="476" t="s">
        <v>2</v>
      </c>
      <c r="C14" s="477">
        <f>C13</f>
        <v>6372280</v>
      </c>
      <c r="D14" s="478">
        <f>C14/G14*100</f>
        <v>59.54474751875082</v>
      </c>
      <c r="E14" s="477">
        <f>E13</f>
        <v>4329386</v>
      </c>
      <c r="F14" s="478">
        <f>E14/G14*100</f>
        <v>40.45525248124918</v>
      </c>
      <c r="G14" s="825">
        <f>C14+E14</f>
        <v>10701666</v>
      </c>
      <c r="H14" s="817"/>
    </row>
  </sheetData>
  <sheetProtection password="AF00" sheet="1"/>
  <mergeCells count="14"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  <mergeCell ref="E11:F11"/>
    <mergeCell ref="G11:H11"/>
    <mergeCell ref="G10:H10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9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62" customWidth="1"/>
    <col min="4" max="4" width="4.875" style="4" customWidth="1"/>
    <col min="5" max="5" width="16.375" style="6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496" t="s">
        <v>606</v>
      </c>
      <c r="C1" s="496"/>
      <c r="D1" s="496"/>
      <c r="E1" s="496"/>
      <c r="F1" s="496"/>
    </row>
    <row r="2" spans="2:6" ht="15">
      <c r="B2" s="109"/>
      <c r="C2" s="109"/>
      <c r="D2" s="109"/>
      <c r="E2" s="109"/>
      <c r="F2" s="109"/>
    </row>
    <row r="3" spans="2:6" s="57" customFormat="1" ht="15.75">
      <c r="B3" s="499"/>
      <c r="C3" s="499"/>
      <c r="D3" s="499"/>
      <c r="E3" s="499"/>
      <c r="F3" s="499"/>
    </row>
    <row r="4" spans="2:6" s="57" customFormat="1" ht="15.75">
      <c r="B4" s="498" t="s">
        <v>40</v>
      </c>
      <c r="C4" s="498"/>
      <c r="D4" s="498"/>
      <c r="E4" s="498"/>
      <c r="F4" s="498"/>
    </row>
    <row r="5" spans="2:6" ht="15.75">
      <c r="B5" s="498" t="s">
        <v>156</v>
      </c>
      <c r="C5" s="498"/>
      <c r="D5" s="498"/>
      <c r="E5" s="498"/>
      <c r="F5" s="498"/>
    </row>
    <row r="6" spans="2:6" ht="12.75" customHeight="1">
      <c r="B6" s="497" t="s">
        <v>534</v>
      </c>
      <c r="C6" s="497"/>
      <c r="D6" s="497"/>
      <c r="E6" s="497"/>
      <c r="F6" s="497"/>
    </row>
    <row r="7" spans="2:6" s="1" customFormat="1" ht="15">
      <c r="B7" s="4"/>
      <c r="C7" s="62"/>
      <c r="D7" s="4"/>
      <c r="E7" s="54"/>
      <c r="F7" s="4"/>
    </row>
    <row r="8" spans="1:5" s="1" customFormat="1" ht="18.75">
      <c r="A8" s="385" t="s">
        <v>43</v>
      </c>
      <c r="B8" s="126" t="s">
        <v>157</v>
      </c>
      <c r="C8" s="63"/>
      <c r="E8" s="127"/>
    </row>
    <row r="9" spans="1:6" ht="15.75">
      <c r="A9" s="385" t="s">
        <v>493</v>
      </c>
      <c r="B9" s="7" t="s">
        <v>158</v>
      </c>
      <c r="C9" s="63"/>
      <c r="D9" s="1"/>
      <c r="E9" s="128">
        <f>C10+C11</f>
        <v>35488868</v>
      </c>
      <c r="F9" s="1" t="s">
        <v>473</v>
      </c>
    </row>
    <row r="10" spans="1:8" ht="15.75">
      <c r="A10" s="385" t="s">
        <v>494</v>
      </c>
      <c r="B10" s="129" t="s">
        <v>159</v>
      </c>
      <c r="C10" s="62">
        <f>'2.mell - bevétel'!H49</f>
        <v>35442468</v>
      </c>
      <c r="D10" s="4" t="s">
        <v>6</v>
      </c>
      <c r="E10" s="54"/>
      <c r="H10" s="103"/>
    </row>
    <row r="11" spans="1:6" s="1" customFormat="1" ht="15.75" customHeight="1">
      <c r="A11" s="385" t="s">
        <v>495</v>
      </c>
      <c r="B11" s="129" t="s">
        <v>160</v>
      </c>
      <c r="C11" s="62">
        <f>'2.mell - bevétel'!H54</f>
        <v>46400</v>
      </c>
      <c r="D11" s="4" t="s">
        <v>6</v>
      </c>
      <c r="E11" s="54"/>
      <c r="F11" s="4"/>
    </row>
    <row r="12" spans="1:5" s="1" customFormat="1" ht="15.75">
      <c r="A12" s="385"/>
      <c r="B12" s="7"/>
      <c r="C12" s="63"/>
      <c r="E12" s="128"/>
    </row>
    <row r="13" spans="1:6" s="1" customFormat="1" ht="15.75">
      <c r="A13" s="385" t="s">
        <v>496</v>
      </c>
      <c r="B13" s="7" t="s">
        <v>161</v>
      </c>
      <c r="C13" s="63"/>
      <c r="E13" s="128"/>
      <c r="F13" s="1" t="s">
        <v>473</v>
      </c>
    </row>
    <row r="14" spans="1:5" s="1" customFormat="1" ht="15.75">
      <c r="A14" s="385"/>
      <c r="B14" s="7"/>
      <c r="C14" s="63"/>
      <c r="E14" s="128"/>
    </row>
    <row r="15" spans="1:6" s="1" customFormat="1" ht="15.75">
      <c r="A15" s="385" t="s">
        <v>497</v>
      </c>
      <c r="B15" s="7" t="s">
        <v>114</v>
      </c>
      <c r="C15" s="63"/>
      <c r="E15" s="128">
        <f>'2.mell - bevétel'!G75</f>
        <v>7813000</v>
      </c>
      <c r="F15" s="1" t="s">
        <v>473</v>
      </c>
    </row>
    <row r="16" spans="1:8" s="1" customFormat="1" ht="15.75">
      <c r="A16" s="385"/>
      <c r="B16" s="7"/>
      <c r="C16" s="63"/>
      <c r="E16" s="128"/>
      <c r="H16" s="104"/>
    </row>
    <row r="17" spans="1:6" s="1" customFormat="1" ht="15.75">
      <c r="A17" s="385" t="s">
        <v>498</v>
      </c>
      <c r="B17" s="7" t="s">
        <v>55</v>
      </c>
      <c r="C17" s="63"/>
      <c r="E17" s="128">
        <f>'2.mell - bevétel'!H97</f>
        <v>10097846</v>
      </c>
      <c r="F17" s="1" t="s">
        <v>473</v>
      </c>
    </row>
    <row r="18" spans="1:5" s="1" customFormat="1" ht="15.75">
      <c r="A18" s="385"/>
      <c r="B18" s="8"/>
      <c r="C18" s="64"/>
      <c r="E18" s="128"/>
    </row>
    <row r="19" spans="1:6" s="1" customFormat="1" ht="15.75">
      <c r="A19" s="385" t="s">
        <v>499</v>
      </c>
      <c r="B19" s="7" t="s">
        <v>162</v>
      </c>
      <c r="C19" s="63"/>
      <c r="E19" s="128">
        <v>0</v>
      </c>
      <c r="F19" s="1" t="s">
        <v>473</v>
      </c>
    </row>
    <row r="20" spans="1:5" s="1" customFormat="1" ht="15.75">
      <c r="A20" s="385"/>
      <c r="B20" s="8"/>
      <c r="C20" s="63"/>
      <c r="E20" s="128"/>
    </row>
    <row r="21" spans="1:6" s="1" customFormat="1" ht="15.75">
      <c r="A21" s="385" t="s">
        <v>500</v>
      </c>
      <c r="B21" s="7" t="s">
        <v>163</v>
      </c>
      <c r="E21" s="128">
        <f>C22+C23</f>
        <v>0</v>
      </c>
      <c r="F21" s="1" t="s">
        <v>473</v>
      </c>
    </row>
    <row r="22" spans="1:8" s="6" customFormat="1" ht="32.25">
      <c r="A22" s="386" t="s">
        <v>501</v>
      </c>
      <c r="B22" s="129" t="s">
        <v>164</v>
      </c>
      <c r="C22" s="64">
        <v>0</v>
      </c>
      <c r="D22" s="1" t="s">
        <v>6</v>
      </c>
      <c r="E22" s="128"/>
      <c r="F22" s="1"/>
      <c r="G22" s="1"/>
      <c r="H22" s="105"/>
    </row>
    <row r="23" spans="1:8" ht="18.75">
      <c r="A23" s="385"/>
      <c r="B23" s="57" t="s">
        <v>165</v>
      </c>
      <c r="C23" s="63">
        <v>0</v>
      </c>
      <c r="D23" s="1" t="s">
        <v>6</v>
      </c>
      <c r="E23" s="128"/>
      <c r="F23" s="1"/>
      <c r="G23" s="6"/>
      <c r="H23" s="106"/>
    </row>
    <row r="24" spans="1:8" s="1" customFormat="1" ht="18.75">
      <c r="A24" s="385"/>
      <c r="B24" s="73"/>
      <c r="C24" s="62"/>
      <c r="D24" s="4"/>
      <c r="E24" s="130"/>
      <c r="F24" s="6"/>
      <c r="H24" s="107"/>
    </row>
    <row r="25" spans="1:6" s="1" customFormat="1" ht="15.75">
      <c r="A25" s="385" t="s">
        <v>502</v>
      </c>
      <c r="B25" s="7" t="s">
        <v>142</v>
      </c>
      <c r="C25" s="63"/>
      <c r="E25" s="128">
        <f>C26+C27</f>
        <v>121800</v>
      </c>
      <c r="F25" s="1" t="s">
        <v>473</v>
      </c>
    </row>
    <row r="26" spans="1:5" s="1" customFormat="1" ht="31.5">
      <c r="A26" s="385" t="s">
        <v>503</v>
      </c>
      <c r="B26" s="129" t="s">
        <v>166</v>
      </c>
      <c r="C26" s="63">
        <f>'2.mell - bevétel'!H107</f>
        <v>121800</v>
      </c>
      <c r="D26" s="1" t="s">
        <v>6</v>
      </c>
      <c r="E26" s="128"/>
    </row>
    <row r="27" spans="1:5" s="1" customFormat="1" ht="15.75">
      <c r="A27" s="385" t="s">
        <v>504</v>
      </c>
      <c r="B27" s="57" t="s">
        <v>167</v>
      </c>
      <c r="C27" s="63">
        <v>0</v>
      </c>
      <c r="D27" s="1" t="s">
        <v>6</v>
      </c>
      <c r="E27" s="128"/>
    </row>
    <row r="28" spans="1:5" s="1" customFormat="1" ht="15.75">
      <c r="A28" s="385"/>
      <c r="B28" s="73"/>
      <c r="E28" s="127"/>
    </row>
    <row r="29" spans="1:6" s="1" customFormat="1" ht="15.75">
      <c r="A29" s="385" t="s">
        <v>27</v>
      </c>
      <c r="B29" s="7" t="s">
        <v>45</v>
      </c>
      <c r="E29" s="131">
        <f>SUM(E9:E28)</f>
        <v>53521514</v>
      </c>
      <c r="F29" s="1" t="s">
        <v>473</v>
      </c>
    </row>
    <row r="30" spans="1:5" s="1" customFormat="1" ht="15.75">
      <c r="A30" s="385"/>
      <c r="B30" s="57"/>
      <c r="E30" s="127"/>
    </row>
    <row r="31" spans="1:5" s="1" customFormat="1" ht="18.75">
      <c r="A31" s="385" t="s">
        <v>44</v>
      </c>
      <c r="B31" s="126" t="s">
        <v>168</v>
      </c>
      <c r="E31" s="127"/>
    </row>
    <row r="32" spans="1:6" s="1" customFormat="1" ht="15.75">
      <c r="A32" s="385" t="s">
        <v>505</v>
      </c>
      <c r="B32" s="9" t="s">
        <v>17</v>
      </c>
      <c r="C32" s="63"/>
      <c r="E32" s="128">
        <f>C34+C35+C36+C37+C38+C39</f>
        <v>52755766</v>
      </c>
      <c r="F32" s="1" t="s">
        <v>473</v>
      </c>
    </row>
    <row r="33" spans="1:5" s="1" customFormat="1" ht="15.75">
      <c r="A33" s="385"/>
      <c r="B33" s="8" t="s">
        <v>16</v>
      </c>
      <c r="C33" s="63"/>
      <c r="E33" s="128"/>
    </row>
    <row r="34" spans="1:5" s="1" customFormat="1" ht="15.75">
      <c r="A34" s="385" t="s">
        <v>506</v>
      </c>
      <c r="B34" s="57" t="s">
        <v>169</v>
      </c>
      <c r="C34" s="63">
        <f>'4.mell. - kiadás'!E44</f>
        <v>22390927</v>
      </c>
      <c r="D34" s="1" t="s">
        <v>473</v>
      </c>
      <c r="E34" s="128"/>
    </row>
    <row r="35" spans="1:5" s="1" customFormat="1" ht="15.75">
      <c r="A35" s="385" t="s">
        <v>507</v>
      </c>
      <c r="B35" s="57" t="s">
        <v>170</v>
      </c>
      <c r="C35" s="63">
        <f>'4.mell. - kiadás'!F44</f>
        <v>4484142</v>
      </c>
      <c r="D35" s="1" t="s">
        <v>473</v>
      </c>
      <c r="E35" s="128"/>
    </row>
    <row r="36" spans="1:5" s="1" customFormat="1" ht="15.75">
      <c r="A36" s="385" t="s">
        <v>508</v>
      </c>
      <c r="B36" s="57" t="s">
        <v>171</v>
      </c>
      <c r="C36" s="63">
        <f>'4.mell. - kiadás'!G44</f>
        <v>20910797</v>
      </c>
      <c r="D36" s="1" t="s">
        <v>473</v>
      </c>
      <c r="E36" s="128"/>
    </row>
    <row r="37" spans="1:5" s="1" customFormat="1" ht="15.75">
      <c r="A37" s="385" t="s">
        <v>509</v>
      </c>
      <c r="B37" s="132" t="s">
        <v>172</v>
      </c>
      <c r="C37" s="63">
        <f>'4.mell. - kiadás'!H44</f>
        <v>3061400</v>
      </c>
      <c r="D37" s="1" t="s">
        <v>473</v>
      </c>
      <c r="E37" s="128"/>
    </row>
    <row r="38" spans="1:5" s="1" customFormat="1" ht="15.75">
      <c r="A38" s="385" t="s">
        <v>516</v>
      </c>
      <c r="B38" s="57" t="s">
        <v>77</v>
      </c>
      <c r="C38" s="63">
        <f>'4.mell. - kiadás'!I44</f>
        <v>1908500</v>
      </c>
      <c r="D38" s="1" t="s">
        <v>473</v>
      </c>
      <c r="E38" s="128"/>
    </row>
    <row r="39" spans="1:5" s="1" customFormat="1" ht="15.75">
      <c r="A39" s="385" t="s">
        <v>528</v>
      </c>
      <c r="B39" s="57" t="s">
        <v>527</v>
      </c>
      <c r="C39" s="64"/>
      <c r="D39" s="1" t="s">
        <v>1</v>
      </c>
      <c r="E39" s="128"/>
    </row>
    <row r="40" spans="1:6" s="1" customFormat="1" ht="15.75">
      <c r="A40" s="385" t="s">
        <v>510</v>
      </c>
      <c r="B40" s="9" t="s">
        <v>18</v>
      </c>
      <c r="C40" s="63"/>
      <c r="E40" s="133">
        <f>C42+C43+C44</f>
        <v>59043355</v>
      </c>
      <c r="F40" s="1" t="s">
        <v>473</v>
      </c>
    </row>
    <row r="41" spans="1:5" s="1" customFormat="1" ht="15.75">
      <c r="A41" s="385"/>
      <c r="B41" s="8" t="s">
        <v>16</v>
      </c>
      <c r="C41" s="63"/>
      <c r="E41" s="128"/>
    </row>
    <row r="42" spans="1:5" s="1" customFormat="1" ht="15.75">
      <c r="A42" s="385" t="s">
        <v>517</v>
      </c>
      <c r="B42" s="57" t="s">
        <v>173</v>
      </c>
      <c r="C42" s="64">
        <f>'4.mell. - kiadás'!K44</f>
        <v>433959</v>
      </c>
      <c r="D42" s="1" t="s">
        <v>473</v>
      </c>
      <c r="E42" s="128"/>
    </row>
    <row r="43" spans="1:5" s="1" customFormat="1" ht="15.75">
      <c r="A43" s="385" t="s">
        <v>511</v>
      </c>
      <c r="B43" s="57" t="s">
        <v>174</v>
      </c>
      <c r="C43" s="64">
        <f>'4.mell. - kiadás'!L44</f>
        <v>57609396</v>
      </c>
      <c r="D43" s="1" t="s">
        <v>473</v>
      </c>
      <c r="E43" s="128"/>
    </row>
    <row r="44" spans="1:7" ht="15.75">
      <c r="A44" s="385" t="s">
        <v>512</v>
      </c>
      <c r="B44" s="57" t="s">
        <v>78</v>
      </c>
      <c r="C44" s="64">
        <f>'4.mell. - kiadás'!M44</f>
        <v>1000000</v>
      </c>
      <c r="D44" s="1" t="s">
        <v>473</v>
      </c>
      <c r="E44" s="128"/>
      <c r="F44" s="1"/>
      <c r="G44" s="1"/>
    </row>
    <row r="45" s="1" customFormat="1" ht="7.5" customHeight="1">
      <c r="E45" s="128"/>
    </row>
    <row r="46" spans="1:6" s="1" customFormat="1" ht="15.75">
      <c r="A46" s="385" t="s">
        <v>100</v>
      </c>
      <c r="B46" s="18" t="s">
        <v>175</v>
      </c>
      <c r="C46" s="64"/>
      <c r="E46" s="128">
        <f>C47+C48+C49</f>
        <v>1417579</v>
      </c>
      <c r="F46" s="1" t="s">
        <v>473</v>
      </c>
    </row>
    <row r="47" spans="1:5" s="1" customFormat="1" ht="15.75">
      <c r="A47" s="385" t="s">
        <v>513</v>
      </c>
      <c r="B47" s="57" t="s">
        <v>176</v>
      </c>
      <c r="C47" s="63"/>
      <c r="D47" s="1" t="s">
        <v>473</v>
      </c>
      <c r="E47" s="128"/>
    </row>
    <row r="48" spans="1:7" s="6" customFormat="1" ht="18.75">
      <c r="A48" s="387" t="s">
        <v>514</v>
      </c>
      <c r="B48" s="57" t="s">
        <v>177</v>
      </c>
      <c r="C48" s="63"/>
      <c r="D48" s="1" t="s">
        <v>473</v>
      </c>
      <c r="E48" s="128"/>
      <c r="F48" s="1"/>
      <c r="G48" s="4"/>
    </row>
    <row r="49" spans="1:7" ht="15.75">
      <c r="A49" s="385" t="s">
        <v>515</v>
      </c>
      <c r="B49" s="57" t="s">
        <v>461</v>
      </c>
      <c r="C49" s="64">
        <f>'4.mell. - kiadás'!O17</f>
        <v>1417579</v>
      </c>
      <c r="D49" s="1" t="s">
        <v>473</v>
      </c>
      <c r="E49" s="128"/>
      <c r="F49" s="1"/>
      <c r="G49" s="1"/>
    </row>
    <row r="50" spans="1:7" ht="15.75">
      <c r="A50" s="385" t="s">
        <v>101</v>
      </c>
      <c r="B50" s="7" t="s">
        <v>47</v>
      </c>
      <c r="C50" s="64"/>
      <c r="D50" s="1"/>
      <c r="E50" s="54">
        <f>SUM(E32:E49)</f>
        <v>113216700</v>
      </c>
      <c r="F50" s="4" t="s">
        <v>473</v>
      </c>
      <c r="G50" s="1"/>
    </row>
    <row r="51" spans="1:7" ht="15.75">
      <c r="A51" s="385"/>
      <c r="B51" s="57"/>
      <c r="C51" s="63"/>
      <c r="D51" s="1"/>
      <c r="E51" s="133"/>
      <c r="F51" s="1"/>
      <c r="G51" s="1"/>
    </row>
    <row r="52" spans="1:7" ht="18.75">
      <c r="A52" s="385" t="s">
        <v>107</v>
      </c>
      <c r="B52" s="7" t="s">
        <v>48</v>
      </c>
      <c r="C52" s="63"/>
      <c r="D52" s="1"/>
      <c r="E52" s="54">
        <f>E29-E50</f>
        <v>-59695186</v>
      </c>
      <c r="F52" s="4" t="s">
        <v>473</v>
      </c>
      <c r="G52" s="6"/>
    </row>
    <row r="53" spans="1:5" ht="15.75">
      <c r="A53" s="385"/>
      <c r="B53" s="57"/>
      <c r="C53" s="63"/>
      <c r="D53" s="1"/>
      <c r="E53" s="54"/>
    </row>
    <row r="54" spans="1:6" ht="32.25">
      <c r="A54" s="385" t="s">
        <v>242</v>
      </c>
      <c r="B54" s="121" t="s">
        <v>602</v>
      </c>
      <c r="C54" s="65"/>
      <c r="D54" s="6"/>
      <c r="E54" s="54">
        <f>'2.mell - bevétel'!H113</f>
        <v>58277607</v>
      </c>
      <c r="F54" s="4" t="s">
        <v>473</v>
      </c>
    </row>
    <row r="55" spans="1:7" s="1" customFormat="1" ht="15.75">
      <c r="A55" s="385" t="s">
        <v>244</v>
      </c>
      <c r="B55" s="21" t="s">
        <v>595</v>
      </c>
      <c r="C55" s="62"/>
      <c r="D55" s="4"/>
      <c r="E55" s="54">
        <f>'4.mell. - kiadás'!O17</f>
        <v>1417579</v>
      </c>
      <c r="F55" s="4"/>
      <c r="G55" s="4"/>
    </row>
    <row r="56" spans="1:6" ht="15.75">
      <c r="A56" s="388" t="s">
        <v>246</v>
      </c>
      <c r="B56" s="7" t="s">
        <v>519</v>
      </c>
      <c r="E56" s="54">
        <f>E52+E54+E55</f>
        <v>0</v>
      </c>
      <c r="F56" s="4" t="s">
        <v>473</v>
      </c>
    </row>
    <row r="57" spans="2:5" s="1" customFormat="1" ht="10.5" customHeight="1">
      <c r="B57" s="5"/>
      <c r="C57" s="63"/>
      <c r="E57" s="24"/>
    </row>
    <row r="58" spans="2:6" ht="15.75">
      <c r="B58" s="5"/>
      <c r="C58" s="63"/>
      <c r="D58" s="1"/>
      <c r="E58" s="24"/>
      <c r="F58" s="7"/>
    </row>
    <row r="59" spans="2:6" ht="15.75">
      <c r="B59" s="7"/>
      <c r="E59" s="25"/>
      <c r="F59" s="7"/>
    </row>
  </sheetData>
  <sheetProtection password="AF00" sheet="1"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3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25390625" style="72" customWidth="1"/>
    <col min="2" max="5" width="3.125" style="7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96" t="s">
        <v>607</v>
      </c>
      <c r="B1" s="496"/>
      <c r="C1" s="496"/>
      <c r="D1" s="496"/>
      <c r="E1" s="496"/>
      <c r="F1" s="496"/>
      <c r="G1" s="496"/>
      <c r="H1" s="496"/>
      <c r="I1" s="496"/>
    </row>
    <row r="2" spans="1:9" s="9" customFormat="1" ht="15.75">
      <c r="A2" s="512" t="s">
        <v>581</v>
      </c>
      <c r="B2" s="512"/>
      <c r="C2" s="512"/>
      <c r="D2" s="512"/>
      <c r="E2" s="512"/>
      <c r="F2" s="512"/>
      <c r="G2" s="512"/>
      <c r="H2" s="512"/>
      <c r="I2" s="512"/>
    </row>
    <row r="3" spans="1:9" s="9" customFormat="1" ht="15.75">
      <c r="A3" s="512" t="s">
        <v>38</v>
      </c>
      <c r="B3" s="512"/>
      <c r="C3" s="512"/>
      <c r="D3" s="512"/>
      <c r="E3" s="512"/>
      <c r="F3" s="512"/>
      <c r="G3" s="512"/>
      <c r="H3" s="512"/>
      <c r="I3" s="512"/>
    </row>
    <row r="4" spans="1:9" ht="15.75">
      <c r="A4" s="512" t="s">
        <v>535</v>
      </c>
      <c r="B4" s="512"/>
      <c r="C4" s="512"/>
      <c r="D4" s="512"/>
      <c r="E4" s="512"/>
      <c r="F4" s="512"/>
      <c r="G4" s="512"/>
      <c r="H4" s="512"/>
      <c r="I4" s="512"/>
    </row>
    <row r="5" ht="15.75" hidden="1"/>
    <row r="6" spans="1:9" ht="15.75">
      <c r="A6" s="502"/>
      <c r="B6" s="502"/>
      <c r="C6" s="502"/>
      <c r="D6" s="502"/>
      <c r="E6" s="502"/>
      <c r="F6" s="502"/>
      <c r="G6" s="502"/>
      <c r="H6" s="502"/>
      <c r="I6" s="502"/>
    </row>
    <row r="7" spans="8:9" ht="16.5" thickBot="1">
      <c r="H7" s="74"/>
      <c r="I7" s="75" t="s">
        <v>470</v>
      </c>
    </row>
    <row r="8" spans="1:9" ht="15.75">
      <c r="A8" s="503" t="s">
        <v>21</v>
      </c>
      <c r="B8" s="504"/>
      <c r="C8" s="504"/>
      <c r="D8" s="504"/>
      <c r="E8" s="504"/>
      <c r="F8" s="505"/>
      <c r="G8" s="76" t="s">
        <v>19</v>
      </c>
      <c r="H8" s="76" t="s">
        <v>19</v>
      </c>
      <c r="I8" s="76" t="s">
        <v>20</v>
      </c>
    </row>
    <row r="9" spans="1:9" ht="15.75">
      <c r="A9" s="506"/>
      <c r="B9" s="507"/>
      <c r="C9" s="507"/>
      <c r="D9" s="507"/>
      <c r="E9" s="507"/>
      <c r="F9" s="508"/>
      <c r="G9" s="77" t="s">
        <v>10</v>
      </c>
      <c r="H9" s="77" t="s">
        <v>10</v>
      </c>
      <c r="I9" s="77"/>
    </row>
    <row r="10" spans="1:9" ht="16.5" thickBot="1">
      <c r="A10" s="509"/>
      <c r="B10" s="510"/>
      <c r="C10" s="510"/>
      <c r="D10" s="510"/>
      <c r="E10" s="510"/>
      <c r="F10" s="511"/>
      <c r="G10" s="78" t="s">
        <v>469</v>
      </c>
      <c r="H10" s="78" t="s">
        <v>535</v>
      </c>
      <c r="I10" s="78" t="s">
        <v>22</v>
      </c>
    </row>
    <row r="11" spans="1:9" ht="6.75" customHeight="1">
      <c r="A11" s="328"/>
      <c r="B11" s="328"/>
      <c r="C11" s="328"/>
      <c r="D11" s="328"/>
      <c r="E11" s="328"/>
      <c r="F11" s="328"/>
      <c r="G11" s="328"/>
      <c r="H11" s="328"/>
      <c r="I11" s="328"/>
    </row>
    <row r="12" spans="1:9" ht="15.75">
      <c r="A12" s="18" t="s">
        <v>49</v>
      </c>
      <c r="B12" s="500" t="s">
        <v>82</v>
      </c>
      <c r="C12" s="500"/>
      <c r="D12" s="500"/>
      <c r="E12" s="500"/>
      <c r="F12" s="500"/>
      <c r="G12" s="111"/>
      <c r="H12" s="112"/>
      <c r="I12" s="111"/>
    </row>
    <row r="13" spans="1:9" ht="15.75">
      <c r="A13" s="18"/>
      <c r="B13" s="18" t="s">
        <v>49</v>
      </c>
      <c r="C13" s="18" t="s">
        <v>83</v>
      </c>
      <c r="D13" s="18"/>
      <c r="E13" s="18"/>
      <c r="F13" s="18"/>
      <c r="G13" s="52"/>
      <c r="H13" s="52"/>
      <c r="I13" s="18"/>
    </row>
    <row r="14" spans="1:9" ht="18" customHeight="1">
      <c r="A14" s="18"/>
      <c r="B14" s="18"/>
      <c r="C14" s="18" t="s">
        <v>43</v>
      </c>
      <c r="D14" s="500" t="s">
        <v>84</v>
      </c>
      <c r="E14" s="500"/>
      <c r="F14" s="500"/>
      <c r="G14" s="112"/>
      <c r="H14" s="112"/>
      <c r="I14" s="111"/>
    </row>
    <row r="15" spans="1:9" ht="21.75" customHeight="1">
      <c r="A15" s="18"/>
      <c r="B15" s="18"/>
      <c r="C15" s="18"/>
      <c r="D15" s="18" t="s">
        <v>43</v>
      </c>
      <c r="E15" s="500" t="s">
        <v>85</v>
      </c>
      <c r="F15" s="500"/>
      <c r="G15" s="112"/>
      <c r="H15" s="112"/>
      <c r="I15" s="111"/>
    </row>
    <row r="16" spans="1:9" ht="15.75">
      <c r="A16" s="21"/>
      <c r="B16" s="21"/>
      <c r="C16" s="21"/>
      <c r="D16" s="21"/>
      <c r="E16" s="21" t="s">
        <v>56</v>
      </c>
      <c r="F16" s="21" t="s">
        <v>50</v>
      </c>
      <c r="G16" s="51"/>
      <c r="H16" s="51"/>
      <c r="I16" s="113"/>
    </row>
    <row r="17" spans="1:9" ht="17.25" customHeight="1">
      <c r="A17" s="21"/>
      <c r="B17" s="21"/>
      <c r="C17" s="21"/>
      <c r="D17" s="21"/>
      <c r="E17" s="21"/>
      <c r="F17" s="21" t="s">
        <v>86</v>
      </c>
      <c r="G17" s="51"/>
      <c r="I17" s="113"/>
    </row>
    <row r="18" spans="1:9" ht="17.25" customHeight="1">
      <c r="A18" s="21"/>
      <c r="B18" s="21"/>
      <c r="C18" s="21"/>
      <c r="D18" s="21"/>
      <c r="E18" s="21" t="s">
        <v>57</v>
      </c>
      <c r="F18" s="114" t="s">
        <v>51</v>
      </c>
      <c r="G18" s="115"/>
      <c r="I18" s="113"/>
    </row>
    <row r="19" spans="1:9" ht="36.75" customHeight="1">
      <c r="A19" s="21"/>
      <c r="B19" s="21"/>
      <c r="C19" s="21"/>
      <c r="D19" s="21"/>
      <c r="E19" s="21" t="s">
        <v>87</v>
      </c>
      <c r="F19" s="114" t="s">
        <v>88</v>
      </c>
      <c r="G19" s="346">
        <f>2553350</f>
        <v>2553350</v>
      </c>
      <c r="H19" s="346">
        <v>2553350</v>
      </c>
      <c r="I19" s="113">
        <f>H19/G19*100</f>
        <v>100</v>
      </c>
    </row>
    <row r="20" spans="1:9" ht="15.75">
      <c r="A20" s="21"/>
      <c r="B20" s="21"/>
      <c r="C20" s="21"/>
      <c r="D20" s="21"/>
      <c r="E20" s="21"/>
      <c r="F20" s="21" t="s">
        <v>86</v>
      </c>
      <c r="G20" s="346"/>
      <c r="H20" s="346"/>
      <c r="I20" s="113"/>
    </row>
    <row r="21" spans="1:9" ht="15.75">
      <c r="A21" s="21"/>
      <c r="B21" s="21"/>
      <c r="C21" s="21"/>
      <c r="D21" s="21"/>
      <c r="E21" s="21" t="s">
        <v>89</v>
      </c>
      <c r="F21" s="114" t="s">
        <v>90</v>
      </c>
      <c r="G21" s="346">
        <v>3040000</v>
      </c>
      <c r="H21" s="346">
        <v>3040000</v>
      </c>
      <c r="I21" s="113">
        <f>H21/G21*100</f>
        <v>100</v>
      </c>
    </row>
    <row r="22" spans="1:9" ht="15.75">
      <c r="A22" s="21"/>
      <c r="B22" s="21"/>
      <c r="C22" s="21"/>
      <c r="D22" s="21"/>
      <c r="E22" s="21"/>
      <c r="F22" s="21" t="s">
        <v>86</v>
      </c>
      <c r="G22" s="346"/>
      <c r="H22" s="346"/>
      <c r="I22" s="113"/>
    </row>
    <row r="23" spans="1:9" ht="17.25" customHeight="1">
      <c r="A23" s="21"/>
      <c r="B23" s="21"/>
      <c r="C23" s="21"/>
      <c r="D23" s="21"/>
      <c r="E23" s="21" t="s">
        <v>91</v>
      </c>
      <c r="F23" s="114" t="s">
        <v>92</v>
      </c>
      <c r="G23" s="346">
        <v>100000</v>
      </c>
      <c r="H23" s="346">
        <v>100000</v>
      </c>
      <c r="I23" s="113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86</v>
      </c>
      <c r="G24" s="346"/>
      <c r="H24" s="346"/>
      <c r="I24" s="113"/>
    </row>
    <row r="25" spans="1:9" ht="15.75">
      <c r="A25" s="21"/>
      <c r="B25" s="21"/>
      <c r="C25" s="21"/>
      <c r="D25" s="21"/>
      <c r="E25" s="21" t="s">
        <v>93</v>
      </c>
      <c r="F25" s="114" t="s">
        <v>94</v>
      </c>
      <c r="G25" s="346">
        <v>7506890</v>
      </c>
      <c r="H25" s="346">
        <v>7506890</v>
      </c>
      <c r="I25" s="113">
        <f>H25/G25*100</f>
        <v>100</v>
      </c>
    </row>
    <row r="26" spans="1:9" s="58" customFormat="1" ht="15.75">
      <c r="A26" s="21"/>
      <c r="B26" s="21"/>
      <c r="C26" s="21"/>
      <c r="D26" s="21"/>
      <c r="E26" s="21"/>
      <c r="F26" s="21" t="s">
        <v>86</v>
      </c>
      <c r="G26" s="347"/>
      <c r="H26" s="347"/>
      <c r="I26" s="113"/>
    </row>
    <row r="27" spans="1:9" ht="15.75">
      <c r="A27" s="21"/>
      <c r="B27" s="21"/>
      <c r="C27" s="21"/>
      <c r="D27" s="21" t="s">
        <v>58</v>
      </c>
      <c r="E27" s="21" t="s">
        <v>95</v>
      </c>
      <c r="F27" s="21"/>
      <c r="G27" s="346">
        <v>5000000</v>
      </c>
      <c r="H27" s="346">
        <v>5000000</v>
      </c>
      <c r="I27" s="113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86</v>
      </c>
      <c r="G28" s="346"/>
      <c r="H28" s="346"/>
      <c r="I28" s="113"/>
    </row>
    <row r="29" spans="1:9" ht="15.75">
      <c r="A29" s="21"/>
      <c r="B29" s="21"/>
      <c r="C29" s="21"/>
      <c r="D29" s="21"/>
      <c r="E29" s="21" t="s">
        <v>472</v>
      </c>
      <c r="F29" s="21"/>
      <c r="G29" s="346">
        <v>3331195</v>
      </c>
      <c r="H29" s="346">
        <v>3664298</v>
      </c>
      <c r="I29" s="113"/>
    </row>
    <row r="30" spans="1:9" ht="15.75">
      <c r="A30" s="21"/>
      <c r="B30" s="21"/>
      <c r="C30" s="21"/>
      <c r="D30" s="21" t="s">
        <v>59</v>
      </c>
      <c r="E30" s="21" t="s">
        <v>151</v>
      </c>
      <c r="F30" s="21"/>
      <c r="G30" s="346">
        <v>20400</v>
      </c>
      <c r="H30" s="346">
        <v>17850</v>
      </c>
      <c r="I30" s="113">
        <f>H30/G30*100</f>
        <v>87.5</v>
      </c>
    </row>
    <row r="31" spans="1:9" ht="15.75">
      <c r="A31" s="21"/>
      <c r="B31" s="21"/>
      <c r="C31" s="21"/>
      <c r="D31" s="21" t="s">
        <v>152</v>
      </c>
      <c r="E31" s="21" t="s">
        <v>108</v>
      </c>
      <c r="F31" s="21"/>
      <c r="G31" s="346">
        <v>286000</v>
      </c>
      <c r="H31" s="346">
        <v>103400</v>
      </c>
      <c r="I31" s="113">
        <f>H31/G31*100</f>
        <v>36.15384615384615</v>
      </c>
    </row>
    <row r="32" spans="1:9" ht="15.75">
      <c r="A32" s="21"/>
      <c r="B32" s="21"/>
      <c r="C32" s="21" t="s">
        <v>27</v>
      </c>
      <c r="D32" s="513" t="s">
        <v>96</v>
      </c>
      <c r="E32" s="513"/>
      <c r="F32" s="513"/>
      <c r="G32" s="346">
        <v>3000</v>
      </c>
      <c r="H32" s="346">
        <v>3000</v>
      </c>
      <c r="I32" s="113">
        <f>H32/G32*100</f>
        <v>100</v>
      </c>
    </row>
    <row r="33" spans="1:9" ht="15.75">
      <c r="A33" s="21"/>
      <c r="B33" s="21"/>
      <c r="C33" s="21" t="s">
        <v>101</v>
      </c>
      <c r="D33" s="21" t="s">
        <v>471</v>
      </c>
      <c r="E33" s="21"/>
      <c r="F33" s="21"/>
      <c r="G33" s="346">
        <v>11938</v>
      </c>
      <c r="H33" s="346"/>
      <c r="I33" s="113">
        <f>H33/G33*100</f>
        <v>0</v>
      </c>
    </row>
    <row r="34" spans="1:9" ht="16.5" customHeight="1">
      <c r="A34" s="21"/>
      <c r="B34" s="21"/>
      <c r="C34" s="21" t="s">
        <v>107</v>
      </c>
      <c r="D34" s="21" t="s">
        <v>542</v>
      </c>
      <c r="E34" s="21"/>
      <c r="F34" s="21"/>
      <c r="G34" s="346"/>
      <c r="H34" s="346">
        <v>1170400</v>
      </c>
      <c r="I34" s="113"/>
    </row>
    <row r="35" spans="1:9" ht="21" customHeight="1">
      <c r="A35" s="117"/>
      <c r="B35" s="117"/>
      <c r="C35" s="118"/>
      <c r="D35" s="515" t="s">
        <v>97</v>
      </c>
      <c r="E35" s="515"/>
      <c r="F35" s="515"/>
      <c r="G35" s="348">
        <f>SUM(G16:G34)</f>
        <v>21852773</v>
      </c>
      <c r="H35" s="348">
        <f>SUM(H16:H34)</f>
        <v>23159188</v>
      </c>
      <c r="I35" s="113">
        <f>H35/G35*100</f>
        <v>105.97825731315655</v>
      </c>
    </row>
    <row r="36" spans="1:9" ht="33" customHeight="1">
      <c r="A36" s="21"/>
      <c r="B36" s="18" t="s">
        <v>53</v>
      </c>
      <c r="C36" s="18" t="s">
        <v>44</v>
      </c>
      <c r="D36" s="500" t="s">
        <v>98</v>
      </c>
      <c r="E36" s="500"/>
      <c r="F36" s="500"/>
      <c r="G36" s="346"/>
      <c r="H36" s="346"/>
      <c r="I36" s="113"/>
    </row>
    <row r="37" spans="1:9" ht="15.75">
      <c r="A37" s="21"/>
      <c r="B37" s="21"/>
      <c r="C37" s="21"/>
      <c r="D37" s="21" t="s">
        <v>43</v>
      </c>
      <c r="E37" s="21" t="s">
        <v>153</v>
      </c>
      <c r="F37" s="21"/>
      <c r="G37" s="346"/>
      <c r="H37" s="346"/>
      <c r="I37" s="113"/>
    </row>
    <row r="38" spans="1:9" ht="30.75" customHeight="1">
      <c r="A38" s="21"/>
      <c r="B38" s="21"/>
      <c r="C38" s="21"/>
      <c r="D38" s="21" t="s">
        <v>27</v>
      </c>
      <c r="E38" s="513" t="s">
        <v>154</v>
      </c>
      <c r="F38" s="513"/>
      <c r="G38" s="346">
        <v>4162000</v>
      </c>
      <c r="H38" s="346">
        <v>4111000</v>
      </c>
      <c r="I38" s="113">
        <f>H38/G38*100</f>
        <v>98.77462758289283</v>
      </c>
    </row>
    <row r="39" spans="1:9" ht="15.75">
      <c r="A39" s="21"/>
      <c r="B39" s="21"/>
      <c r="C39" s="21"/>
      <c r="D39" s="21" t="s">
        <v>44</v>
      </c>
      <c r="E39" s="21" t="s">
        <v>99</v>
      </c>
      <c r="F39" s="21"/>
      <c r="G39" s="346">
        <v>830400</v>
      </c>
      <c r="H39" s="346">
        <v>830400</v>
      </c>
      <c r="I39" s="113">
        <f>H39/G39*100</f>
        <v>100</v>
      </c>
    </row>
    <row r="40" spans="1:9" ht="15.75">
      <c r="A40" s="21"/>
      <c r="B40" s="21"/>
      <c r="C40" s="21"/>
      <c r="D40" s="21" t="s">
        <v>101</v>
      </c>
      <c r="E40" s="21" t="s">
        <v>102</v>
      </c>
      <c r="F40" s="21"/>
      <c r="G40" s="346"/>
      <c r="H40" s="346"/>
      <c r="I40" s="113"/>
    </row>
    <row r="41" spans="1:9" ht="31.5">
      <c r="A41" s="21"/>
      <c r="B41" s="21"/>
      <c r="C41" s="21"/>
      <c r="D41" s="21"/>
      <c r="E41" s="21" t="s">
        <v>56</v>
      </c>
      <c r="F41" s="114" t="s">
        <v>543</v>
      </c>
      <c r="G41" s="346">
        <v>1672000</v>
      </c>
      <c r="H41" s="346">
        <v>1672000</v>
      </c>
      <c r="I41" s="113">
        <f>H41/G41*100</f>
        <v>100</v>
      </c>
    </row>
    <row r="42" spans="1:9" ht="15.75">
      <c r="A42" s="21"/>
      <c r="B42" s="21"/>
      <c r="C42" s="21"/>
      <c r="D42" s="21"/>
      <c r="E42" s="21" t="s">
        <v>57</v>
      </c>
      <c r="F42" s="21" t="s">
        <v>544</v>
      </c>
      <c r="G42" s="346">
        <v>3495759</v>
      </c>
      <c r="H42" s="346">
        <v>3869880</v>
      </c>
      <c r="I42" s="113">
        <f>H42/G42*100</f>
        <v>110.70213936372618</v>
      </c>
    </row>
    <row r="43" spans="1:9" ht="33.75" customHeight="1">
      <c r="A43" s="117"/>
      <c r="B43" s="117"/>
      <c r="C43" s="515" t="s">
        <v>103</v>
      </c>
      <c r="D43" s="515"/>
      <c r="E43" s="515"/>
      <c r="F43" s="515"/>
      <c r="G43" s="349">
        <f>SUM(G37:G42)</f>
        <v>10160159</v>
      </c>
      <c r="H43" s="349">
        <f>SUM(H37:H42)</f>
        <v>10483280</v>
      </c>
      <c r="I43" s="113">
        <f>H43/G43*100</f>
        <v>103.18027503309742</v>
      </c>
    </row>
    <row r="44" spans="1:9" ht="3" customHeight="1">
      <c r="A44" s="117"/>
      <c r="B44" s="117"/>
      <c r="C44" s="326"/>
      <c r="D44" s="326"/>
      <c r="E44" s="326"/>
      <c r="F44" s="326"/>
      <c r="G44" s="349"/>
      <c r="H44" s="346"/>
      <c r="I44" s="113"/>
    </row>
    <row r="45" spans="1:9" ht="14.25" customHeight="1">
      <c r="A45" s="21"/>
      <c r="B45" s="21"/>
      <c r="C45" s="18" t="s">
        <v>100</v>
      </c>
      <c r="D45" s="500" t="s">
        <v>104</v>
      </c>
      <c r="E45" s="500"/>
      <c r="F45" s="500"/>
      <c r="G45" s="350"/>
      <c r="H45" s="346"/>
      <c r="I45" s="113"/>
    </row>
    <row r="46" spans="1:9" ht="15.75">
      <c r="A46" s="21"/>
      <c r="B46" s="21"/>
      <c r="C46" s="21"/>
      <c r="D46" s="21" t="s">
        <v>43</v>
      </c>
      <c r="E46" s="513" t="s">
        <v>54</v>
      </c>
      <c r="F46" s="513"/>
      <c r="G46" s="351"/>
      <c r="H46" s="346"/>
      <c r="I46" s="113"/>
    </row>
    <row r="47" spans="1:9" ht="31.5">
      <c r="A47" s="21"/>
      <c r="B47" s="21"/>
      <c r="C47" s="21"/>
      <c r="D47" s="21"/>
      <c r="E47" s="21" t="s">
        <v>59</v>
      </c>
      <c r="F47" s="114" t="s">
        <v>105</v>
      </c>
      <c r="G47" s="351">
        <v>1200000</v>
      </c>
      <c r="H47" s="346">
        <v>1800000</v>
      </c>
      <c r="I47" s="113">
        <f>H47/G47*100</f>
        <v>150</v>
      </c>
    </row>
    <row r="48" spans="1:9" ht="30" customHeight="1">
      <c r="A48" s="117"/>
      <c r="B48" s="117"/>
      <c r="C48" s="514" t="s">
        <v>106</v>
      </c>
      <c r="D48" s="514"/>
      <c r="E48" s="514"/>
      <c r="F48" s="514"/>
      <c r="G48" s="349">
        <f>SUM(G47:G47)</f>
        <v>1200000</v>
      </c>
      <c r="H48" s="349">
        <f>SUM(H47:H47)</f>
        <v>1800000</v>
      </c>
      <c r="I48" s="113">
        <f>H48/G48*100</f>
        <v>150</v>
      </c>
    </row>
    <row r="49" spans="1:9" ht="15.75">
      <c r="A49" s="119"/>
      <c r="B49" s="500" t="s">
        <v>109</v>
      </c>
      <c r="C49" s="500"/>
      <c r="D49" s="500"/>
      <c r="E49" s="500"/>
      <c r="F49" s="500"/>
      <c r="G49" s="354">
        <f>G35+G43+G48</f>
        <v>33212932</v>
      </c>
      <c r="H49" s="354">
        <f>H35+H43+H48</f>
        <v>35442468</v>
      </c>
      <c r="I49" s="113">
        <f>H49/G49*100</f>
        <v>106.71285510113952</v>
      </c>
    </row>
    <row r="50" spans="1:9" ht="12" customHeight="1">
      <c r="A50" s="21"/>
      <c r="B50" s="21"/>
      <c r="C50" s="21"/>
      <c r="D50" s="21"/>
      <c r="E50" s="21"/>
      <c r="F50" s="21"/>
      <c r="G50" s="352"/>
      <c r="H50" s="346"/>
      <c r="I50" s="113"/>
    </row>
    <row r="51" spans="1:9" ht="15.75">
      <c r="A51" s="119"/>
      <c r="B51" s="18" t="s">
        <v>52</v>
      </c>
      <c r="C51" s="500" t="s">
        <v>110</v>
      </c>
      <c r="D51" s="500"/>
      <c r="E51" s="500"/>
      <c r="F51" s="500"/>
      <c r="G51" s="350"/>
      <c r="H51" s="346"/>
      <c r="I51" s="113"/>
    </row>
    <row r="52" spans="1:9" ht="30" customHeight="1">
      <c r="A52" s="21"/>
      <c r="B52" s="21"/>
      <c r="C52" s="21" t="s">
        <v>43</v>
      </c>
      <c r="D52" s="516" t="s">
        <v>361</v>
      </c>
      <c r="E52" s="516"/>
      <c r="F52" s="516"/>
      <c r="G52" s="352">
        <v>46400</v>
      </c>
      <c r="H52" s="346">
        <v>46400</v>
      </c>
      <c r="I52" s="113">
        <f>H52/G52*100</f>
        <v>100</v>
      </c>
    </row>
    <row r="53" spans="1:9" ht="12" customHeight="1">
      <c r="A53" s="21"/>
      <c r="B53" s="21"/>
      <c r="C53" s="21"/>
      <c r="D53" s="21"/>
      <c r="E53" s="21"/>
      <c r="F53" s="21"/>
      <c r="G53" s="352"/>
      <c r="H53" s="346"/>
      <c r="I53" s="113"/>
    </row>
    <row r="54" spans="1:9" ht="15.75" customHeight="1">
      <c r="A54" s="119"/>
      <c r="B54" s="500" t="s">
        <v>111</v>
      </c>
      <c r="C54" s="500"/>
      <c r="D54" s="500"/>
      <c r="E54" s="500"/>
      <c r="F54" s="500"/>
      <c r="G54" s="354">
        <f>SUM(G52:G53)</f>
        <v>46400</v>
      </c>
      <c r="H54" s="354">
        <f>SUM(H52:H53)</f>
        <v>46400</v>
      </c>
      <c r="I54" s="113">
        <f>H54/G54*100</f>
        <v>100</v>
      </c>
    </row>
    <row r="55" spans="1:9" ht="36" customHeight="1">
      <c r="A55" s="500" t="s">
        <v>112</v>
      </c>
      <c r="B55" s="500"/>
      <c r="C55" s="500"/>
      <c r="D55" s="500"/>
      <c r="E55" s="500"/>
      <c r="F55" s="500"/>
      <c r="G55" s="355">
        <f>G54+G49</f>
        <v>33259332</v>
      </c>
      <c r="H55" s="355">
        <f>H54+H49</f>
        <v>35488868</v>
      </c>
      <c r="I55" s="113">
        <f>H55/G55*100</f>
        <v>106.70349001597505</v>
      </c>
    </row>
    <row r="56" spans="1:9" s="79" customFormat="1" ht="32.25" customHeight="1">
      <c r="A56" s="18" t="s">
        <v>52</v>
      </c>
      <c r="B56" s="500" t="s">
        <v>113</v>
      </c>
      <c r="C56" s="500"/>
      <c r="D56" s="500"/>
      <c r="E56" s="500"/>
      <c r="F56" s="500"/>
      <c r="G56" s="355"/>
      <c r="H56" s="350"/>
      <c r="I56" s="113"/>
    </row>
    <row r="57" spans="1:9" ht="11.25" customHeight="1">
      <c r="A57" s="110"/>
      <c r="B57" s="110"/>
      <c r="C57" s="110"/>
      <c r="D57" s="110"/>
      <c r="E57" s="110"/>
      <c r="F57" s="110"/>
      <c r="G57" s="354"/>
      <c r="H57" s="354"/>
      <c r="I57" s="113"/>
    </row>
    <row r="58" spans="1:9" ht="15.75">
      <c r="A58" s="18" t="s">
        <v>53</v>
      </c>
      <c r="B58" s="18" t="s">
        <v>114</v>
      </c>
      <c r="C58" s="18"/>
      <c r="D58" s="18"/>
      <c r="E58" s="18"/>
      <c r="F58" s="18"/>
      <c r="G58" s="356"/>
      <c r="H58" s="357"/>
      <c r="I58" s="113"/>
    </row>
    <row r="59" spans="1:9" ht="12" customHeight="1">
      <c r="A59" s="21"/>
      <c r="B59" s="21"/>
      <c r="C59" s="21"/>
      <c r="D59" s="21"/>
      <c r="E59" s="21"/>
      <c r="F59" s="21"/>
      <c r="G59" s="352"/>
      <c r="H59" s="352"/>
      <c r="I59" s="113"/>
    </row>
    <row r="60" spans="1:9" ht="15.75">
      <c r="A60" s="21"/>
      <c r="B60" s="21" t="s">
        <v>43</v>
      </c>
      <c r="C60" s="21" t="s">
        <v>115</v>
      </c>
      <c r="D60" s="21"/>
      <c r="E60" s="21"/>
      <c r="F60" s="21"/>
      <c r="G60" s="358"/>
      <c r="H60" s="352"/>
      <c r="I60" s="113"/>
    </row>
    <row r="61" spans="1:9" ht="15.75">
      <c r="A61" s="21"/>
      <c r="B61" s="21"/>
      <c r="C61" s="21" t="s">
        <v>43</v>
      </c>
      <c r="D61" s="21" t="s">
        <v>116</v>
      </c>
      <c r="E61" s="21"/>
      <c r="F61" s="21"/>
      <c r="G61" s="352">
        <v>1500000</v>
      </c>
      <c r="H61" s="346">
        <v>1500000</v>
      </c>
      <c r="I61" s="113">
        <f>H61/G61*100</f>
        <v>100</v>
      </c>
    </row>
    <row r="62" spans="1:9" ht="15.75">
      <c r="A62" s="18"/>
      <c r="B62" s="18" t="s">
        <v>27</v>
      </c>
      <c r="C62" s="18" t="s">
        <v>117</v>
      </c>
      <c r="D62" s="18"/>
      <c r="E62" s="18"/>
      <c r="F62" s="18"/>
      <c r="G62" s="357"/>
      <c r="H62" s="346"/>
      <c r="I62" s="113"/>
    </row>
    <row r="63" spans="1:9" s="9" customFormat="1" ht="15.75">
      <c r="A63" s="21"/>
      <c r="B63" s="21"/>
      <c r="C63" s="21" t="s">
        <v>43</v>
      </c>
      <c r="D63" s="21" t="s">
        <v>118</v>
      </c>
      <c r="E63" s="21"/>
      <c r="F63" s="21"/>
      <c r="G63" s="352">
        <v>3900000</v>
      </c>
      <c r="H63" s="359">
        <v>3900000</v>
      </c>
      <c r="I63" s="113">
        <f>H63/G63*100</f>
        <v>100</v>
      </c>
    </row>
    <row r="64" spans="1:9" ht="15.75">
      <c r="A64" s="18"/>
      <c r="B64" s="18" t="s">
        <v>44</v>
      </c>
      <c r="C64" s="18" t="s">
        <v>119</v>
      </c>
      <c r="D64" s="18"/>
      <c r="E64" s="18"/>
      <c r="F64" s="18"/>
      <c r="G64" s="357"/>
      <c r="H64" s="346"/>
      <c r="I64" s="113"/>
    </row>
    <row r="65" spans="1:9" ht="15.75">
      <c r="A65" s="21"/>
      <c r="B65" s="21"/>
      <c r="C65" s="21" t="s">
        <v>43</v>
      </c>
      <c r="D65" s="21" t="s">
        <v>120</v>
      </c>
      <c r="E65" s="21"/>
      <c r="F65" s="21"/>
      <c r="G65" s="352">
        <v>1913000</v>
      </c>
      <c r="H65" s="346">
        <v>1913000</v>
      </c>
      <c r="I65" s="113">
        <f>H65/G65*100</f>
        <v>100</v>
      </c>
    </row>
    <row r="66" spans="1:9" ht="15.75">
      <c r="A66" s="21"/>
      <c r="B66" s="18" t="s">
        <v>100</v>
      </c>
      <c r="C66" s="18" t="s">
        <v>121</v>
      </c>
      <c r="D66" s="21"/>
      <c r="E66" s="21"/>
      <c r="F66" s="21"/>
      <c r="G66" s="352"/>
      <c r="H66" s="346"/>
      <c r="I66" s="113"/>
    </row>
    <row r="67" spans="1:9" ht="15.75">
      <c r="A67" s="21"/>
      <c r="B67" s="21"/>
      <c r="C67" s="21" t="s">
        <v>43</v>
      </c>
      <c r="D67" s="21" t="s">
        <v>122</v>
      </c>
      <c r="E67" s="21"/>
      <c r="F67" s="21"/>
      <c r="G67" s="352">
        <v>140000</v>
      </c>
      <c r="H67" s="346">
        <v>140000</v>
      </c>
      <c r="I67" s="113">
        <f>H67/G67*100</f>
        <v>100</v>
      </c>
    </row>
    <row r="68" spans="1:9" ht="15.75">
      <c r="A68" s="21"/>
      <c r="B68" s="21"/>
      <c r="C68" s="21"/>
      <c r="D68" s="21"/>
      <c r="E68" s="21"/>
      <c r="F68" s="21"/>
      <c r="G68" s="352"/>
      <c r="H68" s="346"/>
      <c r="I68" s="113"/>
    </row>
    <row r="69" spans="1:9" ht="15.75">
      <c r="A69" s="21"/>
      <c r="B69" s="21"/>
      <c r="C69" s="18" t="s">
        <v>27</v>
      </c>
      <c r="D69" s="21" t="s">
        <v>81</v>
      </c>
      <c r="E69" s="21"/>
      <c r="F69" s="21"/>
      <c r="G69" s="352">
        <v>280000</v>
      </c>
      <c r="H69" s="346">
        <v>280000</v>
      </c>
      <c r="I69" s="113">
        <f>H69/G69*100</f>
        <v>100</v>
      </c>
    </row>
    <row r="70" spans="1:9" ht="15.75">
      <c r="A70" s="18"/>
      <c r="B70" s="18" t="s">
        <v>101</v>
      </c>
      <c r="C70" s="18" t="s">
        <v>123</v>
      </c>
      <c r="D70" s="18"/>
      <c r="E70" s="18"/>
      <c r="F70" s="18"/>
      <c r="G70" s="357"/>
      <c r="H70" s="346"/>
      <c r="I70" s="113"/>
    </row>
    <row r="71" spans="1:9" ht="15.75">
      <c r="A71" s="21"/>
      <c r="B71" s="21"/>
      <c r="C71" s="18" t="s">
        <v>43</v>
      </c>
      <c r="D71" s="21" t="s">
        <v>124</v>
      </c>
      <c r="E71" s="21"/>
      <c r="F71" s="21"/>
      <c r="G71" s="352">
        <v>5000</v>
      </c>
      <c r="H71" s="346">
        <v>5000</v>
      </c>
      <c r="I71" s="113">
        <f>H71/G71*100</f>
        <v>100</v>
      </c>
    </row>
    <row r="72" spans="1:9" ht="15.75" customHeight="1">
      <c r="A72" s="119"/>
      <c r="B72" s="119"/>
      <c r="C72" s="119" t="s">
        <v>44</v>
      </c>
      <c r="D72" s="122" t="s">
        <v>123</v>
      </c>
      <c r="E72" s="119"/>
      <c r="F72" s="119"/>
      <c r="G72" s="353"/>
      <c r="H72" s="346"/>
      <c r="I72" s="113"/>
    </row>
    <row r="73" spans="1:9" ht="15.75">
      <c r="A73" s="21"/>
      <c r="B73" s="21"/>
      <c r="C73" s="18" t="s">
        <v>100</v>
      </c>
      <c r="D73" s="21" t="s">
        <v>125</v>
      </c>
      <c r="E73" s="21"/>
      <c r="F73" s="21"/>
      <c r="G73" s="352">
        <v>75000</v>
      </c>
      <c r="H73" s="346">
        <v>75000</v>
      </c>
      <c r="I73" s="113">
        <f>H73/G73*100</f>
        <v>100</v>
      </c>
    </row>
    <row r="74" spans="1:9" ht="9" customHeight="1">
      <c r="A74" s="119"/>
      <c r="B74" s="119"/>
      <c r="C74" s="119"/>
      <c r="D74" s="119"/>
      <c r="E74" s="119"/>
      <c r="F74" s="119"/>
      <c r="G74" s="353"/>
      <c r="H74" s="346"/>
      <c r="I74" s="113"/>
    </row>
    <row r="75" spans="1:9" s="9" customFormat="1" ht="15.75">
      <c r="A75" s="18" t="s">
        <v>70</v>
      </c>
      <c r="B75" s="119"/>
      <c r="C75" s="119"/>
      <c r="D75" s="119"/>
      <c r="E75" s="119"/>
      <c r="F75" s="119"/>
      <c r="G75" s="354">
        <f>G61+G63+G65+G67+G69+G71+G72+G73</f>
        <v>7813000</v>
      </c>
      <c r="H75" s="354">
        <f>H61+H63+H65+H67+H69+H71+H72+H73</f>
        <v>7813000</v>
      </c>
      <c r="I75" s="113">
        <f>H75/G75*100</f>
        <v>100</v>
      </c>
    </row>
    <row r="76" spans="1:9" ht="12.75" customHeight="1">
      <c r="A76" s="119"/>
      <c r="B76" s="119"/>
      <c r="C76" s="119"/>
      <c r="D76" s="119"/>
      <c r="E76" s="119"/>
      <c r="F76" s="119"/>
      <c r="G76" s="353"/>
      <c r="H76" s="353"/>
      <c r="I76" s="113"/>
    </row>
    <row r="77" spans="1:9" ht="15.75">
      <c r="A77" s="18" t="s">
        <v>126</v>
      </c>
      <c r="B77" s="18" t="s">
        <v>55</v>
      </c>
      <c r="C77" s="18"/>
      <c r="D77" s="18"/>
      <c r="E77" s="18"/>
      <c r="F77" s="18"/>
      <c r="G77" s="356"/>
      <c r="H77" s="357"/>
      <c r="I77" s="113"/>
    </row>
    <row r="78" spans="1:9" ht="15.75">
      <c r="A78" s="119"/>
      <c r="B78" s="119" t="s">
        <v>43</v>
      </c>
      <c r="C78" s="501" t="s">
        <v>127</v>
      </c>
      <c r="D78" s="501"/>
      <c r="E78" s="501"/>
      <c r="F78" s="501"/>
      <c r="G78" s="353"/>
      <c r="H78" s="353"/>
      <c r="I78" s="113"/>
    </row>
    <row r="79" spans="1:9" ht="15.75">
      <c r="A79" s="119"/>
      <c r="B79" s="119"/>
      <c r="C79" s="119" t="s">
        <v>43</v>
      </c>
      <c r="D79" s="122" t="s">
        <v>138</v>
      </c>
      <c r="E79" s="122"/>
      <c r="F79" s="122"/>
      <c r="G79" s="353">
        <v>186535</v>
      </c>
      <c r="H79" s="346">
        <f>82942</f>
        <v>82942</v>
      </c>
      <c r="I79" s="113">
        <f>H79/G79*100</f>
        <v>44.46457769319431</v>
      </c>
    </row>
    <row r="80" spans="1:9" ht="15.75">
      <c r="A80" s="119"/>
      <c r="B80" s="119"/>
      <c r="C80" s="119" t="s">
        <v>27</v>
      </c>
      <c r="D80" s="122" t="s">
        <v>130</v>
      </c>
      <c r="E80" s="122"/>
      <c r="F80" s="122"/>
      <c r="G80" s="353"/>
      <c r="H80" s="432"/>
      <c r="I80" s="113"/>
    </row>
    <row r="81" spans="1:9" ht="15.75">
      <c r="A81" s="119"/>
      <c r="B81" s="119"/>
      <c r="C81" s="119"/>
      <c r="D81" s="122" t="s">
        <v>43</v>
      </c>
      <c r="E81" s="122" t="s">
        <v>131</v>
      </c>
      <c r="F81" s="122"/>
      <c r="G81" s="353">
        <v>20000</v>
      </c>
      <c r="H81" s="346">
        <v>20000</v>
      </c>
      <c r="I81" s="113">
        <f>H81/G81*100</f>
        <v>100</v>
      </c>
    </row>
    <row r="82" spans="1:9" ht="15.75">
      <c r="A82" s="119"/>
      <c r="B82" s="119"/>
      <c r="C82" s="119"/>
      <c r="D82" s="122" t="s">
        <v>27</v>
      </c>
      <c r="E82" s="122" t="s">
        <v>132</v>
      </c>
      <c r="F82" s="122"/>
      <c r="G82" s="353">
        <v>820000</v>
      </c>
      <c r="H82" s="346">
        <v>820000</v>
      </c>
      <c r="I82" s="113">
        <f>H82/G82*100</f>
        <v>100</v>
      </c>
    </row>
    <row r="83" spans="1:9" ht="15.75">
      <c r="A83" s="119"/>
      <c r="B83" s="119"/>
      <c r="C83" s="119"/>
      <c r="D83" s="122" t="s">
        <v>44</v>
      </c>
      <c r="E83" s="122" t="s">
        <v>133</v>
      </c>
      <c r="F83" s="122"/>
      <c r="G83" s="353">
        <v>2000</v>
      </c>
      <c r="H83" s="346">
        <v>2000</v>
      </c>
      <c r="I83" s="113">
        <f>H83/G83*100</f>
        <v>100</v>
      </c>
    </row>
    <row r="84" spans="1:9" ht="15.75">
      <c r="A84" s="119"/>
      <c r="B84" s="119"/>
      <c r="C84" s="119"/>
      <c r="D84" s="122" t="s">
        <v>100</v>
      </c>
      <c r="E84" s="122" t="s">
        <v>134</v>
      </c>
      <c r="F84" s="122"/>
      <c r="G84" s="353">
        <v>85179</v>
      </c>
      <c r="H84" s="346">
        <v>85179</v>
      </c>
      <c r="I84" s="113">
        <f>H84/G84*100</f>
        <v>100</v>
      </c>
    </row>
    <row r="85" spans="1:9" ht="15.75">
      <c r="A85" s="119"/>
      <c r="B85" s="119"/>
      <c r="C85" s="119" t="s">
        <v>44</v>
      </c>
      <c r="D85" s="122" t="s">
        <v>155</v>
      </c>
      <c r="E85" s="122"/>
      <c r="F85" s="122"/>
      <c r="G85" s="353"/>
      <c r="H85" s="432"/>
      <c r="I85" s="113"/>
    </row>
    <row r="86" spans="1:9" ht="15.75">
      <c r="A86" s="119"/>
      <c r="B86" s="119"/>
      <c r="D86" s="119" t="s">
        <v>43</v>
      </c>
      <c r="E86" s="122" t="s">
        <v>128</v>
      </c>
      <c r="F86" s="119"/>
      <c r="G86" s="353">
        <v>51800</v>
      </c>
      <c r="H86" s="346">
        <v>41000</v>
      </c>
      <c r="I86" s="113">
        <f>H86/G86*100</f>
        <v>79.15057915057915</v>
      </c>
    </row>
    <row r="87" spans="1:9" ht="15.75">
      <c r="A87" s="119"/>
      <c r="B87" s="119"/>
      <c r="D87" s="119" t="s">
        <v>27</v>
      </c>
      <c r="E87" s="122" t="s">
        <v>129</v>
      </c>
      <c r="F87" s="122"/>
      <c r="G87" s="353">
        <v>177600</v>
      </c>
      <c r="H87" s="346">
        <v>274498</v>
      </c>
      <c r="I87" s="113">
        <f>H87/G87*100</f>
        <v>154.5596846846847</v>
      </c>
    </row>
    <row r="88" spans="4:9" ht="15.75">
      <c r="D88" s="70" t="s">
        <v>44</v>
      </c>
      <c r="E88" s="122" t="s">
        <v>71</v>
      </c>
      <c r="G88" s="353">
        <v>660744</v>
      </c>
      <c r="H88" s="346">
        <v>521023</v>
      </c>
      <c r="I88" s="113">
        <f>H88/G88*100</f>
        <v>78.85398883682636</v>
      </c>
    </row>
    <row r="89" spans="1:9" ht="15.75">
      <c r="A89" s="119"/>
      <c r="B89" s="119" t="s">
        <v>27</v>
      </c>
      <c r="C89" s="122" t="s">
        <v>135</v>
      </c>
      <c r="D89" s="122"/>
      <c r="E89" s="122"/>
      <c r="F89" s="122"/>
      <c r="G89" s="353"/>
      <c r="H89" s="432"/>
      <c r="I89" s="113"/>
    </row>
    <row r="90" spans="1:9" ht="15.75">
      <c r="A90" s="119"/>
      <c r="B90" s="119"/>
      <c r="C90" s="119" t="s">
        <v>43</v>
      </c>
      <c r="D90" s="122" t="s">
        <v>136</v>
      </c>
      <c r="E90" s="122"/>
      <c r="F90" s="122"/>
      <c r="G90" s="353">
        <v>4099152</v>
      </c>
      <c r="H90" s="346">
        <v>4099152</v>
      </c>
      <c r="I90" s="113">
        <f>H90/G90*100</f>
        <v>100</v>
      </c>
    </row>
    <row r="91" spans="1:9" ht="15.75">
      <c r="A91" s="119"/>
      <c r="B91" s="119" t="s">
        <v>44</v>
      </c>
      <c r="C91" s="122" t="s">
        <v>137</v>
      </c>
      <c r="D91" s="122"/>
      <c r="E91" s="122"/>
      <c r="F91" s="122"/>
      <c r="G91" s="353"/>
      <c r="H91" s="432"/>
      <c r="I91" s="113"/>
    </row>
    <row r="92" spans="1:9" ht="15.75">
      <c r="A92" s="119"/>
      <c r="B92" s="119"/>
      <c r="C92" s="119" t="s">
        <v>43</v>
      </c>
      <c r="D92" s="122" t="s">
        <v>79</v>
      </c>
      <c r="E92" s="122"/>
      <c r="F92" s="122"/>
      <c r="G92" s="353">
        <v>1843937</v>
      </c>
      <c r="H92" s="346">
        <v>1267352</v>
      </c>
      <c r="I92" s="113">
        <f aca="true" t="shared" si="0" ref="I92:I97">H92/G92*100</f>
        <v>68.73076466278403</v>
      </c>
    </row>
    <row r="93" spans="1:9" ht="15.75">
      <c r="A93" s="119"/>
      <c r="B93" s="119" t="s">
        <v>100</v>
      </c>
      <c r="C93" s="122" t="s">
        <v>139</v>
      </c>
      <c r="D93" s="119"/>
      <c r="E93" s="119"/>
      <c r="F93" s="119"/>
      <c r="G93" s="353">
        <v>1412426</v>
      </c>
      <c r="H93" s="346">
        <f>10800+28938+1106771+74113+22394+140677+342184+2</f>
        <v>1725879</v>
      </c>
      <c r="I93" s="113">
        <f t="shared" si="0"/>
        <v>122.19252548452096</v>
      </c>
    </row>
    <row r="94" spans="1:9" ht="15.75">
      <c r="A94" s="119"/>
      <c r="B94" s="119" t="s">
        <v>101</v>
      </c>
      <c r="C94" s="122" t="s">
        <v>140</v>
      </c>
      <c r="D94" s="119"/>
      <c r="E94" s="119"/>
      <c r="F94" s="119"/>
      <c r="G94" s="353">
        <v>1316846</v>
      </c>
      <c r="H94" s="346">
        <f>701771+74113+60950+83806+236180+1</f>
        <v>1156821</v>
      </c>
      <c r="I94" s="113">
        <f t="shared" si="0"/>
        <v>87.8478576841939</v>
      </c>
    </row>
    <row r="95" spans="1:9" ht="24.75" customHeight="1">
      <c r="A95" s="119"/>
      <c r="B95" s="119" t="s">
        <v>107</v>
      </c>
      <c r="C95" s="122" t="s">
        <v>141</v>
      </c>
      <c r="D95" s="119"/>
      <c r="E95" s="119"/>
      <c r="F95" s="119"/>
      <c r="G95" s="353">
        <v>2000</v>
      </c>
      <c r="H95" s="346">
        <v>2000</v>
      </c>
      <c r="I95" s="113">
        <f t="shared" si="0"/>
        <v>100</v>
      </c>
    </row>
    <row r="96" spans="1:9" ht="19.5" customHeight="1">
      <c r="A96" s="119"/>
      <c r="B96" s="379" t="s">
        <v>242</v>
      </c>
      <c r="C96" s="501" t="s">
        <v>480</v>
      </c>
      <c r="D96" s="501"/>
      <c r="E96" s="501"/>
      <c r="F96" s="501"/>
      <c r="G96" s="353">
        <v>4825255</v>
      </c>
      <c r="H96" s="346"/>
      <c r="I96" s="113">
        <f t="shared" si="0"/>
        <v>0</v>
      </c>
    </row>
    <row r="97" spans="1:11" ht="15.75">
      <c r="A97" s="18" t="s">
        <v>23</v>
      </c>
      <c r="B97" s="119"/>
      <c r="C97" s="119"/>
      <c r="D97" s="119"/>
      <c r="E97" s="119"/>
      <c r="F97" s="119"/>
      <c r="G97" s="354">
        <f>SUM(G78:G96)</f>
        <v>15503474</v>
      </c>
      <c r="H97" s="490">
        <f>SUM(H78:H96)</f>
        <v>10097846</v>
      </c>
      <c r="I97" s="113">
        <f t="shared" si="0"/>
        <v>65.13279539798629</v>
      </c>
      <c r="K97" s="345"/>
    </row>
    <row r="98" spans="1:9" ht="1.5" customHeight="1">
      <c r="A98" s="119"/>
      <c r="B98" s="119"/>
      <c r="C98" s="119"/>
      <c r="D98" s="119"/>
      <c r="E98" s="119"/>
      <c r="F98" s="119"/>
      <c r="G98" s="353"/>
      <c r="H98" s="432"/>
      <c r="I98" s="113"/>
    </row>
    <row r="99" spans="1:9" ht="1.5" customHeight="1">
      <c r="A99" s="119"/>
      <c r="B99" s="119"/>
      <c r="C99" s="119"/>
      <c r="D99" s="119"/>
      <c r="E99" s="119"/>
      <c r="F99" s="119"/>
      <c r="G99" s="353"/>
      <c r="H99" s="432"/>
      <c r="I99" s="113"/>
    </row>
    <row r="100" spans="1:9" ht="1.5" customHeight="1">
      <c r="A100" s="119"/>
      <c r="B100" s="119"/>
      <c r="C100" s="119"/>
      <c r="D100" s="119"/>
      <c r="E100" s="119"/>
      <c r="F100" s="119"/>
      <c r="G100" s="353"/>
      <c r="H100" s="432"/>
      <c r="I100" s="113"/>
    </row>
    <row r="101" spans="1:9" ht="3.75" customHeight="1">
      <c r="A101" s="119"/>
      <c r="B101" s="119"/>
      <c r="C101" s="119"/>
      <c r="D101" s="119"/>
      <c r="E101" s="119"/>
      <c r="F101" s="119"/>
      <c r="G101" s="353"/>
      <c r="H101" s="432"/>
      <c r="I101" s="113"/>
    </row>
    <row r="102" spans="1:9" ht="15.75">
      <c r="A102" s="18" t="s">
        <v>60</v>
      </c>
      <c r="B102" s="18" t="s">
        <v>142</v>
      </c>
      <c r="C102" s="18"/>
      <c r="D102" s="18"/>
      <c r="E102" s="18"/>
      <c r="F102" s="18"/>
      <c r="G102" s="357"/>
      <c r="H102" s="432"/>
      <c r="I102" s="113"/>
    </row>
    <row r="103" spans="1:9" ht="15.75">
      <c r="A103" s="18"/>
      <c r="B103" s="18"/>
      <c r="C103" s="18"/>
      <c r="D103" s="18"/>
      <c r="E103" s="18"/>
      <c r="F103" s="18"/>
      <c r="G103" s="357"/>
      <c r="H103" s="432"/>
      <c r="I103" s="113"/>
    </row>
    <row r="104" spans="1:9" ht="59.25" customHeight="1">
      <c r="A104" s="21"/>
      <c r="B104" s="21" t="s">
        <v>43</v>
      </c>
      <c r="C104" s="513" t="s">
        <v>143</v>
      </c>
      <c r="D104" s="513"/>
      <c r="E104" s="513"/>
      <c r="F104" s="513"/>
      <c r="G104" s="351"/>
      <c r="H104" s="432"/>
      <c r="I104" s="113"/>
    </row>
    <row r="105" spans="1:9" ht="35.25" customHeight="1">
      <c r="A105" s="21"/>
      <c r="B105" s="21"/>
      <c r="C105" s="121" t="s">
        <v>43</v>
      </c>
      <c r="D105" s="513" t="s">
        <v>144</v>
      </c>
      <c r="E105" s="513"/>
      <c r="F105" s="513"/>
      <c r="G105" s="351">
        <v>61800</v>
      </c>
      <c r="H105" s="346">
        <v>121800</v>
      </c>
      <c r="I105" s="113">
        <f>H105/G105*100</f>
        <v>197.0873786407767</v>
      </c>
    </row>
    <row r="106" spans="1:9" ht="16.5" customHeight="1">
      <c r="A106" s="119"/>
      <c r="B106" s="119"/>
      <c r="C106" s="119"/>
      <c r="D106" s="21"/>
      <c r="E106" s="119"/>
      <c r="F106" s="119"/>
      <c r="G106" s="353"/>
      <c r="H106" s="346"/>
      <c r="I106" s="113"/>
    </row>
    <row r="107" spans="1:9" ht="15.75">
      <c r="A107" s="518" t="s">
        <v>145</v>
      </c>
      <c r="B107" s="518"/>
      <c r="C107" s="518"/>
      <c r="D107" s="518"/>
      <c r="E107" s="518"/>
      <c r="F107" s="518"/>
      <c r="G107" s="356">
        <f>SUM(G105:G106)</f>
        <v>61800</v>
      </c>
      <c r="H107" s="356">
        <f>SUM(H105:H106)</f>
        <v>121800</v>
      </c>
      <c r="I107" s="113">
        <f>H107/G107*100</f>
        <v>197.0873786407767</v>
      </c>
    </row>
    <row r="108" spans="1:9" ht="14.25" customHeight="1">
      <c r="A108" s="119"/>
      <c r="B108" s="119"/>
      <c r="C108" s="119"/>
      <c r="D108" s="119"/>
      <c r="E108" s="119"/>
      <c r="F108" s="119"/>
      <c r="G108" s="353"/>
      <c r="H108" s="346"/>
      <c r="I108" s="113"/>
    </row>
    <row r="109" spans="1:9" ht="16.5">
      <c r="A109" s="124" t="s">
        <v>146</v>
      </c>
      <c r="B109" s="124"/>
      <c r="C109" s="124"/>
      <c r="D109" s="124"/>
      <c r="E109" s="124"/>
      <c r="F109" s="124"/>
      <c r="G109" s="356">
        <f>G107+G97+G75+G55</f>
        <v>56637606</v>
      </c>
      <c r="H109" s="356">
        <f>H107+H97+H75+H55</f>
        <v>53521514</v>
      </c>
      <c r="I109" s="113">
        <f>H109/G109*100</f>
        <v>94.49819259662917</v>
      </c>
    </row>
    <row r="110" spans="1:9" ht="16.5">
      <c r="A110" s="124"/>
      <c r="B110" s="124"/>
      <c r="C110" s="124"/>
      <c r="D110" s="124"/>
      <c r="E110" s="124"/>
      <c r="F110" s="124"/>
      <c r="G110" s="360"/>
      <c r="H110" s="346"/>
      <c r="I110" s="113"/>
    </row>
    <row r="111" spans="1:9" ht="15.75">
      <c r="A111" s="125" t="s">
        <v>147</v>
      </c>
      <c r="B111" s="500" t="s">
        <v>148</v>
      </c>
      <c r="C111" s="500"/>
      <c r="D111" s="500"/>
      <c r="E111" s="500"/>
      <c r="F111" s="500"/>
      <c r="G111" s="351"/>
      <c r="H111" s="346"/>
      <c r="I111" s="113"/>
    </row>
    <row r="112" spans="1:9" ht="15.75">
      <c r="A112" s="18"/>
      <c r="B112" s="110" t="s">
        <v>43</v>
      </c>
      <c r="C112" s="500" t="s">
        <v>149</v>
      </c>
      <c r="D112" s="500"/>
      <c r="E112" s="500"/>
      <c r="F112" s="500"/>
      <c r="G112" s="351"/>
      <c r="H112" s="346"/>
      <c r="I112" s="113"/>
    </row>
    <row r="113" spans="1:9" ht="36" customHeight="1">
      <c r="A113" s="18"/>
      <c r="B113" s="110"/>
      <c r="C113" s="121" t="s">
        <v>43</v>
      </c>
      <c r="D113" s="513" t="s">
        <v>601</v>
      </c>
      <c r="E113" s="513"/>
      <c r="F113" s="513"/>
      <c r="G113" s="351">
        <v>12010222</v>
      </c>
      <c r="H113" s="346">
        <f>57466277-1417579+2228909</f>
        <v>58277607</v>
      </c>
      <c r="I113" s="113">
        <f>H113/G113*100</f>
        <v>485.2333870264846</v>
      </c>
    </row>
    <row r="114" spans="1:9" ht="39" customHeight="1">
      <c r="A114" s="21"/>
      <c r="B114" s="21"/>
      <c r="C114" s="384" t="s">
        <v>27</v>
      </c>
      <c r="D114" s="517" t="s">
        <v>491</v>
      </c>
      <c r="E114" s="517"/>
      <c r="F114" s="517"/>
      <c r="G114" s="352">
        <v>10000000</v>
      </c>
      <c r="H114" s="432"/>
      <c r="I114" s="113"/>
    </row>
    <row r="115" spans="1:9" ht="16.5" customHeight="1">
      <c r="A115" s="21"/>
      <c r="B115" s="21"/>
      <c r="C115" s="21" t="s">
        <v>44</v>
      </c>
      <c r="D115" s="517" t="s">
        <v>492</v>
      </c>
      <c r="E115" s="517"/>
      <c r="F115" s="517"/>
      <c r="G115" s="352">
        <v>1121209</v>
      </c>
      <c r="H115" s="489">
        <v>1417579</v>
      </c>
      <c r="I115" s="113"/>
    </row>
    <row r="116" spans="1:9" ht="16.5">
      <c r="A116" s="124" t="s">
        <v>148</v>
      </c>
      <c r="B116" s="124"/>
      <c r="C116" s="124"/>
      <c r="D116" s="124"/>
      <c r="E116" s="124"/>
      <c r="F116" s="124"/>
      <c r="G116" s="356">
        <f>G113+G114+G115</f>
        <v>23131431</v>
      </c>
      <c r="H116" s="356">
        <f>SUM(H113:H115)</f>
        <v>59695186</v>
      </c>
      <c r="I116" s="113">
        <f>H116/G116*100</f>
        <v>258.0695764131497</v>
      </c>
    </row>
    <row r="117" spans="1:9" ht="15" customHeight="1">
      <c r="A117" s="21"/>
      <c r="B117" s="21"/>
      <c r="C117" s="21"/>
      <c r="D117" s="21"/>
      <c r="E117" s="21"/>
      <c r="F117" s="21"/>
      <c r="G117" s="361"/>
      <c r="H117" s="358"/>
      <c r="I117" s="113"/>
    </row>
    <row r="118" spans="1:9" ht="18.75">
      <c r="A118" s="20" t="s">
        <v>150</v>
      </c>
      <c r="B118" s="20"/>
      <c r="C118" s="20"/>
      <c r="D118" s="20"/>
      <c r="E118" s="20"/>
      <c r="F118" s="20"/>
      <c r="G118" s="356">
        <f>G109+G116</f>
        <v>79769037</v>
      </c>
      <c r="H118" s="356">
        <f>H109+H116</f>
        <v>113216700</v>
      </c>
      <c r="I118" s="113">
        <f>H118/G118*100</f>
        <v>141.93063406293848</v>
      </c>
    </row>
    <row r="119" spans="7:9" ht="15.75">
      <c r="G119" s="345"/>
      <c r="H119" s="345"/>
      <c r="I119" s="113"/>
    </row>
    <row r="120" spans="7:9" ht="15.75">
      <c r="G120" s="345"/>
      <c r="H120" s="345"/>
      <c r="I120" s="113"/>
    </row>
    <row r="121" spans="7:8" ht="15.75">
      <c r="G121" s="345"/>
      <c r="H121" s="345"/>
    </row>
    <row r="122" spans="7:8" ht="15.75">
      <c r="G122" s="345"/>
      <c r="H122" s="345"/>
    </row>
    <row r="123" spans="7:8" ht="15.75">
      <c r="G123" s="345"/>
      <c r="H123" s="345"/>
    </row>
    <row r="124" spans="7:8" ht="15.75">
      <c r="G124" s="345"/>
      <c r="H124" s="345"/>
    </row>
    <row r="125" spans="7:8" ht="15.75">
      <c r="G125" s="345"/>
      <c r="H125" s="345"/>
    </row>
    <row r="126" spans="7:8" ht="15.75">
      <c r="G126" s="345"/>
      <c r="H126" s="345"/>
    </row>
    <row r="127" spans="7:8" ht="15.75">
      <c r="G127" s="345"/>
      <c r="H127" s="345"/>
    </row>
    <row r="128" spans="7:8" ht="15.75">
      <c r="G128" s="345"/>
      <c r="H128" s="345"/>
    </row>
    <row r="129" spans="7:8" ht="15.75">
      <c r="G129" s="345"/>
      <c r="H129" s="345"/>
    </row>
    <row r="130" spans="7:8" ht="15.75">
      <c r="G130" s="345"/>
      <c r="H130" s="345"/>
    </row>
    <row r="131" spans="7:8" ht="15.75">
      <c r="G131" s="345"/>
      <c r="H131" s="345"/>
    </row>
    <row r="132" spans="7:8" ht="15.75">
      <c r="G132" s="345"/>
      <c r="H132" s="345"/>
    </row>
    <row r="133" spans="7:8" ht="15.75">
      <c r="G133" s="345"/>
      <c r="H133" s="345"/>
    </row>
    <row r="134" spans="7:8" ht="15.75">
      <c r="G134" s="345"/>
      <c r="H134" s="345"/>
    </row>
    <row r="135" spans="7:8" ht="15.75">
      <c r="G135" s="345"/>
      <c r="H135" s="345"/>
    </row>
    <row r="136" spans="7:8" ht="15.75">
      <c r="G136" s="345"/>
      <c r="H136" s="345"/>
    </row>
    <row r="137" spans="7:8" ht="15.75">
      <c r="G137" s="345"/>
      <c r="H137" s="345"/>
    </row>
    <row r="138" spans="7:8" ht="15.75">
      <c r="G138" s="345"/>
      <c r="H138" s="345"/>
    </row>
    <row r="139" spans="7:8" ht="15.75">
      <c r="G139" s="345"/>
      <c r="H139" s="345"/>
    </row>
    <row r="140" spans="7:8" ht="15.75">
      <c r="G140" s="345"/>
      <c r="H140" s="345"/>
    </row>
    <row r="141" spans="7:8" ht="15.75">
      <c r="G141" s="345"/>
      <c r="H141" s="345"/>
    </row>
    <row r="142" spans="7:8" ht="15.75">
      <c r="G142" s="345"/>
      <c r="H142" s="345"/>
    </row>
    <row r="143" spans="7:8" ht="15.75">
      <c r="G143" s="345"/>
      <c r="H143" s="345"/>
    </row>
    <row r="144" spans="7:8" ht="15.75">
      <c r="G144" s="345"/>
      <c r="H144" s="345"/>
    </row>
    <row r="145" spans="7:8" ht="15.75">
      <c r="G145" s="345"/>
      <c r="H145" s="345"/>
    </row>
    <row r="146" spans="7:8" ht="15.75">
      <c r="G146" s="345"/>
      <c r="H146" s="345"/>
    </row>
    <row r="147" spans="7:8" ht="15.75">
      <c r="G147" s="345"/>
      <c r="H147" s="345"/>
    </row>
    <row r="148" spans="7:8" ht="15.75">
      <c r="G148" s="345"/>
      <c r="H148" s="345"/>
    </row>
    <row r="149" spans="7:8" ht="15.75">
      <c r="G149" s="345"/>
      <c r="H149" s="345"/>
    </row>
    <row r="150" spans="7:8" ht="15.75">
      <c r="G150" s="345"/>
      <c r="H150" s="345"/>
    </row>
    <row r="151" spans="7:8" ht="15.75">
      <c r="G151" s="345"/>
      <c r="H151" s="345"/>
    </row>
    <row r="152" spans="7:8" ht="15.75">
      <c r="G152" s="345"/>
      <c r="H152" s="345"/>
    </row>
    <row r="153" spans="7:8" ht="15.75">
      <c r="G153" s="345"/>
      <c r="H153" s="345"/>
    </row>
  </sheetData>
  <sheetProtection password="AF00" sheet="1"/>
  <mergeCells count="34">
    <mergeCell ref="D114:F114"/>
    <mergeCell ref="D115:F115"/>
    <mergeCell ref="C104:F104"/>
    <mergeCell ref="C112:F112"/>
    <mergeCell ref="D113:F113"/>
    <mergeCell ref="E38:F38"/>
    <mergeCell ref="D105:F105"/>
    <mergeCell ref="A107:F107"/>
    <mergeCell ref="B111:F111"/>
    <mergeCell ref="A55:F55"/>
    <mergeCell ref="C78:F78"/>
    <mergeCell ref="B56:F56"/>
    <mergeCell ref="B54:F54"/>
    <mergeCell ref="B49:F49"/>
    <mergeCell ref="C51:F51"/>
    <mergeCell ref="D52:F52"/>
    <mergeCell ref="E46:F46"/>
    <mergeCell ref="C48:F48"/>
    <mergeCell ref="C43:F43"/>
    <mergeCell ref="E15:F15"/>
    <mergeCell ref="D32:F32"/>
    <mergeCell ref="D35:F35"/>
    <mergeCell ref="D36:F36"/>
    <mergeCell ref="D14:F14"/>
    <mergeCell ref="C96:F96"/>
    <mergeCell ref="A1:I1"/>
    <mergeCell ref="A6:I6"/>
    <mergeCell ref="B12:F12"/>
    <mergeCell ref="A8:F10"/>
    <mergeCell ref="A2:I2"/>
    <mergeCell ref="A3:I3"/>
    <mergeCell ref="A4:I4"/>
    <mergeCell ref="D45:F45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.875" style="197" customWidth="1"/>
    <col min="2" max="2" width="9.125" style="197" customWidth="1"/>
    <col min="3" max="3" width="61.125" style="197" customWidth="1"/>
    <col min="4" max="7" width="26.25390625" style="197" customWidth="1"/>
    <col min="8" max="16384" width="9.125" style="197" customWidth="1"/>
  </cols>
  <sheetData>
    <row r="2" spans="2:7" s="189" customFormat="1" ht="15.75">
      <c r="B2" s="541" t="s">
        <v>608</v>
      </c>
      <c r="C2" s="541"/>
      <c r="D2" s="541"/>
      <c r="E2" s="541"/>
      <c r="F2" s="541"/>
      <c r="G2" s="541"/>
    </row>
    <row r="3" spans="3:7" s="85" customFormat="1" ht="15" customHeight="1">
      <c r="C3" s="539"/>
      <c r="D3" s="539"/>
      <c r="E3" s="539"/>
      <c r="F3" s="539"/>
      <c r="G3" s="539"/>
    </row>
    <row r="4" spans="2:7" s="191" customFormat="1" ht="15" customHeight="1">
      <c r="B4" s="540"/>
      <c r="C4" s="540"/>
      <c r="D4" s="540"/>
      <c r="E4" s="540"/>
      <c r="F4" s="540"/>
      <c r="G4" s="540"/>
    </row>
    <row r="5" spans="2:7" s="144" customFormat="1" ht="15" customHeight="1">
      <c r="B5" s="540" t="s">
        <v>40</v>
      </c>
      <c r="C5" s="540"/>
      <c r="D5" s="540"/>
      <c r="E5" s="540"/>
      <c r="F5" s="540"/>
      <c r="G5" s="540"/>
    </row>
    <row r="6" spans="2:7" s="144" customFormat="1" ht="15.75" customHeight="1">
      <c r="B6" s="542" t="s">
        <v>288</v>
      </c>
      <c r="C6" s="542"/>
      <c r="D6" s="542"/>
      <c r="E6" s="542"/>
      <c r="F6" s="542"/>
      <c r="G6" s="542"/>
    </row>
    <row r="7" spans="3:7" s="144" customFormat="1" ht="15" customHeight="1">
      <c r="C7" s="540" t="s">
        <v>535</v>
      </c>
      <c r="D7" s="540"/>
      <c r="E7" s="540"/>
      <c r="F7" s="540"/>
      <c r="G7" s="540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23.25" customHeight="1" thickBot="1">
      <c r="A9" s="519" t="s">
        <v>474</v>
      </c>
      <c r="B9" s="522" t="s">
        <v>179</v>
      </c>
      <c r="C9" s="525" t="s">
        <v>180</v>
      </c>
      <c r="D9" s="528" t="s">
        <v>289</v>
      </c>
      <c r="E9" s="531" t="s">
        <v>290</v>
      </c>
      <c r="F9" s="531"/>
      <c r="G9" s="532"/>
    </row>
    <row r="10" spans="1:7" s="189" customFormat="1" ht="39.75" customHeight="1" thickBot="1">
      <c r="A10" s="520"/>
      <c r="B10" s="523"/>
      <c r="C10" s="526"/>
      <c r="D10" s="529"/>
      <c r="E10" s="366" t="s">
        <v>291</v>
      </c>
      <c r="F10" s="367" t="s">
        <v>292</v>
      </c>
      <c r="G10" s="368" t="s">
        <v>293</v>
      </c>
    </row>
    <row r="11" spans="1:7" s="189" customFormat="1" ht="22.5" customHeight="1">
      <c r="A11" s="520"/>
      <c r="B11" s="523"/>
      <c r="C11" s="526"/>
      <c r="D11" s="529"/>
      <c r="E11" s="533" t="s">
        <v>294</v>
      </c>
      <c r="F11" s="534"/>
      <c r="G11" s="535"/>
    </row>
    <row r="12" spans="1:7" ht="21.75" customHeight="1" thickBot="1">
      <c r="A12" s="521"/>
      <c r="B12" s="524"/>
      <c r="C12" s="527"/>
      <c r="D12" s="530"/>
      <c r="E12" s="536"/>
      <c r="F12" s="537"/>
      <c r="G12" s="538"/>
    </row>
    <row r="13" spans="1:7" ht="30">
      <c r="A13" s="369" t="s">
        <v>43</v>
      </c>
      <c r="B13" s="362" t="s">
        <v>196</v>
      </c>
      <c r="C13" s="198" t="s">
        <v>197</v>
      </c>
      <c r="D13" s="199">
        <f>SUM(E13:G13)</f>
        <v>128800</v>
      </c>
      <c r="E13" s="199">
        <v>7000</v>
      </c>
      <c r="F13" s="199">
        <v>121800</v>
      </c>
      <c r="G13" s="200"/>
    </row>
    <row r="14" spans="1:7" ht="15">
      <c r="A14" s="365" t="s">
        <v>27</v>
      </c>
      <c r="B14" s="363" t="s">
        <v>198</v>
      </c>
      <c r="C14" s="137" t="s">
        <v>36</v>
      </c>
      <c r="D14" s="201">
        <f aca="true" t="shared" si="0" ref="D14:D20">SUM(E14:G14)</f>
        <v>51800</v>
      </c>
      <c r="E14" s="201">
        <v>51800</v>
      </c>
      <c r="F14" s="201"/>
      <c r="G14" s="202"/>
    </row>
    <row r="15" spans="1:7" ht="15">
      <c r="A15" s="365" t="s">
        <v>44</v>
      </c>
      <c r="B15" s="363" t="s">
        <v>199</v>
      </c>
      <c r="C15" s="137" t="s">
        <v>200</v>
      </c>
      <c r="D15" s="201">
        <f t="shared" si="0"/>
        <v>956117</v>
      </c>
      <c r="E15" s="201">
        <v>820000</v>
      </c>
      <c r="F15" s="201">
        <f>85179+2000+20000+28938</f>
        <v>136117</v>
      </c>
      <c r="G15" s="202"/>
    </row>
    <row r="16" spans="1:7" ht="15">
      <c r="A16" s="365" t="s">
        <v>100</v>
      </c>
      <c r="B16" s="363" t="s">
        <v>295</v>
      </c>
      <c r="C16" s="137" t="s">
        <v>296</v>
      </c>
      <c r="D16" s="201">
        <f t="shared" si="0"/>
        <v>35442468</v>
      </c>
      <c r="E16" s="201">
        <v>35442468</v>
      </c>
      <c r="F16" s="201"/>
      <c r="G16" s="202"/>
    </row>
    <row r="17" spans="1:7" ht="15">
      <c r="A17" s="365" t="s">
        <v>101</v>
      </c>
      <c r="B17" s="363" t="s">
        <v>476</v>
      </c>
      <c r="C17" s="137" t="s">
        <v>477</v>
      </c>
      <c r="D17" s="201">
        <f t="shared" si="0"/>
        <v>59695186</v>
      </c>
      <c r="E17" s="201">
        <f>57466277+2228909</f>
        <v>59695186</v>
      </c>
      <c r="F17" s="201"/>
      <c r="G17" s="202"/>
    </row>
    <row r="18" spans="1:7" ht="15">
      <c r="A18" s="365" t="s">
        <v>107</v>
      </c>
      <c r="B18" s="363" t="s">
        <v>203</v>
      </c>
      <c r="C18" s="137" t="s">
        <v>204</v>
      </c>
      <c r="D18" s="201">
        <f t="shared" si="0"/>
        <v>5907694</v>
      </c>
      <c r="E18" s="201">
        <v>5907694</v>
      </c>
      <c r="F18" s="201"/>
      <c r="G18" s="202"/>
    </row>
    <row r="19" spans="1:7" ht="15">
      <c r="A19" s="365" t="s">
        <v>242</v>
      </c>
      <c r="B19" s="364">
        <v>104051</v>
      </c>
      <c r="C19" s="137" t="s">
        <v>356</v>
      </c>
      <c r="D19" s="201">
        <f t="shared" si="0"/>
        <v>46400</v>
      </c>
      <c r="E19" s="201"/>
      <c r="F19" s="201"/>
      <c r="G19" s="202">
        <v>46400</v>
      </c>
    </row>
    <row r="20" spans="1:7" ht="30.75" thickBot="1">
      <c r="A20" s="365" t="s">
        <v>244</v>
      </c>
      <c r="B20" s="364">
        <v>900020</v>
      </c>
      <c r="C20" s="137" t="s">
        <v>301</v>
      </c>
      <c r="D20" s="201">
        <f t="shared" si="0"/>
        <v>7808000</v>
      </c>
      <c r="E20" s="201">
        <v>7808000</v>
      </c>
      <c r="F20" s="201"/>
      <c r="G20" s="202"/>
    </row>
    <row r="21" spans="1:7" ht="30" customHeight="1" thickBot="1">
      <c r="A21" s="480" t="s">
        <v>246</v>
      </c>
      <c r="B21" s="481"/>
      <c r="C21" s="467" t="s">
        <v>549</v>
      </c>
      <c r="D21" s="469">
        <f>SUM(D13:D20)</f>
        <v>110036465</v>
      </c>
      <c r="E21" s="469">
        <f>SUM(E13:E20)</f>
        <v>109732148</v>
      </c>
      <c r="F21" s="469">
        <f>SUM(F13:F20)</f>
        <v>257917</v>
      </c>
      <c r="G21" s="469">
        <f>SUM(G13:G20)</f>
        <v>46400</v>
      </c>
    </row>
    <row r="23" spans="1:7" ht="15">
      <c r="A23" s="365" t="s">
        <v>252</v>
      </c>
      <c r="B23" s="363" t="s">
        <v>297</v>
      </c>
      <c r="C23" s="137" t="s">
        <v>298</v>
      </c>
      <c r="D23" s="201">
        <f>SUM(E23:G23)</f>
        <v>422725</v>
      </c>
      <c r="E23" s="201">
        <v>422725</v>
      </c>
      <c r="F23" s="201"/>
      <c r="G23" s="202"/>
    </row>
    <row r="24" spans="1:7" ht="15">
      <c r="A24" s="365" t="s">
        <v>254</v>
      </c>
      <c r="B24" s="363" t="s">
        <v>299</v>
      </c>
      <c r="C24" s="137" t="s">
        <v>300</v>
      </c>
      <c r="D24" s="201">
        <f>SUM(E24:G24)</f>
        <v>166287</v>
      </c>
      <c r="E24" s="201"/>
      <c r="F24" s="201">
        <v>166287</v>
      </c>
      <c r="G24" s="202"/>
    </row>
    <row r="25" spans="1:7" ht="15">
      <c r="A25" s="365" t="s">
        <v>256</v>
      </c>
      <c r="B25" s="363" t="s">
        <v>299</v>
      </c>
      <c r="C25" s="139" t="s">
        <v>438</v>
      </c>
      <c r="D25" s="201">
        <f>SUM(E25:G25)</f>
        <v>745507</v>
      </c>
      <c r="E25" s="201"/>
      <c r="F25" s="201">
        <v>745507</v>
      </c>
      <c r="G25" s="202"/>
    </row>
    <row r="26" spans="1:7" ht="15.75" thickBot="1">
      <c r="A26" s="461" t="s">
        <v>261</v>
      </c>
      <c r="B26" s="364" t="s">
        <v>220</v>
      </c>
      <c r="C26" s="441" t="s">
        <v>354</v>
      </c>
      <c r="D26" s="465">
        <f>SUM(E26:G26)</f>
        <v>1845716</v>
      </c>
      <c r="E26" s="465">
        <v>1845716</v>
      </c>
      <c r="F26" s="465"/>
      <c r="G26" s="466"/>
    </row>
    <row r="27" spans="1:7" ht="15" thickBot="1">
      <c r="A27" s="203" t="s">
        <v>263</v>
      </c>
      <c r="B27" s="203"/>
      <c r="C27" s="454" t="s">
        <v>552</v>
      </c>
      <c r="D27" s="482">
        <f>D23+D24+D25+D26</f>
        <v>3180235</v>
      </c>
      <c r="E27" s="482">
        <f>E23+E24+E25+E26</f>
        <v>2268441</v>
      </c>
      <c r="F27" s="482">
        <f>F23+F24+F25+F26</f>
        <v>911794</v>
      </c>
      <c r="G27" s="482">
        <f>G23+G24+G25+G26</f>
        <v>0</v>
      </c>
    </row>
    <row r="28" spans="1:7" ht="16.5" thickBot="1">
      <c r="A28" s="491" t="s">
        <v>265</v>
      </c>
      <c r="B28" s="203"/>
      <c r="C28" s="455" t="s">
        <v>553</v>
      </c>
      <c r="D28" s="482">
        <f>D21+D27</f>
        <v>113216700</v>
      </c>
      <c r="E28" s="482">
        <f>E21+E27</f>
        <v>112000589</v>
      </c>
      <c r="F28" s="482">
        <f>F21+F27</f>
        <v>1169711</v>
      </c>
      <c r="G28" s="482">
        <f>G21+G27</f>
        <v>46400</v>
      </c>
    </row>
  </sheetData>
  <sheetProtection password="AF00" sheet="1"/>
  <mergeCells count="12">
    <mergeCell ref="C3:G3"/>
    <mergeCell ref="C7:G7"/>
    <mergeCell ref="B2:G2"/>
    <mergeCell ref="B4:G4"/>
    <mergeCell ref="B5:G5"/>
    <mergeCell ref="B6:G6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7"/>
  <sheetViews>
    <sheetView zoomScalePageLayoutView="0" workbookViewId="0" topLeftCell="A1">
      <selection activeCell="B3" sqref="B3:T3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41" t="s">
        <v>609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</row>
    <row r="2" spans="2:17" ht="15.75" customHeight="1"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2:20" s="135" customFormat="1" ht="15.75" customHeight="1"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</row>
    <row r="4" spans="2:17" s="135" customFormat="1" ht="15.7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2:20" s="135" customFormat="1" ht="15.75" customHeight="1">
      <c r="B5" s="546" t="s">
        <v>40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</row>
    <row r="6" spans="2:20" s="135" customFormat="1" ht="15.75" customHeight="1">
      <c r="B6" s="546" t="s">
        <v>178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2:20" s="135" customFormat="1" ht="15.75" customHeight="1">
      <c r="B7" s="546" t="s">
        <v>534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</row>
    <row r="8" spans="19:20" s="135" customFormat="1" ht="15.75" thickBot="1">
      <c r="S8" s="554" t="s">
        <v>475</v>
      </c>
      <c r="T8" s="554"/>
    </row>
    <row r="9" spans="1:20" s="136" customFormat="1" ht="20.25" customHeight="1" thickBot="1">
      <c r="A9" s="582" t="s">
        <v>474</v>
      </c>
      <c r="B9" s="579" t="s">
        <v>179</v>
      </c>
      <c r="C9" s="576" t="s">
        <v>180</v>
      </c>
      <c r="D9" s="543" t="s">
        <v>181</v>
      </c>
      <c r="E9" s="560" t="s">
        <v>182</v>
      </c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  <c r="S9" s="555" t="s">
        <v>3</v>
      </c>
      <c r="T9" s="556"/>
    </row>
    <row r="10" spans="1:20" s="136" customFormat="1" ht="38.25" customHeight="1" thickBot="1">
      <c r="A10" s="583"/>
      <c r="B10" s="580"/>
      <c r="C10" s="577"/>
      <c r="D10" s="544"/>
      <c r="E10" s="573" t="s">
        <v>72</v>
      </c>
      <c r="F10" s="574"/>
      <c r="G10" s="574"/>
      <c r="H10" s="574"/>
      <c r="I10" s="574"/>
      <c r="J10" s="575"/>
      <c r="K10" s="563" t="s">
        <v>73</v>
      </c>
      <c r="L10" s="564"/>
      <c r="M10" s="564"/>
      <c r="N10" s="565"/>
      <c r="O10" s="570" t="s">
        <v>183</v>
      </c>
      <c r="P10" s="571"/>
      <c r="Q10" s="571"/>
      <c r="R10" s="572"/>
      <c r="S10" s="568" t="s">
        <v>8</v>
      </c>
      <c r="T10" s="569"/>
    </row>
    <row r="11" spans="1:20" s="136" customFormat="1" ht="21" customHeight="1" thickBot="1">
      <c r="A11" s="583"/>
      <c r="B11" s="580"/>
      <c r="C11" s="577"/>
      <c r="D11" s="544"/>
      <c r="E11" s="543" t="s">
        <v>184</v>
      </c>
      <c r="F11" s="543" t="s">
        <v>185</v>
      </c>
      <c r="G11" s="543" t="s">
        <v>186</v>
      </c>
      <c r="H11" s="543" t="s">
        <v>187</v>
      </c>
      <c r="I11" s="543" t="s">
        <v>188</v>
      </c>
      <c r="J11" s="547" t="s">
        <v>189</v>
      </c>
      <c r="K11" s="557" t="s">
        <v>190</v>
      </c>
      <c r="L11" s="557" t="s">
        <v>74</v>
      </c>
      <c r="M11" s="543" t="s">
        <v>302</v>
      </c>
      <c r="N11" s="551" t="s">
        <v>303</v>
      </c>
      <c r="O11" s="543" t="s">
        <v>439</v>
      </c>
      <c r="P11" s="543" t="s">
        <v>191</v>
      </c>
      <c r="Q11" s="543" t="s">
        <v>192</v>
      </c>
      <c r="R11" s="551" t="s">
        <v>304</v>
      </c>
      <c r="S11" s="187" t="s">
        <v>193</v>
      </c>
      <c r="T11" s="188" t="s">
        <v>194</v>
      </c>
    </row>
    <row r="12" spans="1:20" s="136" customFormat="1" ht="18.75" customHeight="1">
      <c r="A12" s="583"/>
      <c r="B12" s="580"/>
      <c r="C12" s="577"/>
      <c r="D12" s="544"/>
      <c r="E12" s="544"/>
      <c r="F12" s="544"/>
      <c r="G12" s="544"/>
      <c r="H12" s="544"/>
      <c r="I12" s="544"/>
      <c r="J12" s="548"/>
      <c r="K12" s="558"/>
      <c r="L12" s="558"/>
      <c r="M12" s="544"/>
      <c r="N12" s="552"/>
      <c r="O12" s="544"/>
      <c r="P12" s="544"/>
      <c r="Q12" s="544"/>
      <c r="R12" s="552"/>
      <c r="S12" s="566" t="s">
        <v>195</v>
      </c>
      <c r="T12" s="567"/>
    </row>
    <row r="13" spans="1:20" s="136" customFormat="1" ht="20.25" customHeight="1" thickBot="1">
      <c r="A13" s="584"/>
      <c r="B13" s="581"/>
      <c r="C13" s="578"/>
      <c r="D13" s="545"/>
      <c r="E13" s="545"/>
      <c r="F13" s="545"/>
      <c r="G13" s="545"/>
      <c r="H13" s="545"/>
      <c r="I13" s="545"/>
      <c r="J13" s="549"/>
      <c r="K13" s="559"/>
      <c r="L13" s="559"/>
      <c r="M13" s="545"/>
      <c r="N13" s="553"/>
      <c r="O13" s="545"/>
      <c r="P13" s="545"/>
      <c r="Q13" s="545"/>
      <c r="R13" s="553"/>
      <c r="S13" s="568"/>
      <c r="T13" s="569"/>
    </row>
    <row r="14" spans="1:20" s="135" customFormat="1" ht="30">
      <c r="A14" s="419" t="s">
        <v>43</v>
      </c>
      <c r="B14" s="417" t="s">
        <v>196</v>
      </c>
      <c r="C14" s="137" t="s">
        <v>197</v>
      </c>
      <c r="D14" s="378">
        <f>J14+N14+P14+Q14</f>
        <v>18751038</v>
      </c>
      <c r="E14" s="370">
        <v>12122418</v>
      </c>
      <c r="F14" s="371">
        <v>2531780</v>
      </c>
      <c r="G14" s="371">
        <v>3646740</v>
      </c>
      <c r="H14" s="371"/>
      <c r="I14" s="371">
        <v>348500</v>
      </c>
      <c r="J14" s="372">
        <f aca="true" t="shared" si="0" ref="J14:J36">SUM(E14:I14)</f>
        <v>18649438</v>
      </c>
      <c r="K14" s="373">
        <v>101600</v>
      </c>
      <c r="L14" s="373"/>
      <c r="M14" s="373"/>
      <c r="N14" s="374">
        <f>SUM(K14:M14)</f>
        <v>101600</v>
      </c>
      <c r="O14" s="374"/>
      <c r="P14" s="375"/>
      <c r="Q14" s="376"/>
      <c r="R14" s="376"/>
      <c r="S14" s="424">
        <f>0.5+0.1+0.2-0.3</f>
        <v>0.5</v>
      </c>
      <c r="T14" s="425">
        <v>0.5</v>
      </c>
    </row>
    <row r="15" spans="1:20" s="135" customFormat="1" ht="15">
      <c r="A15" s="419" t="s">
        <v>27</v>
      </c>
      <c r="B15" s="363" t="s">
        <v>198</v>
      </c>
      <c r="C15" s="137" t="s">
        <v>36</v>
      </c>
      <c r="D15" s="378">
        <f aca="true" t="shared" si="1" ref="D15:D36">J15+N15+P15+Q15</f>
        <v>68150</v>
      </c>
      <c r="E15" s="370"/>
      <c r="F15" s="371"/>
      <c r="G15" s="371">
        <v>68150</v>
      </c>
      <c r="H15" s="371"/>
      <c r="I15" s="371"/>
      <c r="J15" s="372">
        <f t="shared" si="0"/>
        <v>68150</v>
      </c>
      <c r="K15" s="373"/>
      <c r="L15" s="373"/>
      <c r="M15" s="373"/>
      <c r="N15" s="374"/>
      <c r="O15" s="374"/>
      <c r="P15" s="375"/>
      <c r="Q15" s="376"/>
      <c r="R15" s="376"/>
      <c r="S15" s="426"/>
      <c r="T15" s="427"/>
    </row>
    <row r="16" spans="1:20" s="135" customFormat="1" ht="29.25" customHeight="1">
      <c r="A16" s="419" t="s">
        <v>44</v>
      </c>
      <c r="B16" s="363" t="s">
        <v>199</v>
      </c>
      <c r="C16" s="137" t="s">
        <v>200</v>
      </c>
      <c r="D16" s="378">
        <f>J16+N16+R16</f>
        <v>282890</v>
      </c>
      <c r="E16" s="370"/>
      <c r="F16" s="371"/>
      <c r="G16" s="371">
        <v>282890</v>
      </c>
      <c r="H16" s="371"/>
      <c r="I16" s="371"/>
      <c r="J16" s="372">
        <f t="shared" si="0"/>
        <v>282890</v>
      </c>
      <c r="K16" s="373"/>
      <c r="L16" s="373"/>
      <c r="M16" s="373"/>
      <c r="N16" s="374">
        <f>SUM(K16:M16)</f>
        <v>0</v>
      </c>
      <c r="O16" s="374"/>
      <c r="P16" s="375"/>
      <c r="Q16" s="376"/>
      <c r="R16" s="376"/>
      <c r="S16" s="428"/>
      <c r="T16" s="427"/>
    </row>
    <row r="17" spans="1:20" s="135" customFormat="1" ht="30" customHeight="1">
      <c r="A17" s="419" t="s">
        <v>100</v>
      </c>
      <c r="B17" s="363" t="s">
        <v>295</v>
      </c>
      <c r="C17" s="137" t="s">
        <v>296</v>
      </c>
      <c r="D17" s="378">
        <f>J17+N17+R17</f>
        <v>1417579</v>
      </c>
      <c r="E17" s="370"/>
      <c r="F17" s="371"/>
      <c r="G17" s="371"/>
      <c r="H17" s="371"/>
      <c r="I17" s="371"/>
      <c r="J17" s="372">
        <f t="shared" si="0"/>
        <v>0</v>
      </c>
      <c r="K17" s="373"/>
      <c r="L17" s="373"/>
      <c r="M17" s="373"/>
      <c r="N17" s="374">
        <f>SUM(K17:M17)</f>
        <v>0</v>
      </c>
      <c r="O17" s="374">
        <v>1417579</v>
      </c>
      <c r="P17" s="375"/>
      <c r="Q17" s="376"/>
      <c r="R17" s="376">
        <f>O17+P17+Q17</f>
        <v>1417579</v>
      </c>
      <c r="S17" s="424"/>
      <c r="T17" s="427"/>
    </row>
    <row r="18" spans="1:20" s="135" customFormat="1" ht="18.75" customHeight="1">
      <c r="A18" s="419" t="s">
        <v>101</v>
      </c>
      <c r="B18" s="363" t="s">
        <v>547</v>
      </c>
      <c r="C18" s="137" t="s">
        <v>548</v>
      </c>
      <c r="D18" s="378">
        <f>J18+N18+R18</f>
        <v>180996</v>
      </c>
      <c r="E18" s="370">
        <v>163059</v>
      </c>
      <c r="F18" s="371">
        <v>17937</v>
      </c>
      <c r="G18" s="371"/>
      <c r="H18" s="371"/>
      <c r="I18" s="371"/>
      <c r="J18" s="372">
        <f t="shared" si="0"/>
        <v>180996</v>
      </c>
      <c r="K18" s="373"/>
      <c r="L18" s="373"/>
      <c r="M18" s="373"/>
      <c r="N18" s="374"/>
      <c r="O18" s="374"/>
      <c r="P18" s="375"/>
      <c r="Q18" s="376"/>
      <c r="R18" s="376"/>
      <c r="S18" s="424"/>
      <c r="T18" s="427"/>
    </row>
    <row r="19" spans="1:20" s="135" customFormat="1" ht="30" customHeight="1">
      <c r="A19" s="419" t="s">
        <v>107</v>
      </c>
      <c r="B19" s="363" t="s">
        <v>478</v>
      </c>
      <c r="C19" s="137" t="s">
        <v>479</v>
      </c>
      <c r="D19" s="378">
        <f>J19+N19+R19</f>
        <v>56109396</v>
      </c>
      <c r="E19" s="370"/>
      <c r="F19" s="371"/>
      <c r="G19" s="371"/>
      <c r="H19" s="371"/>
      <c r="I19" s="371"/>
      <c r="J19" s="372"/>
      <c r="K19" s="373"/>
      <c r="L19" s="373">
        <f>53880487+2228909</f>
        <v>56109396</v>
      </c>
      <c r="M19" s="373"/>
      <c r="N19" s="374">
        <f>SUM(K19:M19)</f>
        <v>56109396</v>
      </c>
      <c r="O19" s="374"/>
      <c r="P19" s="375"/>
      <c r="Q19" s="376"/>
      <c r="R19" s="376"/>
      <c r="S19" s="424"/>
      <c r="T19" s="427"/>
    </row>
    <row r="20" spans="1:20" s="135" customFormat="1" ht="30">
      <c r="A20" s="419" t="s">
        <v>242</v>
      </c>
      <c r="B20" s="363" t="s">
        <v>201</v>
      </c>
      <c r="C20" s="137" t="s">
        <v>202</v>
      </c>
      <c r="D20" s="378">
        <f>J20+N20+P20+Q20</f>
        <v>26670</v>
      </c>
      <c r="E20" s="370"/>
      <c r="F20" s="371"/>
      <c r="G20" s="371">
        <v>26670</v>
      </c>
      <c r="H20" s="371"/>
      <c r="I20" s="371"/>
      <c r="J20" s="372">
        <f t="shared" si="0"/>
        <v>26670</v>
      </c>
      <c r="K20" s="373"/>
      <c r="L20" s="373"/>
      <c r="M20" s="373"/>
      <c r="N20" s="374">
        <f>SUM(K20:M20)</f>
        <v>0</v>
      </c>
      <c r="O20" s="374"/>
      <c r="P20" s="375"/>
      <c r="Q20" s="376"/>
      <c r="R20" s="376"/>
      <c r="S20" s="424"/>
      <c r="T20" s="427"/>
    </row>
    <row r="21" spans="1:20" s="135" customFormat="1" ht="15">
      <c r="A21" s="419" t="s">
        <v>244</v>
      </c>
      <c r="B21" s="363" t="s">
        <v>445</v>
      </c>
      <c r="C21" s="137" t="s">
        <v>446</v>
      </c>
      <c r="D21" s="378">
        <f>J21+N21+P21+Q21</f>
        <v>19050</v>
      </c>
      <c r="E21" s="370"/>
      <c r="F21" s="371"/>
      <c r="G21" s="371">
        <v>19050</v>
      </c>
      <c r="H21" s="371"/>
      <c r="I21" s="371"/>
      <c r="J21" s="372">
        <f t="shared" si="0"/>
        <v>19050</v>
      </c>
      <c r="K21" s="373"/>
      <c r="L21" s="373"/>
      <c r="M21" s="373"/>
      <c r="N21" s="374">
        <f>SUM(K21:M21)</f>
        <v>0</v>
      </c>
      <c r="O21" s="374"/>
      <c r="P21" s="375"/>
      <c r="Q21" s="376"/>
      <c r="R21" s="376"/>
      <c r="S21" s="424"/>
      <c r="T21" s="427"/>
    </row>
    <row r="22" spans="1:20" s="135" customFormat="1" ht="30">
      <c r="A22" s="419" t="s">
        <v>246</v>
      </c>
      <c r="B22" s="363" t="s">
        <v>203</v>
      </c>
      <c r="C22" s="137" t="s">
        <v>204</v>
      </c>
      <c r="D22" s="378">
        <f>J22+N22+P22+Q22</f>
        <v>5907694</v>
      </c>
      <c r="E22" s="370"/>
      <c r="F22" s="371"/>
      <c r="G22" s="371">
        <v>4407694</v>
      </c>
      <c r="H22" s="371"/>
      <c r="I22" s="371"/>
      <c r="J22" s="372">
        <f t="shared" si="0"/>
        <v>4407694</v>
      </c>
      <c r="K22" s="373"/>
      <c r="L22" s="373">
        <v>1500000</v>
      </c>
      <c r="M22" s="373"/>
      <c r="N22" s="374">
        <f>SUM(K22:M22)</f>
        <v>1500000</v>
      </c>
      <c r="O22" s="374"/>
      <c r="P22" s="375"/>
      <c r="Q22" s="376"/>
      <c r="R22" s="376"/>
      <c r="S22" s="428"/>
      <c r="T22" s="427"/>
    </row>
    <row r="23" spans="1:20" s="135" customFormat="1" ht="15">
      <c r="A23" s="419" t="s">
        <v>252</v>
      </c>
      <c r="B23" s="363" t="s">
        <v>205</v>
      </c>
      <c r="C23" s="137" t="s">
        <v>206</v>
      </c>
      <c r="D23" s="378">
        <f>J23+N23+P23+Q23</f>
        <v>1000000</v>
      </c>
      <c r="E23" s="370"/>
      <c r="F23" s="371"/>
      <c r="G23" s="371"/>
      <c r="H23" s="371"/>
      <c r="I23" s="371"/>
      <c r="J23" s="372"/>
      <c r="K23" s="373"/>
      <c r="L23" s="373"/>
      <c r="M23" s="373">
        <v>1000000</v>
      </c>
      <c r="N23" s="374">
        <f>SUM(K23:M23)</f>
        <v>1000000</v>
      </c>
      <c r="O23" s="374"/>
      <c r="P23" s="375"/>
      <c r="Q23" s="376"/>
      <c r="R23" s="376"/>
      <c r="S23" s="428"/>
      <c r="T23" s="427"/>
    </row>
    <row r="24" spans="1:20" s="135" customFormat="1" ht="15">
      <c r="A24" s="419" t="s">
        <v>254</v>
      </c>
      <c r="B24" s="363" t="s">
        <v>207</v>
      </c>
      <c r="C24" s="137" t="s">
        <v>208</v>
      </c>
      <c r="D24" s="378">
        <f t="shared" si="1"/>
        <v>1952752</v>
      </c>
      <c r="E24" s="370"/>
      <c r="F24" s="371"/>
      <c r="G24" s="371">
        <v>1952752</v>
      </c>
      <c r="H24" s="373"/>
      <c r="I24" s="371"/>
      <c r="J24" s="372">
        <f t="shared" si="0"/>
        <v>1952752</v>
      </c>
      <c r="K24" s="373"/>
      <c r="L24" s="373"/>
      <c r="M24" s="373"/>
      <c r="N24" s="374"/>
      <c r="O24" s="374"/>
      <c r="P24" s="375"/>
      <c r="Q24" s="376"/>
      <c r="R24" s="376"/>
      <c r="S24" s="428"/>
      <c r="T24" s="427"/>
    </row>
    <row r="25" spans="1:20" s="135" customFormat="1" ht="15">
      <c r="A25" s="419" t="s">
        <v>256</v>
      </c>
      <c r="B25" s="363" t="s">
        <v>209</v>
      </c>
      <c r="C25" s="137" t="s">
        <v>210</v>
      </c>
      <c r="D25" s="378">
        <f t="shared" si="1"/>
        <v>635000</v>
      </c>
      <c r="E25" s="370"/>
      <c r="F25" s="371"/>
      <c r="G25" s="371">
        <v>635000</v>
      </c>
      <c r="H25" s="373"/>
      <c r="I25" s="371"/>
      <c r="J25" s="372">
        <f t="shared" si="0"/>
        <v>635000</v>
      </c>
      <c r="K25" s="373"/>
      <c r="L25" s="373"/>
      <c r="M25" s="373"/>
      <c r="N25" s="374"/>
      <c r="O25" s="374"/>
      <c r="P25" s="375"/>
      <c r="Q25" s="376"/>
      <c r="R25" s="376"/>
      <c r="S25" s="428"/>
      <c r="T25" s="427"/>
    </row>
    <row r="26" spans="1:20" s="135" customFormat="1" ht="30">
      <c r="A26" s="419" t="s">
        <v>261</v>
      </c>
      <c r="B26" s="363" t="s">
        <v>211</v>
      </c>
      <c r="C26" s="137" t="s">
        <v>212</v>
      </c>
      <c r="D26" s="378">
        <f t="shared" si="1"/>
        <v>3596414</v>
      </c>
      <c r="E26" s="370">
        <v>2155000</v>
      </c>
      <c r="F26" s="371">
        <v>390308</v>
      </c>
      <c r="G26" s="371">
        <v>1051106</v>
      </c>
      <c r="H26" s="373"/>
      <c r="I26" s="371"/>
      <c r="J26" s="372">
        <f t="shared" si="0"/>
        <v>3596414</v>
      </c>
      <c r="K26" s="373"/>
      <c r="L26" s="373"/>
      <c r="M26" s="373"/>
      <c r="N26" s="374">
        <f>SUM(K26:M26)</f>
        <v>0</v>
      </c>
      <c r="O26" s="374"/>
      <c r="P26" s="375"/>
      <c r="Q26" s="376"/>
      <c r="R26" s="376"/>
      <c r="S26" s="428">
        <v>1</v>
      </c>
      <c r="T26" s="427">
        <v>1</v>
      </c>
    </row>
    <row r="27" spans="1:20" s="135" customFormat="1" ht="15">
      <c r="A27" s="419" t="s">
        <v>263</v>
      </c>
      <c r="B27" s="363" t="s">
        <v>213</v>
      </c>
      <c r="C27" s="137" t="s">
        <v>34</v>
      </c>
      <c r="D27" s="378">
        <f t="shared" si="1"/>
        <v>125730</v>
      </c>
      <c r="E27" s="370"/>
      <c r="F27" s="371"/>
      <c r="G27" s="371">
        <v>125730</v>
      </c>
      <c r="H27" s="373"/>
      <c r="I27" s="371"/>
      <c r="J27" s="372">
        <f t="shared" si="0"/>
        <v>125730</v>
      </c>
      <c r="K27" s="373"/>
      <c r="L27" s="373"/>
      <c r="M27" s="373"/>
      <c r="N27" s="374">
        <f aca="true" t="shared" si="2" ref="N27:N36">SUM(K27:M27)</f>
        <v>0</v>
      </c>
      <c r="O27" s="374"/>
      <c r="P27" s="375"/>
      <c r="Q27" s="376"/>
      <c r="R27" s="376"/>
      <c r="S27" s="428"/>
      <c r="T27" s="427"/>
    </row>
    <row r="28" spans="1:20" s="135" customFormat="1" ht="31.5" customHeight="1">
      <c r="A28" s="419" t="s">
        <v>265</v>
      </c>
      <c r="B28" s="363" t="s">
        <v>214</v>
      </c>
      <c r="C28" s="137" t="s">
        <v>215</v>
      </c>
      <c r="D28" s="378">
        <f t="shared" si="1"/>
        <v>675000</v>
      </c>
      <c r="E28" s="370"/>
      <c r="F28" s="371"/>
      <c r="G28" s="371"/>
      <c r="H28" s="371"/>
      <c r="I28" s="371">
        <v>675000</v>
      </c>
      <c r="J28" s="372">
        <f t="shared" si="0"/>
        <v>675000</v>
      </c>
      <c r="K28" s="373"/>
      <c r="L28" s="373"/>
      <c r="M28" s="373"/>
      <c r="N28" s="374">
        <f t="shared" si="2"/>
        <v>0</v>
      </c>
      <c r="O28" s="374"/>
      <c r="P28" s="375"/>
      <c r="Q28" s="376"/>
      <c r="R28" s="376"/>
      <c r="S28" s="428"/>
      <c r="T28" s="427"/>
    </row>
    <row r="29" spans="1:20" s="135" customFormat="1" ht="15">
      <c r="A29" s="419" t="s">
        <v>272</v>
      </c>
      <c r="B29" s="363" t="s">
        <v>216</v>
      </c>
      <c r="C29" s="137" t="s">
        <v>37</v>
      </c>
      <c r="D29" s="378">
        <f t="shared" si="1"/>
        <v>966076</v>
      </c>
      <c r="E29" s="370">
        <v>586500</v>
      </c>
      <c r="F29" s="371">
        <v>117067</v>
      </c>
      <c r="G29" s="371">
        <v>82550</v>
      </c>
      <c r="H29" s="371"/>
      <c r="I29" s="371"/>
      <c r="J29" s="372">
        <f t="shared" si="0"/>
        <v>786117</v>
      </c>
      <c r="K29" s="373">
        <v>179959</v>
      </c>
      <c r="L29" s="373"/>
      <c r="M29" s="373"/>
      <c r="N29" s="374">
        <f t="shared" si="2"/>
        <v>179959</v>
      </c>
      <c r="O29" s="374"/>
      <c r="P29" s="375"/>
      <c r="Q29" s="376"/>
      <c r="R29" s="376"/>
      <c r="S29" s="428">
        <v>0.2</v>
      </c>
      <c r="T29" s="427">
        <v>0.2</v>
      </c>
    </row>
    <row r="30" spans="1:20" s="135" customFormat="1" ht="30">
      <c r="A30" s="419" t="s">
        <v>275</v>
      </c>
      <c r="B30" s="363" t="s">
        <v>440</v>
      </c>
      <c r="C30" s="137" t="s">
        <v>441</v>
      </c>
      <c r="D30" s="378">
        <f t="shared" si="1"/>
        <v>3222229</v>
      </c>
      <c r="E30" s="370">
        <v>2154350</v>
      </c>
      <c r="F30" s="371">
        <v>432499</v>
      </c>
      <c r="G30" s="371">
        <v>635380</v>
      </c>
      <c r="H30" s="371"/>
      <c r="I30" s="371"/>
      <c r="J30" s="372">
        <f>SUM(E30:I30)</f>
        <v>3222229</v>
      </c>
      <c r="K30" s="373"/>
      <c r="L30" s="373"/>
      <c r="M30" s="373"/>
      <c r="N30" s="374">
        <f t="shared" si="2"/>
        <v>0</v>
      </c>
      <c r="O30" s="374"/>
      <c r="P30" s="375"/>
      <c r="Q30" s="376"/>
      <c r="R30" s="376"/>
      <c r="S30" s="428">
        <f>0.75+0.3</f>
        <v>1.05</v>
      </c>
      <c r="T30" s="427">
        <v>1.05</v>
      </c>
    </row>
    <row r="31" spans="1:20" s="135" customFormat="1" ht="15">
      <c r="A31" s="419" t="s">
        <v>277</v>
      </c>
      <c r="B31" s="363" t="s">
        <v>442</v>
      </c>
      <c r="C31" s="137" t="s">
        <v>443</v>
      </c>
      <c r="D31" s="378">
        <f t="shared" si="1"/>
        <v>376835</v>
      </c>
      <c r="E31" s="370">
        <v>320000</v>
      </c>
      <c r="F31" s="371">
        <v>56835</v>
      </c>
      <c r="G31" s="371"/>
      <c r="H31" s="371"/>
      <c r="I31" s="371"/>
      <c r="J31" s="372">
        <f>SUM(E31:I31)</f>
        <v>376835</v>
      </c>
      <c r="K31" s="373"/>
      <c r="L31" s="373"/>
      <c r="M31" s="373"/>
      <c r="N31" s="374">
        <f t="shared" si="2"/>
        <v>0</v>
      </c>
      <c r="O31" s="374"/>
      <c r="P31" s="375"/>
      <c r="Q31" s="376"/>
      <c r="R31" s="376"/>
      <c r="S31" s="428"/>
      <c r="T31" s="427"/>
    </row>
    <row r="32" spans="1:20" s="135" customFormat="1" ht="15">
      <c r="A32" s="419" t="s">
        <v>348</v>
      </c>
      <c r="B32" s="363" t="s">
        <v>217</v>
      </c>
      <c r="C32" s="137" t="s">
        <v>35</v>
      </c>
      <c r="D32" s="378">
        <f t="shared" si="1"/>
        <v>210000</v>
      </c>
      <c r="E32" s="370"/>
      <c r="F32" s="371"/>
      <c r="G32" s="371"/>
      <c r="H32" s="371"/>
      <c r="I32" s="371">
        <f>120000+90000</f>
        <v>210000</v>
      </c>
      <c r="J32" s="372">
        <f t="shared" si="0"/>
        <v>210000</v>
      </c>
      <c r="K32" s="373"/>
      <c r="L32" s="373"/>
      <c r="M32" s="373"/>
      <c r="N32" s="374">
        <f t="shared" si="2"/>
        <v>0</v>
      </c>
      <c r="O32" s="374"/>
      <c r="P32" s="375"/>
      <c r="Q32" s="376"/>
      <c r="R32" s="376"/>
      <c r="S32" s="428"/>
      <c r="T32" s="427"/>
    </row>
    <row r="33" spans="1:20" s="135" customFormat="1" ht="15">
      <c r="A33" s="419" t="s">
        <v>350</v>
      </c>
      <c r="B33" s="363" t="s">
        <v>218</v>
      </c>
      <c r="C33" s="137" t="s">
        <v>219</v>
      </c>
      <c r="D33" s="378">
        <f t="shared" si="1"/>
        <v>75000</v>
      </c>
      <c r="E33" s="370"/>
      <c r="F33" s="371"/>
      <c r="G33" s="371"/>
      <c r="H33" s="371"/>
      <c r="I33" s="371">
        <v>75000</v>
      </c>
      <c r="J33" s="372">
        <f t="shared" si="0"/>
        <v>75000</v>
      </c>
      <c r="K33" s="373"/>
      <c r="L33" s="373"/>
      <c r="M33" s="373"/>
      <c r="N33" s="374">
        <f t="shared" si="2"/>
        <v>0</v>
      </c>
      <c r="O33" s="374"/>
      <c r="P33" s="375"/>
      <c r="Q33" s="376"/>
      <c r="R33" s="376"/>
      <c r="S33" s="428"/>
      <c r="T33" s="427"/>
    </row>
    <row r="34" spans="1:20" s="135" customFormat="1" ht="30">
      <c r="A34" s="419" t="s">
        <v>481</v>
      </c>
      <c r="B34" s="363">
        <v>104051</v>
      </c>
      <c r="C34" s="137" t="s">
        <v>356</v>
      </c>
      <c r="D34" s="378">
        <f t="shared" si="1"/>
        <v>46400</v>
      </c>
      <c r="E34" s="370"/>
      <c r="F34" s="371"/>
      <c r="G34" s="371"/>
      <c r="H34" s="371">
        <v>46400</v>
      </c>
      <c r="I34" s="371"/>
      <c r="J34" s="372">
        <f t="shared" si="0"/>
        <v>46400</v>
      </c>
      <c r="K34" s="373"/>
      <c r="L34" s="373"/>
      <c r="M34" s="373"/>
      <c r="N34" s="374">
        <f t="shared" si="2"/>
        <v>0</v>
      </c>
      <c r="O34" s="374"/>
      <c r="P34" s="375"/>
      <c r="Q34" s="376"/>
      <c r="R34" s="376"/>
      <c r="S34" s="428"/>
      <c r="T34" s="427"/>
    </row>
    <row r="35" spans="1:20" s="135" customFormat="1" ht="15">
      <c r="A35" s="419" t="s">
        <v>482</v>
      </c>
      <c r="B35" s="363">
        <v>107052</v>
      </c>
      <c r="C35" s="140" t="s">
        <v>221</v>
      </c>
      <c r="D35" s="378">
        <f t="shared" si="1"/>
        <v>674900</v>
      </c>
      <c r="E35" s="370"/>
      <c r="F35" s="371"/>
      <c r="G35" s="371">
        <v>74900</v>
      </c>
      <c r="H35" s="371"/>
      <c r="I35" s="371">
        <f>600000</f>
        <v>600000</v>
      </c>
      <c r="J35" s="372">
        <f t="shared" si="0"/>
        <v>674900</v>
      </c>
      <c r="K35" s="373"/>
      <c r="L35" s="373"/>
      <c r="M35" s="373"/>
      <c r="N35" s="374">
        <f t="shared" si="2"/>
        <v>0</v>
      </c>
      <c r="O35" s="374"/>
      <c r="P35" s="375"/>
      <c r="Q35" s="376"/>
      <c r="R35" s="376"/>
      <c r="S35" s="428"/>
      <c r="T35" s="427"/>
    </row>
    <row r="36" spans="1:20" s="135" customFormat="1" ht="27.75" customHeight="1" thickBot="1">
      <c r="A36" s="419" t="s">
        <v>483</v>
      </c>
      <c r="B36" s="363">
        <v>107060</v>
      </c>
      <c r="C36" s="137" t="s">
        <v>222</v>
      </c>
      <c r="D36" s="378">
        <f t="shared" si="1"/>
        <v>3015000</v>
      </c>
      <c r="E36" s="370"/>
      <c r="F36" s="371"/>
      <c r="G36" s="371"/>
      <c r="H36" s="371">
        <v>3015000</v>
      </c>
      <c r="I36" s="371"/>
      <c r="J36" s="372">
        <f t="shared" si="0"/>
        <v>3015000</v>
      </c>
      <c r="K36" s="373"/>
      <c r="L36" s="373"/>
      <c r="M36" s="373"/>
      <c r="N36" s="374">
        <f t="shared" si="2"/>
        <v>0</v>
      </c>
      <c r="O36" s="374"/>
      <c r="P36" s="375"/>
      <c r="Q36" s="376"/>
      <c r="R36" s="376"/>
      <c r="S36" s="424"/>
      <c r="T36" s="427"/>
    </row>
    <row r="37" spans="1:20" ht="15" thickBot="1">
      <c r="A37" s="452" t="s">
        <v>484</v>
      </c>
      <c r="B37" s="418"/>
      <c r="C37" s="204" t="s">
        <v>549</v>
      </c>
      <c r="D37" s="377">
        <f aca="true" t="shared" si="3" ref="D37:T37">SUM(D14:D36)</f>
        <v>99334799</v>
      </c>
      <c r="E37" s="377">
        <f t="shared" si="3"/>
        <v>17501327</v>
      </c>
      <c r="F37" s="377">
        <f t="shared" si="3"/>
        <v>3546426</v>
      </c>
      <c r="G37" s="377">
        <f t="shared" si="3"/>
        <v>13008612</v>
      </c>
      <c r="H37" s="377">
        <f t="shared" si="3"/>
        <v>3061400</v>
      </c>
      <c r="I37" s="377">
        <f t="shared" si="3"/>
        <v>1908500</v>
      </c>
      <c r="J37" s="377">
        <f t="shared" si="3"/>
        <v>39026265</v>
      </c>
      <c r="K37" s="377">
        <f t="shared" si="3"/>
        <v>281559</v>
      </c>
      <c r="L37" s="377">
        <f t="shared" si="3"/>
        <v>57609396</v>
      </c>
      <c r="M37" s="377">
        <f t="shared" si="3"/>
        <v>1000000</v>
      </c>
      <c r="N37" s="377">
        <f t="shared" si="3"/>
        <v>58890955</v>
      </c>
      <c r="O37" s="377">
        <f t="shared" si="3"/>
        <v>1417579</v>
      </c>
      <c r="P37" s="377">
        <f t="shared" si="3"/>
        <v>0</v>
      </c>
      <c r="Q37" s="377">
        <f t="shared" si="3"/>
        <v>0</v>
      </c>
      <c r="R37" s="377">
        <f t="shared" si="3"/>
        <v>1417579</v>
      </c>
      <c r="S37" s="429">
        <f t="shared" si="3"/>
        <v>2.75</v>
      </c>
      <c r="T37" s="429">
        <f t="shared" si="3"/>
        <v>2.75</v>
      </c>
    </row>
    <row r="38" spans="1:20" ht="14.25">
      <c r="A38" s="452"/>
      <c r="B38" s="456"/>
      <c r="C38" s="456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8"/>
      <c r="T38" s="458"/>
    </row>
    <row r="39" spans="1:20" ht="15">
      <c r="A39" s="419" t="s">
        <v>485</v>
      </c>
      <c r="B39" s="363" t="s">
        <v>297</v>
      </c>
      <c r="C39" s="137" t="s">
        <v>298</v>
      </c>
      <c r="D39" s="438">
        <f>J39+N39+P39+Q39</f>
        <v>6725495</v>
      </c>
      <c r="E39" s="437">
        <v>2444800</v>
      </c>
      <c r="F39" s="371">
        <v>468858</v>
      </c>
      <c r="G39" s="371">
        <v>3735637</v>
      </c>
      <c r="H39" s="371"/>
      <c r="I39" s="371"/>
      <c r="J39" s="372">
        <f>SUM(E39:I39)</f>
        <v>6649295</v>
      </c>
      <c r="K39" s="373">
        <v>76200</v>
      </c>
      <c r="L39" s="373"/>
      <c r="M39" s="373"/>
      <c r="N39" s="374">
        <f>SUM(K39:M39)</f>
        <v>76200</v>
      </c>
      <c r="O39" s="374"/>
      <c r="P39" s="375"/>
      <c r="Q39" s="376"/>
      <c r="R39" s="376"/>
      <c r="S39" s="428">
        <v>1</v>
      </c>
      <c r="T39" s="427">
        <v>1</v>
      </c>
    </row>
    <row r="40" spans="1:20" ht="30">
      <c r="A40" s="419" t="s">
        <v>486</v>
      </c>
      <c r="B40" s="363" t="s">
        <v>299</v>
      </c>
      <c r="C40" s="137" t="s">
        <v>300</v>
      </c>
      <c r="D40" s="439">
        <f>J40+N40+P40+Q40</f>
        <v>1086577</v>
      </c>
      <c r="E40" s="437">
        <v>391168</v>
      </c>
      <c r="F40" s="371">
        <v>75017</v>
      </c>
      <c r="G40" s="371">
        <v>608200</v>
      </c>
      <c r="H40" s="371"/>
      <c r="I40" s="371"/>
      <c r="J40" s="372">
        <f>SUM(E40:I40)</f>
        <v>1074385</v>
      </c>
      <c r="K40" s="373">
        <v>12192</v>
      </c>
      <c r="L40" s="373"/>
      <c r="M40" s="373"/>
      <c r="N40" s="374">
        <f>SUM(K40:M40)</f>
        <v>12192</v>
      </c>
      <c r="O40" s="374"/>
      <c r="P40" s="375"/>
      <c r="Q40" s="376"/>
      <c r="R40" s="376"/>
      <c r="S40" s="428"/>
      <c r="T40" s="427"/>
    </row>
    <row r="41" spans="1:20" ht="15">
      <c r="A41" s="419" t="s">
        <v>487</v>
      </c>
      <c r="B41" s="363" t="s">
        <v>355</v>
      </c>
      <c r="C41" s="139" t="s">
        <v>444</v>
      </c>
      <c r="D41" s="439">
        <f>J41+N41+P41+Q41</f>
        <v>1603930</v>
      </c>
      <c r="E41" s="437">
        <v>537856</v>
      </c>
      <c r="F41" s="371">
        <v>103149</v>
      </c>
      <c r="G41" s="371">
        <v>946161</v>
      </c>
      <c r="H41" s="371"/>
      <c r="I41" s="371"/>
      <c r="J41" s="372">
        <f>SUM(E41:I41)</f>
        <v>1587166</v>
      </c>
      <c r="K41" s="373">
        <v>16764</v>
      </c>
      <c r="L41" s="373"/>
      <c r="M41" s="373"/>
      <c r="N41" s="374">
        <f>SUM(K41:M41)</f>
        <v>16764</v>
      </c>
      <c r="O41" s="374"/>
      <c r="P41" s="375"/>
      <c r="Q41" s="376"/>
      <c r="R41" s="376"/>
      <c r="S41" s="428"/>
      <c r="T41" s="427"/>
    </row>
    <row r="42" spans="1:20" ht="15.75" thickBot="1">
      <c r="A42" s="440" t="s">
        <v>518</v>
      </c>
      <c r="B42" s="364" t="s">
        <v>220</v>
      </c>
      <c r="C42" s="441" t="s">
        <v>354</v>
      </c>
      <c r="D42" s="442">
        <f>J42+N42+P42+Q42</f>
        <v>4465899</v>
      </c>
      <c r="E42" s="443">
        <v>1515776</v>
      </c>
      <c r="F42" s="444">
        <v>290692</v>
      </c>
      <c r="G42" s="444">
        <v>2612187</v>
      </c>
      <c r="H42" s="444"/>
      <c r="I42" s="444"/>
      <c r="J42" s="445">
        <f>SUM(E42:I42)</f>
        <v>4418655</v>
      </c>
      <c r="K42" s="446">
        <v>47244</v>
      </c>
      <c r="L42" s="446"/>
      <c r="M42" s="446"/>
      <c r="N42" s="447">
        <f>SUM(K42:M42)</f>
        <v>47244</v>
      </c>
      <c r="O42" s="447"/>
      <c r="P42" s="448"/>
      <c r="Q42" s="449"/>
      <c r="R42" s="449"/>
      <c r="S42" s="426">
        <v>1</v>
      </c>
      <c r="T42" s="450">
        <v>1</v>
      </c>
    </row>
    <row r="43" spans="1:20" ht="16.5" customHeight="1" thickBot="1">
      <c r="A43" s="453" t="s">
        <v>550</v>
      </c>
      <c r="B43" s="451"/>
      <c r="C43" s="454" t="s">
        <v>552</v>
      </c>
      <c r="D43" s="459">
        <f>D40+D41+D42+D39</f>
        <v>13881901</v>
      </c>
      <c r="E43" s="459">
        <f aca="true" t="shared" si="4" ref="E43:T43">E40+E41+E42+E39</f>
        <v>4889600</v>
      </c>
      <c r="F43" s="459">
        <f t="shared" si="4"/>
        <v>937716</v>
      </c>
      <c r="G43" s="459">
        <f t="shared" si="4"/>
        <v>7902185</v>
      </c>
      <c r="H43" s="459">
        <f t="shared" si="4"/>
        <v>0</v>
      </c>
      <c r="I43" s="459">
        <f t="shared" si="4"/>
        <v>0</v>
      </c>
      <c r="J43" s="459">
        <f t="shared" si="4"/>
        <v>13729501</v>
      </c>
      <c r="K43" s="459">
        <f t="shared" si="4"/>
        <v>152400</v>
      </c>
      <c r="L43" s="459">
        <f t="shared" si="4"/>
        <v>0</v>
      </c>
      <c r="M43" s="459">
        <f t="shared" si="4"/>
        <v>0</v>
      </c>
      <c r="N43" s="459">
        <f t="shared" si="4"/>
        <v>152400</v>
      </c>
      <c r="O43" s="459">
        <f t="shared" si="4"/>
        <v>0</v>
      </c>
      <c r="P43" s="459">
        <f t="shared" si="4"/>
        <v>0</v>
      </c>
      <c r="Q43" s="459">
        <f t="shared" si="4"/>
        <v>0</v>
      </c>
      <c r="R43" s="459">
        <f t="shared" si="4"/>
        <v>0</v>
      </c>
      <c r="S43" s="459">
        <f t="shared" si="4"/>
        <v>2</v>
      </c>
      <c r="T43" s="459">
        <f t="shared" si="4"/>
        <v>2</v>
      </c>
    </row>
    <row r="44" spans="1:20" ht="21.75" customHeight="1" thickBot="1">
      <c r="A44" s="453" t="s">
        <v>551</v>
      </c>
      <c r="B44" s="451"/>
      <c r="C44" s="455" t="s">
        <v>553</v>
      </c>
      <c r="D44" s="459">
        <f>D37+D43</f>
        <v>113216700</v>
      </c>
      <c r="E44" s="459">
        <f aca="true" t="shared" si="5" ref="E44:T44">E37+E43</f>
        <v>22390927</v>
      </c>
      <c r="F44" s="459">
        <f t="shared" si="5"/>
        <v>4484142</v>
      </c>
      <c r="G44" s="459">
        <f t="shared" si="5"/>
        <v>20910797</v>
      </c>
      <c r="H44" s="459">
        <f t="shared" si="5"/>
        <v>3061400</v>
      </c>
      <c r="I44" s="459">
        <f t="shared" si="5"/>
        <v>1908500</v>
      </c>
      <c r="J44" s="459">
        <f t="shared" si="5"/>
        <v>52755766</v>
      </c>
      <c r="K44" s="459">
        <f t="shared" si="5"/>
        <v>433959</v>
      </c>
      <c r="L44" s="459">
        <f t="shared" si="5"/>
        <v>57609396</v>
      </c>
      <c r="M44" s="459">
        <f t="shared" si="5"/>
        <v>1000000</v>
      </c>
      <c r="N44" s="459">
        <f t="shared" si="5"/>
        <v>59043355</v>
      </c>
      <c r="O44" s="459">
        <f t="shared" si="5"/>
        <v>1417579</v>
      </c>
      <c r="P44" s="459">
        <f t="shared" si="5"/>
        <v>0</v>
      </c>
      <c r="Q44" s="459">
        <f t="shared" si="5"/>
        <v>0</v>
      </c>
      <c r="R44" s="459">
        <f t="shared" si="5"/>
        <v>1417579</v>
      </c>
      <c r="S44" s="493">
        <f t="shared" si="5"/>
        <v>4.75</v>
      </c>
      <c r="T44" s="493">
        <f t="shared" si="5"/>
        <v>4.75</v>
      </c>
    </row>
    <row r="46" ht="12.75">
      <c r="D46" s="460"/>
    </row>
    <row r="47" ht="12.75">
      <c r="D47" s="460"/>
    </row>
  </sheetData>
  <sheetProtection password="AF00" sheet="1"/>
  <mergeCells count="32"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43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4.125" style="197" customWidth="1"/>
    <col min="2" max="2" width="9.125" style="197" customWidth="1"/>
    <col min="3" max="3" width="63.125" style="197" customWidth="1"/>
    <col min="4" max="4" width="24.00390625" style="197" customWidth="1"/>
    <col min="5" max="7" width="26.25390625" style="197" customWidth="1"/>
    <col min="8" max="16384" width="9.125" style="197" customWidth="1"/>
  </cols>
  <sheetData>
    <row r="2" spans="2:7" s="189" customFormat="1" ht="15.75">
      <c r="B2" s="541" t="s">
        <v>610</v>
      </c>
      <c r="C2" s="541"/>
      <c r="D2" s="541"/>
      <c r="E2" s="541"/>
      <c r="F2" s="541"/>
      <c r="G2" s="541"/>
    </row>
    <row r="3" spans="3:7" s="85" customFormat="1" ht="15" customHeight="1">
      <c r="C3" s="539"/>
      <c r="D3" s="539"/>
      <c r="E3" s="539"/>
      <c r="F3" s="539"/>
      <c r="G3" s="539"/>
    </row>
    <row r="4" spans="4:7" s="191" customFormat="1" ht="15" customHeight="1">
      <c r="D4" s="192"/>
      <c r="E4" s="193"/>
      <c r="F4" s="193"/>
      <c r="G4" s="193"/>
    </row>
    <row r="5" spans="3:7" s="144" customFormat="1" ht="15" customHeight="1">
      <c r="C5" s="540" t="s">
        <v>40</v>
      </c>
      <c r="D5" s="540"/>
      <c r="E5" s="540"/>
      <c r="F5" s="540"/>
      <c r="G5" s="540"/>
    </row>
    <row r="6" spans="3:7" s="144" customFormat="1" ht="15.75">
      <c r="C6" s="542" t="s">
        <v>306</v>
      </c>
      <c r="D6" s="542"/>
      <c r="E6" s="542"/>
      <c r="F6" s="542"/>
      <c r="G6" s="542"/>
    </row>
    <row r="7" spans="3:7" s="144" customFormat="1" ht="15" customHeight="1">
      <c r="C7" s="540" t="s">
        <v>535</v>
      </c>
      <c r="D7" s="540"/>
      <c r="E7" s="540"/>
      <c r="F7" s="540"/>
      <c r="G7" s="540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19.5" customHeight="1" thickBot="1">
      <c r="A9" s="585" t="s">
        <v>488</v>
      </c>
      <c r="B9" s="587" t="s">
        <v>179</v>
      </c>
      <c r="C9" s="525" t="s">
        <v>180</v>
      </c>
      <c r="D9" s="528" t="s">
        <v>307</v>
      </c>
      <c r="E9" s="531" t="s">
        <v>290</v>
      </c>
      <c r="F9" s="531"/>
      <c r="G9" s="532"/>
    </row>
    <row r="10" spans="1:7" s="189" customFormat="1" ht="33" customHeight="1" thickBot="1">
      <c r="A10" s="586"/>
      <c r="B10" s="588"/>
      <c r="C10" s="526"/>
      <c r="D10" s="529"/>
      <c r="E10" s="366" t="s">
        <v>291</v>
      </c>
      <c r="F10" s="367" t="s">
        <v>292</v>
      </c>
      <c r="G10" s="368" t="s">
        <v>293</v>
      </c>
    </row>
    <row r="11" spans="1:7" s="189" customFormat="1" ht="22.5" customHeight="1">
      <c r="A11" s="586"/>
      <c r="B11" s="588"/>
      <c r="C11" s="526"/>
      <c r="D11" s="529"/>
      <c r="E11" s="533" t="s">
        <v>294</v>
      </c>
      <c r="F11" s="534"/>
      <c r="G11" s="535"/>
    </row>
    <row r="12" spans="1:7" ht="13.5" thickBot="1">
      <c r="A12" s="586"/>
      <c r="B12" s="588"/>
      <c r="C12" s="526"/>
      <c r="D12" s="529"/>
      <c r="E12" s="589"/>
      <c r="F12" s="590"/>
      <c r="G12" s="591"/>
    </row>
    <row r="13" spans="1:7" ht="30.75" thickBot="1">
      <c r="A13" s="203" t="s">
        <v>43</v>
      </c>
      <c r="B13" s="391" t="s">
        <v>196</v>
      </c>
      <c r="C13" s="392" t="s">
        <v>197</v>
      </c>
      <c r="D13" s="403">
        <f>SUM(E13:G13)</f>
        <v>18751038</v>
      </c>
      <c r="E13" s="398">
        <v>15792963</v>
      </c>
      <c r="F13" s="393">
        <v>2958075</v>
      </c>
      <c r="G13" s="394"/>
    </row>
    <row r="14" spans="1:7" ht="15">
      <c r="A14" s="369" t="s">
        <v>27</v>
      </c>
      <c r="B14" s="389" t="s">
        <v>198</v>
      </c>
      <c r="C14" s="390" t="s">
        <v>36</v>
      </c>
      <c r="D14" s="404">
        <f aca="true" t="shared" si="0" ref="D14:D34">SUM(E14:G14)</f>
        <v>68150</v>
      </c>
      <c r="E14" s="399">
        <v>68150</v>
      </c>
      <c r="F14" s="199"/>
      <c r="G14" s="200"/>
    </row>
    <row r="15" spans="1:7" ht="15">
      <c r="A15" s="365" t="s">
        <v>44</v>
      </c>
      <c r="B15" s="363" t="s">
        <v>199</v>
      </c>
      <c r="C15" s="137" t="s">
        <v>200</v>
      </c>
      <c r="D15" s="405">
        <f t="shared" si="0"/>
        <v>282890</v>
      </c>
      <c r="E15" s="400">
        <v>282890</v>
      </c>
      <c r="F15" s="201"/>
      <c r="G15" s="202"/>
    </row>
    <row r="16" spans="1:7" ht="15">
      <c r="A16" s="365" t="s">
        <v>100</v>
      </c>
      <c r="B16" s="363" t="s">
        <v>295</v>
      </c>
      <c r="C16" s="137" t="s">
        <v>296</v>
      </c>
      <c r="D16" s="405">
        <f>SUM(E16:G16)</f>
        <v>1417579</v>
      </c>
      <c r="E16" s="400">
        <v>1417579</v>
      </c>
      <c r="F16" s="201"/>
      <c r="G16" s="202"/>
    </row>
    <row r="17" spans="1:7" ht="15">
      <c r="A17" s="365" t="s">
        <v>101</v>
      </c>
      <c r="B17" s="363" t="s">
        <v>547</v>
      </c>
      <c r="C17" s="137" t="s">
        <v>548</v>
      </c>
      <c r="D17" s="405">
        <f>SUM(E17:G17)</f>
        <v>180996</v>
      </c>
      <c r="E17" s="400">
        <v>180996</v>
      </c>
      <c r="F17" s="201"/>
      <c r="G17" s="202"/>
    </row>
    <row r="18" spans="1:7" ht="15">
      <c r="A18" s="365" t="s">
        <v>107</v>
      </c>
      <c r="B18" s="138" t="s">
        <v>478</v>
      </c>
      <c r="C18" s="137" t="s">
        <v>479</v>
      </c>
      <c r="D18" s="405">
        <f>SUM(E18:G18)</f>
        <v>56109396</v>
      </c>
      <c r="E18" s="400">
        <f>53880487+2228909</f>
        <v>56109396</v>
      </c>
      <c r="F18" s="201"/>
      <c r="G18" s="202"/>
    </row>
    <row r="19" spans="1:7" ht="27" customHeight="1">
      <c r="A19" s="365" t="s">
        <v>242</v>
      </c>
      <c r="B19" s="363" t="s">
        <v>201</v>
      </c>
      <c r="C19" s="137" t="s">
        <v>202</v>
      </c>
      <c r="D19" s="405">
        <f t="shared" si="0"/>
        <v>26670</v>
      </c>
      <c r="E19" s="400">
        <v>26670</v>
      </c>
      <c r="F19" s="201"/>
      <c r="G19" s="202"/>
    </row>
    <row r="20" spans="1:7" ht="15">
      <c r="A20" s="365" t="s">
        <v>244</v>
      </c>
      <c r="B20" s="363" t="s">
        <v>445</v>
      </c>
      <c r="C20" s="137" t="s">
        <v>446</v>
      </c>
      <c r="D20" s="405">
        <f t="shared" si="0"/>
        <v>19050</v>
      </c>
      <c r="E20" s="401">
        <v>19050</v>
      </c>
      <c r="F20" s="143"/>
      <c r="G20" s="395"/>
    </row>
    <row r="21" spans="1:7" ht="15">
      <c r="A21" s="365" t="s">
        <v>246</v>
      </c>
      <c r="B21" s="363" t="s">
        <v>203</v>
      </c>
      <c r="C21" s="137" t="s">
        <v>204</v>
      </c>
      <c r="D21" s="405">
        <f t="shared" si="0"/>
        <v>5907694</v>
      </c>
      <c r="E21" s="400">
        <v>5907694</v>
      </c>
      <c r="F21" s="201"/>
      <c r="G21" s="202"/>
    </row>
    <row r="22" spans="1:7" ht="15">
      <c r="A22" s="365" t="s">
        <v>252</v>
      </c>
      <c r="B22" s="363" t="s">
        <v>205</v>
      </c>
      <c r="C22" s="137" t="s">
        <v>206</v>
      </c>
      <c r="D22" s="405">
        <f t="shared" si="0"/>
        <v>600000</v>
      </c>
      <c r="E22" s="400"/>
      <c r="F22" s="201">
        <v>600000</v>
      </c>
      <c r="G22" s="202"/>
    </row>
    <row r="23" spans="1:7" ht="15">
      <c r="A23" s="365" t="s">
        <v>254</v>
      </c>
      <c r="B23" s="363" t="s">
        <v>207</v>
      </c>
      <c r="C23" s="137" t="s">
        <v>208</v>
      </c>
      <c r="D23" s="405">
        <f t="shared" si="0"/>
        <v>1952752</v>
      </c>
      <c r="E23" s="400">
        <v>1952752</v>
      </c>
      <c r="F23" s="201"/>
      <c r="G23" s="202"/>
    </row>
    <row r="24" spans="1:7" ht="15">
      <c r="A24" s="365" t="s">
        <v>256</v>
      </c>
      <c r="B24" s="363" t="s">
        <v>209</v>
      </c>
      <c r="C24" s="137" t="s">
        <v>210</v>
      </c>
      <c r="D24" s="405">
        <f t="shared" si="0"/>
        <v>635000</v>
      </c>
      <c r="E24" s="400">
        <v>635000</v>
      </c>
      <c r="F24" s="201"/>
      <c r="G24" s="202"/>
    </row>
    <row r="25" spans="1:7" ht="15">
      <c r="A25" s="365" t="s">
        <v>261</v>
      </c>
      <c r="B25" s="363" t="s">
        <v>211</v>
      </c>
      <c r="C25" s="137" t="s">
        <v>212</v>
      </c>
      <c r="D25" s="405">
        <f t="shared" si="0"/>
        <v>3596414</v>
      </c>
      <c r="E25" s="400">
        <v>3596414</v>
      </c>
      <c r="F25" s="201"/>
      <c r="G25" s="202"/>
    </row>
    <row r="26" spans="1:7" ht="15">
      <c r="A26" s="365" t="s">
        <v>263</v>
      </c>
      <c r="B26" s="363" t="s">
        <v>213</v>
      </c>
      <c r="C26" s="137" t="s">
        <v>34</v>
      </c>
      <c r="D26" s="405">
        <f t="shared" si="0"/>
        <v>125730</v>
      </c>
      <c r="E26" s="400">
        <v>125730</v>
      </c>
      <c r="F26" s="201"/>
      <c r="G26" s="202"/>
    </row>
    <row r="27" spans="1:7" ht="15">
      <c r="A27" s="365" t="s">
        <v>265</v>
      </c>
      <c r="B27" s="363" t="s">
        <v>214</v>
      </c>
      <c r="C27" s="137" t="s">
        <v>215</v>
      </c>
      <c r="D27" s="405">
        <f t="shared" si="0"/>
        <v>675000</v>
      </c>
      <c r="E27" s="400">
        <v>675000</v>
      </c>
      <c r="F27" s="201"/>
      <c r="G27" s="202"/>
    </row>
    <row r="28" spans="1:7" ht="15">
      <c r="A28" s="365" t="s">
        <v>272</v>
      </c>
      <c r="B28" s="363" t="s">
        <v>216</v>
      </c>
      <c r="C28" s="137" t="s">
        <v>37</v>
      </c>
      <c r="D28" s="405">
        <f t="shared" si="0"/>
        <v>966076</v>
      </c>
      <c r="E28" s="400">
        <v>951580</v>
      </c>
      <c r="F28" s="201">
        <f>10800+1784+1912</f>
        <v>14496</v>
      </c>
      <c r="G28" s="202"/>
    </row>
    <row r="29" spans="1:7" ht="15">
      <c r="A29" s="365" t="s">
        <v>275</v>
      </c>
      <c r="B29" s="363" t="s">
        <v>440</v>
      </c>
      <c r="C29" s="137" t="s">
        <v>447</v>
      </c>
      <c r="D29" s="405">
        <f t="shared" si="0"/>
        <v>3222229</v>
      </c>
      <c r="E29" s="400">
        <v>3146126</v>
      </c>
      <c r="F29" s="201">
        <f>16200+40500+9367+10036</f>
        <v>76103</v>
      </c>
      <c r="G29" s="202"/>
    </row>
    <row r="30" spans="1:7" ht="15">
      <c r="A30" s="365" t="s">
        <v>277</v>
      </c>
      <c r="B30" s="363" t="s">
        <v>448</v>
      </c>
      <c r="C30" s="137" t="s">
        <v>449</v>
      </c>
      <c r="D30" s="405">
        <f t="shared" si="0"/>
        <v>376835</v>
      </c>
      <c r="E30" s="400">
        <v>376835</v>
      </c>
      <c r="F30" s="201"/>
      <c r="G30" s="202"/>
    </row>
    <row r="31" spans="1:7" ht="15">
      <c r="A31" s="365" t="s">
        <v>348</v>
      </c>
      <c r="B31" s="363" t="s">
        <v>217</v>
      </c>
      <c r="C31" s="137" t="s">
        <v>35</v>
      </c>
      <c r="D31" s="405">
        <f t="shared" si="0"/>
        <v>210000</v>
      </c>
      <c r="E31" s="400"/>
      <c r="F31" s="201">
        <v>210000</v>
      </c>
      <c r="G31" s="202"/>
    </row>
    <row r="32" spans="1:7" ht="15">
      <c r="A32" s="365" t="s">
        <v>350</v>
      </c>
      <c r="B32" s="363" t="s">
        <v>218</v>
      </c>
      <c r="C32" s="137" t="s">
        <v>219</v>
      </c>
      <c r="D32" s="405">
        <f t="shared" si="0"/>
        <v>75000</v>
      </c>
      <c r="E32" s="400"/>
      <c r="F32" s="201">
        <v>75000</v>
      </c>
      <c r="G32" s="202"/>
    </row>
    <row r="33" spans="1:7" ht="15">
      <c r="A33" s="365" t="s">
        <v>484</v>
      </c>
      <c r="B33" s="363">
        <v>104051</v>
      </c>
      <c r="C33" s="140" t="s">
        <v>356</v>
      </c>
      <c r="D33" s="405">
        <f t="shared" si="0"/>
        <v>46400</v>
      </c>
      <c r="E33" s="400"/>
      <c r="F33" s="201"/>
      <c r="G33" s="202">
        <v>46400</v>
      </c>
    </row>
    <row r="34" spans="1:14" ht="15">
      <c r="A34" s="365" t="s">
        <v>486</v>
      </c>
      <c r="B34" s="363">
        <v>107052</v>
      </c>
      <c r="C34" s="140" t="s">
        <v>221</v>
      </c>
      <c r="D34" s="405">
        <f t="shared" si="0"/>
        <v>1074900</v>
      </c>
      <c r="E34" s="402">
        <v>1074900</v>
      </c>
      <c r="F34" s="143"/>
      <c r="G34" s="395"/>
      <c r="H34" s="342"/>
      <c r="I34" s="342"/>
      <c r="J34" s="343"/>
      <c r="K34" s="344"/>
      <c r="L34" s="344"/>
      <c r="M34" s="344"/>
      <c r="N34" s="343"/>
    </row>
    <row r="35" spans="1:7" ht="15.75" thickBot="1">
      <c r="A35" s="365" t="s">
        <v>487</v>
      </c>
      <c r="B35" s="363">
        <v>107060</v>
      </c>
      <c r="C35" s="137" t="s">
        <v>222</v>
      </c>
      <c r="D35" s="405">
        <f>SUM(E35:G35)</f>
        <v>3015000</v>
      </c>
      <c r="E35" s="400">
        <v>3015000</v>
      </c>
      <c r="F35" s="201"/>
      <c r="G35" s="202"/>
    </row>
    <row r="36" spans="1:7" ht="18.75" customHeight="1" thickBot="1">
      <c r="A36" s="396" t="s">
        <v>518</v>
      </c>
      <c r="B36" s="380"/>
      <c r="C36" s="397" t="s">
        <v>554</v>
      </c>
      <c r="D36" s="469">
        <f>SUM(D13:D35)</f>
        <v>99334799</v>
      </c>
      <c r="E36" s="470">
        <f>SUM(E13:E35)</f>
        <v>95354725</v>
      </c>
      <c r="F36" s="469">
        <f>SUM(F13:F35)</f>
        <v>3933674</v>
      </c>
      <c r="G36" s="469">
        <f>SUM(G13:G35)</f>
        <v>46400</v>
      </c>
    </row>
    <row r="37" ht="12.75">
      <c r="A37" s="341"/>
    </row>
    <row r="38" spans="1:7" ht="15">
      <c r="A38" s="365" t="s">
        <v>481</v>
      </c>
      <c r="B38" s="363" t="s">
        <v>297</v>
      </c>
      <c r="C38" s="137" t="s">
        <v>298</v>
      </c>
      <c r="D38" s="405">
        <f>SUM(E38:G38)</f>
        <v>6725495</v>
      </c>
      <c r="E38" s="400">
        <v>6662072</v>
      </c>
      <c r="F38" s="201">
        <v>63423</v>
      </c>
      <c r="G38" s="202"/>
    </row>
    <row r="39" spans="1:7" ht="15">
      <c r="A39" s="365" t="s">
        <v>482</v>
      </c>
      <c r="B39" s="363" t="s">
        <v>299</v>
      </c>
      <c r="C39" s="137" t="s">
        <v>300</v>
      </c>
      <c r="D39" s="405">
        <f>SUM(E39:G39)</f>
        <v>1086577</v>
      </c>
      <c r="E39" s="400"/>
      <c r="F39" s="201">
        <v>1086577</v>
      </c>
      <c r="G39" s="202"/>
    </row>
    <row r="40" spans="1:7" ht="15">
      <c r="A40" s="365" t="s">
        <v>483</v>
      </c>
      <c r="B40" s="363" t="s">
        <v>299</v>
      </c>
      <c r="C40" s="137" t="s">
        <v>556</v>
      </c>
      <c r="D40" s="405">
        <f>SUM(E40:G40)</f>
        <v>1603930</v>
      </c>
      <c r="E40" s="400"/>
      <c r="F40" s="201">
        <v>1603930</v>
      </c>
      <c r="G40" s="202"/>
    </row>
    <row r="41" spans="1:7" ht="15.75" thickBot="1">
      <c r="A41" s="461" t="s">
        <v>485</v>
      </c>
      <c r="B41" s="364" t="s">
        <v>220</v>
      </c>
      <c r="C41" s="462" t="s">
        <v>555</v>
      </c>
      <c r="D41" s="463">
        <f>SUM(E41:G41)</f>
        <v>4465899</v>
      </c>
      <c r="E41" s="464">
        <v>4426577</v>
      </c>
      <c r="F41" s="465">
        <v>39322</v>
      </c>
      <c r="G41" s="466"/>
    </row>
    <row r="42" spans="1:7" ht="18" customHeight="1" thickBot="1">
      <c r="A42" s="467" t="s">
        <v>486</v>
      </c>
      <c r="B42" s="467"/>
      <c r="C42" s="454" t="s">
        <v>552</v>
      </c>
      <c r="D42" s="468">
        <f>D38+D39+D40+D41</f>
        <v>13881901</v>
      </c>
      <c r="E42" s="468">
        <f>E38+E39+E40+E41</f>
        <v>11088649</v>
      </c>
      <c r="F42" s="468">
        <f>F38+F39+F40+F41</f>
        <v>2793252</v>
      </c>
      <c r="G42" s="468">
        <f>G38+G39+G40+G41</f>
        <v>0</v>
      </c>
    </row>
    <row r="43" spans="1:7" ht="24.75" customHeight="1" thickBot="1">
      <c r="A43" s="467" t="s">
        <v>487</v>
      </c>
      <c r="B43" s="467"/>
      <c r="C43" s="455" t="s">
        <v>553</v>
      </c>
      <c r="D43" s="468">
        <f>D36+D42</f>
        <v>113216700</v>
      </c>
      <c r="E43" s="468">
        <f>E36+E42</f>
        <v>106443374</v>
      </c>
      <c r="F43" s="468">
        <f>F36+F42</f>
        <v>6726926</v>
      </c>
      <c r="G43" s="468">
        <f>G36+G42</f>
        <v>46400</v>
      </c>
    </row>
  </sheetData>
  <sheetProtection password="AF00" sheet="1"/>
  <mergeCells count="11"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U37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41" t="s">
        <v>611</v>
      </c>
      <c r="B1" s="541"/>
      <c r="C1" s="541"/>
      <c r="D1" s="541"/>
      <c r="E1" s="541"/>
      <c r="F1" s="541"/>
      <c r="G1" s="108"/>
      <c r="H1" s="108"/>
      <c r="I1" s="108"/>
      <c r="J1" s="108"/>
    </row>
    <row r="2" spans="1:6" ht="15">
      <c r="A2" s="592"/>
      <c r="B2" s="592"/>
      <c r="C2" s="592"/>
      <c r="D2" s="592"/>
      <c r="E2" s="592"/>
      <c r="F2" s="592"/>
    </row>
    <row r="3" spans="1:6" ht="15">
      <c r="A3" s="592"/>
      <c r="B3" s="592"/>
      <c r="C3" s="592"/>
      <c r="D3" s="592"/>
      <c r="E3" s="592"/>
      <c r="F3" s="592"/>
    </row>
    <row r="4" ht="12.75" customHeight="1"/>
    <row r="5" spans="1:6" s="21" customFormat="1" ht="15.75">
      <c r="A5" s="593" t="s">
        <v>581</v>
      </c>
      <c r="B5" s="593"/>
      <c r="C5" s="593"/>
      <c r="D5" s="593"/>
      <c r="E5" s="593"/>
      <c r="F5" s="593"/>
    </row>
    <row r="6" spans="1:6" s="21" customFormat="1" ht="15.75">
      <c r="A6" s="593" t="s">
        <v>450</v>
      </c>
      <c r="B6" s="593"/>
      <c r="C6" s="593"/>
      <c r="D6" s="593"/>
      <c r="E6" s="593"/>
      <c r="F6" s="593"/>
    </row>
    <row r="7" spans="1:6" ht="15">
      <c r="A7" s="592" t="s">
        <v>536</v>
      </c>
      <c r="B7" s="592"/>
      <c r="C7" s="592"/>
      <c r="D7" s="592"/>
      <c r="E7" s="592"/>
      <c r="F7" s="592"/>
    </row>
    <row r="8" ht="15">
      <c r="F8" s="141" t="s">
        <v>470</v>
      </c>
    </row>
    <row r="9" spans="1:6" ht="15">
      <c r="A9" s="594" t="s">
        <v>0</v>
      </c>
      <c r="B9" s="595"/>
      <c r="C9" s="595"/>
      <c r="D9" s="595"/>
      <c r="E9" s="596"/>
      <c r="F9" s="603" t="s">
        <v>11</v>
      </c>
    </row>
    <row r="10" spans="1:6" ht="15">
      <c r="A10" s="597"/>
      <c r="B10" s="598"/>
      <c r="C10" s="598"/>
      <c r="D10" s="598"/>
      <c r="E10" s="599"/>
      <c r="F10" s="604"/>
    </row>
    <row r="11" spans="1:6" ht="15">
      <c r="A11" s="600"/>
      <c r="B11" s="601"/>
      <c r="C11" s="601"/>
      <c r="D11" s="601"/>
      <c r="E11" s="602"/>
      <c r="F11" s="605"/>
    </row>
    <row r="12" spans="1:6" ht="15">
      <c r="A12" s="13" t="s">
        <v>223</v>
      </c>
      <c r="E12" s="22"/>
      <c r="F12" s="23"/>
    </row>
    <row r="13" spans="1:2" s="13" customFormat="1" ht="15">
      <c r="A13" s="141"/>
      <c r="B13" s="11"/>
    </row>
    <row r="14" spans="1:5" ht="29.25" customHeight="1">
      <c r="A14" s="141"/>
      <c r="B14" s="518" t="s">
        <v>224</v>
      </c>
      <c r="C14" s="518"/>
      <c r="D14" s="518"/>
      <c r="E14" s="518"/>
    </row>
    <row r="15" spans="1:6" ht="15.75">
      <c r="A15" s="142" t="s">
        <v>43</v>
      </c>
      <c r="B15" s="15" t="s">
        <v>557</v>
      </c>
      <c r="F15" s="53">
        <f>69700*2</f>
        <v>139400</v>
      </c>
    </row>
    <row r="16" spans="1:6" ht="15">
      <c r="A16" s="12" t="s">
        <v>27</v>
      </c>
      <c r="B16" s="11" t="s">
        <v>28</v>
      </c>
      <c r="F16" s="53">
        <v>209100</v>
      </c>
    </row>
    <row r="17" spans="1:6" ht="15">
      <c r="A17" s="12"/>
      <c r="F17" s="53"/>
    </row>
    <row r="18" spans="1:6" ht="15.75">
      <c r="A18" s="12" t="s">
        <v>44</v>
      </c>
      <c r="B18" s="14" t="s">
        <v>532</v>
      </c>
      <c r="F18" s="53">
        <v>75000</v>
      </c>
    </row>
    <row r="19" spans="1:6" ht="15.75">
      <c r="A19" s="12"/>
      <c r="B19" s="14"/>
      <c r="F19" s="53"/>
    </row>
    <row r="20" spans="1:6" ht="37.5" customHeight="1">
      <c r="A20" s="471" t="s">
        <v>100</v>
      </c>
      <c r="B20" s="606" t="s">
        <v>559</v>
      </c>
      <c r="C20" s="607"/>
      <c r="D20" s="607"/>
      <c r="E20" s="607"/>
      <c r="F20" s="53">
        <v>600000</v>
      </c>
    </row>
    <row r="21" ht="13.5" customHeight="1">
      <c r="F21" s="53"/>
    </row>
    <row r="22" spans="1:6" ht="33.75" customHeight="1">
      <c r="A22" s="13"/>
      <c r="B22" s="518" t="s">
        <v>225</v>
      </c>
      <c r="C22" s="518"/>
      <c r="D22" s="518"/>
      <c r="E22" s="518"/>
      <c r="F22" s="54">
        <f>SUM(F15:F21)</f>
        <v>1023500</v>
      </c>
    </row>
    <row r="23" ht="13.5" customHeight="1">
      <c r="F23" s="53"/>
    </row>
    <row r="24" spans="1:6" ht="33" customHeight="1">
      <c r="A24" s="13"/>
      <c r="B24" s="518" t="s">
        <v>226</v>
      </c>
      <c r="C24" s="518"/>
      <c r="D24" s="518"/>
      <c r="E24" s="518"/>
      <c r="F24" s="53"/>
    </row>
    <row r="25" spans="1:6" ht="13.5" customHeight="1">
      <c r="A25" s="12"/>
      <c r="F25" s="53"/>
    </row>
    <row r="26" spans="1:255" ht="15.75">
      <c r="A26" s="12" t="s">
        <v>43</v>
      </c>
      <c r="B26" s="17" t="s">
        <v>25</v>
      </c>
      <c r="C26" s="17"/>
      <c r="D26" s="17"/>
      <c r="E26" s="17"/>
      <c r="F26" s="53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27</v>
      </c>
      <c r="B27" s="17" t="s">
        <v>26</v>
      </c>
      <c r="C27" s="17"/>
      <c r="D27" s="17"/>
      <c r="E27" s="17"/>
      <c r="F27" s="53">
        <v>40000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44</v>
      </c>
      <c r="B28" s="17" t="s">
        <v>558</v>
      </c>
      <c r="C28" s="17"/>
      <c r="D28" s="17"/>
      <c r="E28" s="17"/>
      <c r="F28" s="53">
        <f>40000+90000</f>
        <v>130000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.75">
      <c r="A29" s="12" t="s">
        <v>100</v>
      </c>
      <c r="B29" s="17" t="s">
        <v>46</v>
      </c>
      <c r="C29" s="17"/>
      <c r="D29" s="17"/>
      <c r="E29" s="17"/>
      <c r="F29" s="53">
        <v>75000</v>
      </c>
      <c r="G29" s="6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6" ht="13.5" customHeight="1">
      <c r="A30" s="12" t="s">
        <v>101</v>
      </c>
      <c r="B30" s="17" t="s">
        <v>75</v>
      </c>
      <c r="F30" s="53">
        <v>600000</v>
      </c>
    </row>
    <row r="31" spans="1:6" ht="13.5" customHeight="1">
      <c r="A31" s="17"/>
      <c r="F31" s="53"/>
    </row>
    <row r="32" spans="1:8" ht="32.25" customHeight="1">
      <c r="A32" s="13"/>
      <c r="B32" s="518" t="s">
        <v>227</v>
      </c>
      <c r="C32" s="518"/>
      <c r="D32" s="518"/>
      <c r="E32" s="518"/>
      <c r="F32" s="54">
        <f>SUM(F25:F31)</f>
        <v>885000</v>
      </c>
      <c r="G32" s="16"/>
      <c r="H32" s="16"/>
    </row>
    <row r="33" spans="1:8" ht="12.75" customHeight="1">
      <c r="A33" s="13"/>
      <c r="F33" s="53"/>
      <c r="G33" s="16"/>
      <c r="H33" s="16"/>
    </row>
    <row r="34" spans="1:7" s="18" customFormat="1" ht="15.75">
      <c r="A34" s="13" t="s">
        <v>228</v>
      </c>
      <c r="F34" s="54">
        <f>F32+F22</f>
        <v>1908500</v>
      </c>
      <c r="G34" s="19"/>
    </row>
    <row r="35" spans="1:7" s="18" customFormat="1" ht="15.75">
      <c r="A35" s="13"/>
      <c r="F35" s="54"/>
      <c r="G35" s="19"/>
    </row>
    <row r="36" spans="6:7" s="18" customFormat="1" ht="15.75">
      <c r="F36" s="53"/>
      <c r="G36" s="19"/>
    </row>
    <row r="37" spans="1:6" s="20" customFormat="1" ht="18.75">
      <c r="A37" s="20" t="s">
        <v>7</v>
      </c>
      <c r="F37" s="52">
        <f>F34</f>
        <v>1908500</v>
      </c>
    </row>
  </sheetData>
  <sheetProtection password="AF00" sheet="1"/>
  <mergeCells count="13">
    <mergeCell ref="B24:E24"/>
    <mergeCell ref="B32:E32"/>
    <mergeCell ref="A9:E11"/>
    <mergeCell ref="B14:E14"/>
    <mergeCell ref="B22:E22"/>
    <mergeCell ref="F9:F11"/>
    <mergeCell ref="B20:E20"/>
    <mergeCell ref="A1:F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8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41" t="s">
        <v>612</v>
      </c>
      <c r="C1" s="541"/>
      <c r="D1" s="108"/>
    </row>
    <row r="2" spans="2:4" ht="15">
      <c r="B2" s="109"/>
      <c r="C2" s="109"/>
      <c r="D2" s="108"/>
    </row>
    <row r="3" spans="2:3" ht="15.75" customHeight="1">
      <c r="B3" s="608"/>
      <c r="C3" s="608"/>
    </row>
    <row r="4" spans="2:3" ht="15">
      <c r="B4" s="40"/>
      <c r="C4" s="40"/>
    </row>
    <row r="5" spans="2:3" s="14" customFormat="1" ht="15.75" customHeight="1">
      <c r="B5" s="609" t="s">
        <v>626</v>
      </c>
      <c r="C5" s="609"/>
    </row>
    <row r="6" spans="2:6" s="21" customFormat="1" ht="15.75">
      <c r="B6" s="593" t="s">
        <v>39</v>
      </c>
      <c r="C6" s="593"/>
      <c r="D6" s="56"/>
      <c r="E6" s="56"/>
      <c r="F6" s="56"/>
    </row>
    <row r="7" spans="2:6" s="11" customFormat="1" ht="15">
      <c r="B7" s="592" t="s">
        <v>537</v>
      </c>
      <c r="C7" s="592"/>
      <c r="D7" s="55"/>
      <c r="E7" s="55"/>
      <c r="F7" s="55"/>
    </row>
    <row r="8" ht="15.75" customHeight="1" thickBot="1">
      <c r="C8" s="41"/>
    </row>
    <row r="9" spans="1:3" ht="15" customHeight="1">
      <c r="A9" s="610" t="s">
        <v>474</v>
      </c>
      <c r="B9" s="42"/>
      <c r="C9" s="43" t="s">
        <v>19</v>
      </c>
    </row>
    <row r="10" spans="1:3" ht="15.75" customHeight="1">
      <c r="A10" s="611"/>
      <c r="B10" s="44" t="s">
        <v>0</v>
      </c>
      <c r="C10" s="45"/>
    </row>
    <row r="11" spans="1:3" ht="15.75" thickBot="1">
      <c r="A11" s="612"/>
      <c r="B11" s="46"/>
      <c r="C11" s="47" t="s">
        <v>10</v>
      </c>
    </row>
    <row r="12" ht="11.25" customHeight="1"/>
    <row r="13" ht="11.25" customHeight="1">
      <c r="C13" s="53"/>
    </row>
    <row r="14" spans="1:3" ht="15">
      <c r="A14" s="39" t="s">
        <v>43</v>
      </c>
      <c r="B14" s="48" t="s">
        <v>29</v>
      </c>
      <c r="C14" s="53"/>
    </row>
    <row r="15" spans="2:3" ht="15">
      <c r="B15" s="48" t="s">
        <v>9</v>
      </c>
      <c r="C15" s="53"/>
    </row>
    <row r="16" spans="1:3" ht="28.5" customHeight="1">
      <c r="A16" s="420" t="s">
        <v>27</v>
      </c>
      <c r="B16" s="185" t="s">
        <v>360</v>
      </c>
      <c r="C16" s="54">
        <v>46400</v>
      </c>
    </row>
    <row r="17" spans="1:3" ht="28.5" customHeight="1">
      <c r="A17" s="420"/>
      <c r="B17" s="185"/>
      <c r="C17" s="53"/>
    </row>
    <row r="18" spans="1:3" ht="15">
      <c r="A18" s="420" t="s">
        <v>44</v>
      </c>
      <c r="B18" s="39" t="s">
        <v>76</v>
      </c>
      <c r="C18" s="53">
        <v>350000</v>
      </c>
    </row>
    <row r="19" spans="1:3" ht="30">
      <c r="A19" s="420" t="s">
        <v>100</v>
      </c>
      <c r="B19" s="185" t="s">
        <v>357</v>
      </c>
      <c r="C19" s="53">
        <v>300000</v>
      </c>
    </row>
    <row r="20" spans="1:3" ht="15">
      <c r="A20" s="420" t="s">
        <v>101</v>
      </c>
      <c r="B20" s="185" t="s">
        <v>358</v>
      </c>
      <c r="C20" s="53">
        <v>715000</v>
      </c>
    </row>
    <row r="21" spans="1:3" ht="15">
      <c r="A21" s="420" t="s">
        <v>107</v>
      </c>
      <c r="B21" s="185" t="s">
        <v>359</v>
      </c>
      <c r="C21" s="53">
        <v>440000</v>
      </c>
    </row>
    <row r="23" spans="1:3" ht="15">
      <c r="A23" s="420" t="s">
        <v>242</v>
      </c>
      <c r="B23" s="39" t="s">
        <v>80</v>
      </c>
      <c r="C23" s="53">
        <v>210000</v>
      </c>
    </row>
    <row r="24" spans="1:3" ht="14.25" customHeight="1">
      <c r="A24" s="420" t="s">
        <v>244</v>
      </c>
      <c r="B24" s="39" t="s">
        <v>452</v>
      </c>
      <c r="C24" s="53">
        <v>1000000</v>
      </c>
    </row>
    <row r="25" spans="1:3" ht="15">
      <c r="A25" s="420" t="s">
        <v>246</v>
      </c>
      <c r="B25" s="48" t="s">
        <v>29</v>
      </c>
      <c r="C25" s="53"/>
    </row>
    <row r="26" spans="1:3" ht="15">
      <c r="A26" s="420"/>
      <c r="B26" s="48" t="s">
        <v>30</v>
      </c>
      <c r="C26" s="54">
        <f>SUM(C18:C25)</f>
        <v>3015000</v>
      </c>
    </row>
    <row r="27" spans="1:3" ht="11.25" customHeight="1">
      <c r="A27" s="420"/>
      <c r="C27" s="53"/>
    </row>
    <row r="28" spans="1:3" ht="15">
      <c r="A28" s="420" t="s">
        <v>252</v>
      </c>
      <c r="B28" s="48" t="s">
        <v>31</v>
      </c>
      <c r="C28" s="54">
        <f>C26+C16</f>
        <v>3061400</v>
      </c>
    </row>
    <row r="29" spans="1:3" ht="15">
      <c r="A29" s="420"/>
      <c r="B29" s="48"/>
      <c r="C29" s="54"/>
    </row>
    <row r="30" spans="1:5" ht="13.5" customHeight="1">
      <c r="A30" s="420"/>
      <c r="B30" s="14"/>
      <c r="C30" s="14"/>
      <c r="D30" s="11"/>
      <c r="E30" s="53"/>
    </row>
    <row r="31" spans="1:3" s="48" customFormat="1" ht="14.25">
      <c r="A31" s="421" t="s">
        <v>256</v>
      </c>
      <c r="B31" s="48" t="s">
        <v>282</v>
      </c>
      <c r="C31" s="54"/>
    </row>
    <row r="32" spans="1:3" ht="11.25" customHeight="1">
      <c r="A32" s="420"/>
      <c r="C32" s="53"/>
    </row>
    <row r="33" spans="1:3" ht="30" customHeight="1">
      <c r="A33" s="420" t="s">
        <v>261</v>
      </c>
      <c r="B33" s="185" t="s">
        <v>283</v>
      </c>
      <c r="C33" s="53">
        <v>1000000</v>
      </c>
    </row>
    <row r="34" spans="1:3" ht="11.25" customHeight="1">
      <c r="A34" s="420"/>
      <c r="C34" s="53"/>
    </row>
    <row r="35" spans="1:3" ht="15">
      <c r="A35" s="420" t="s">
        <v>263</v>
      </c>
      <c r="B35" s="48" t="s">
        <v>284</v>
      </c>
      <c r="C35" s="54">
        <f>C33</f>
        <v>1000000</v>
      </c>
    </row>
    <row r="36" spans="1:3" ht="11.25" customHeight="1">
      <c r="A36" s="420"/>
      <c r="C36" s="53"/>
    </row>
    <row r="37" spans="1:3" s="50" customFormat="1" ht="16.5">
      <c r="A37" s="422" t="s">
        <v>265</v>
      </c>
      <c r="B37" s="49" t="s">
        <v>32</v>
      </c>
      <c r="C37" s="60"/>
    </row>
    <row r="38" spans="1:3" s="50" customFormat="1" ht="16.5">
      <c r="A38" s="422"/>
      <c r="B38" s="49" t="s">
        <v>33</v>
      </c>
      <c r="C38" s="61">
        <f>C28+C35</f>
        <v>4061400</v>
      </c>
    </row>
  </sheetData>
  <sheetProtection password="AF00" sheet="1"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42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5" customFormat="1" ht="15.75">
      <c r="B1" s="541" t="s">
        <v>613</v>
      </c>
      <c r="C1" s="541"/>
      <c r="D1" s="146"/>
      <c r="E1" s="412"/>
    </row>
    <row r="2" spans="2:5" s="205" customFormat="1" ht="15.75">
      <c r="B2" s="613"/>
      <c r="C2" s="613"/>
      <c r="D2" s="146"/>
      <c r="E2" s="412"/>
    </row>
    <row r="4" spans="2:5" s="207" customFormat="1" ht="18.75">
      <c r="B4" s="206" t="s">
        <v>308</v>
      </c>
      <c r="C4" s="206"/>
      <c r="D4" s="15"/>
      <c r="E4" s="15"/>
    </row>
    <row r="5" spans="2:5" s="207" customFormat="1" ht="18.75">
      <c r="B5" s="502" t="s">
        <v>309</v>
      </c>
      <c r="C5" s="502"/>
      <c r="D5" s="15"/>
      <c r="E5" s="15"/>
    </row>
    <row r="6" spans="2:5" s="207" customFormat="1" ht="18.75">
      <c r="B6" s="502" t="s">
        <v>535</v>
      </c>
      <c r="C6" s="502"/>
      <c r="D6" s="15"/>
      <c r="E6" s="15"/>
    </row>
    <row r="7" ht="16.5" thickBot="1"/>
    <row r="8" spans="1:3" ht="15.75">
      <c r="A8" s="614" t="s">
        <v>474</v>
      </c>
      <c r="B8" s="208"/>
      <c r="C8" s="209" t="s">
        <v>10</v>
      </c>
    </row>
    <row r="9" spans="1:3" ht="15.75">
      <c r="A9" s="615"/>
      <c r="B9" s="210" t="s">
        <v>310</v>
      </c>
      <c r="C9" s="210"/>
    </row>
    <row r="10" spans="1:3" ht="16.5" thickBot="1">
      <c r="A10" s="616"/>
      <c r="B10" s="211"/>
      <c r="C10" s="212" t="s">
        <v>524</v>
      </c>
    </row>
    <row r="11" spans="2:3" ht="15.75">
      <c r="B11" s="213"/>
      <c r="C11" s="214"/>
    </row>
    <row r="12" spans="1:3" ht="31.5" customHeight="1">
      <c r="A12" s="423" t="s">
        <v>43</v>
      </c>
      <c r="B12" s="413" t="s">
        <v>525</v>
      </c>
      <c r="C12" s="214"/>
    </row>
    <row r="13" spans="1:3" ht="18" customHeight="1">
      <c r="A13" s="423" t="s">
        <v>493</v>
      </c>
      <c r="B13" s="217" t="s">
        <v>453</v>
      </c>
      <c r="C13" s="216">
        <v>80000</v>
      </c>
    </row>
    <row r="14" spans="1:3" ht="18" customHeight="1">
      <c r="A14" s="423"/>
      <c r="B14" s="217" t="s">
        <v>311</v>
      </c>
      <c r="C14" s="330">
        <v>21600</v>
      </c>
    </row>
    <row r="15" spans="1:3" ht="18" customHeight="1">
      <c r="A15" s="423"/>
      <c r="B15" s="213" t="s">
        <v>2</v>
      </c>
      <c r="C15" s="218">
        <f>SUM(C13:C14)</f>
        <v>101600</v>
      </c>
    </row>
    <row r="16" spans="1:3" ht="18" customHeight="1">
      <c r="A16" s="423"/>
      <c r="B16" s="213"/>
      <c r="C16" s="218"/>
    </row>
    <row r="17" spans="1:3" ht="18" customHeight="1">
      <c r="A17" s="423" t="s">
        <v>27</v>
      </c>
      <c r="B17" s="414" t="s">
        <v>458</v>
      </c>
      <c r="C17" s="218"/>
    </row>
    <row r="18" spans="1:3" ht="18" customHeight="1">
      <c r="A18" s="423" t="s">
        <v>529</v>
      </c>
      <c r="B18" s="217" t="s">
        <v>459</v>
      </c>
      <c r="C18" s="216">
        <v>141700</v>
      </c>
    </row>
    <row r="19" spans="1:3" ht="18" customHeight="1">
      <c r="A19" s="423"/>
      <c r="B19" s="217" t="s">
        <v>311</v>
      </c>
      <c r="C19" s="333">
        <v>38259</v>
      </c>
    </row>
    <row r="20" spans="1:3" ht="18" customHeight="1">
      <c r="A20" s="423"/>
      <c r="B20" s="213" t="s">
        <v>2</v>
      </c>
      <c r="C20" s="218">
        <f>SUM(C18:C19)</f>
        <v>179959</v>
      </c>
    </row>
    <row r="21" spans="1:3" ht="18" customHeight="1">
      <c r="A21" s="423"/>
      <c r="B21" s="213"/>
      <c r="C21" s="218"/>
    </row>
    <row r="22" spans="1:3" ht="18" customHeight="1">
      <c r="A22" s="423" t="s">
        <v>44</v>
      </c>
      <c r="B22" s="414" t="s">
        <v>454</v>
      </c>
      <c r="C22" s="214"/>
    </row>
    <row r="23" spans="1:3" ht="18" customHeight="1">
      <c r="A23" s="423" t="s">
        <v>505</v>
      </c>
      <c r="B23" s="415" t="s">
        <v>526</v>
      </c>
      <c r="C23" s="329">
        <v>60000</v>
      </c>
    </row>
    <row r="24" spans="1:3" ht="18" customHeight="1">
      <c r="A24" s="423"/>
      <c r="B24" s="217" t="s">
        <v>311</v>
      </c>
      <c r="C24" s="330">
        <v>16200</v>
      </c>
    </row>
    <row r="25" spans="1:3" ht="18" customHeight="1">
      <c r="A25" s="423"/>
      <c r="B25" s="213" t="s">
        <v>2</v>
      </c>
      <c r="C25" s="218">
        <f>SUM(C23:C24)</f>
        <v>76200</v>
      </c>
    </row>
    <row r="26" spans="1:3" ht="18" customHeight="1">
      <c r="A26" s="423"/>
      <c r="B26" s="213"/>
      <c r="C26" s="218"/>
    </row>
    <row r="27" spans="1:3" ht="18" customHeight="1">
      <c r="A27" s="423" t="s">
        <v>100</v>
      </c>
      <c r="B27" s="414" t="s">
        <v>455</v>
      </c>
      <c r="C27" s="218"/>
    </row>
    <row r="28" spans="1:3" ht="18" customHeight="1">
      <c r="A28" s="423" t="s">
        <v>513</v>
      </c>
      <c r="B28" s="415" t="s">
        <v>526</v>
      </c>
      <c r="C28" s="331">
        <v>9600</v>
      </c>
    </row>
    <row r="29" spans="1:3" ht="18" customHeight="1">
      <c r="A29" s="423"/>
      <c r="B29" s="217" t="s">
        <v>311</v>
      </c>
      <c r="C29" s="332">
        <v>2592</v>
      </c>
    </row>
    <row r="30" spans="1:3" ht="18" customHeight="1">
      <c r="A30" s="423"/>
      <c r="B30" s="213" t="s">
        <v>2</v>
      </c>
      <c r="C30" s="218">
        <f>SUM(C28:C29)</f>
        <v>12192</v>
      </c>
    </row>
    <row r="31" spans="1:3" ht="18" customHeight="1">
      <c r="A31" s="423"/>
      <c r="B31" s="213"/>
      <c r="C31" s="218"/>
    </row>
    <row r="32" spans="1:3" ht="18" customHeight="1">
      <c r="A32" s="423" t="s">
        <v>101</v>
      </c>
      <c r="B32" s="414" t="s">
        <v>456</v>
      </c>
      <c r="C32" s="218"/>
    </row>
    <row r="33" spans="1:3" ht="18" customHeight="1">
      <c r="A33" s="423" t="s">
        <v>530</v>
      </c>
      <c r="B33" s="415" t="s">
        <v>526</v>
      </c>
      <c r="C33" s="331">
        <v>13200</v>
      </c>
    </row>
    <row r="34" spans="1:3" ht="18" customHeight="1">
      <c r="A34" s="423"/>
      <c r="B34" s="217" t="s">
        <v>311</v>
      </c>
      <c r="C34" s="332">
        <v>3564</v>
      </c>
    </row>
    <row r="35" spans="1:3" ht="18" customHeight="1">
      <c r="A35" s="423"/>
      <c r="B35" s="213" t="s">
        <v>2</v>
      </c>
      <c r="C35" s="218">
        <f>SUM(C33:C34)</f>
        <v>16764</v>
      </c>
    </row>
    <row r="36" spans="1:3" ht="18" customHeight="1">
      <c r="A36" s="423"/>
      <c r="B36" s="213"/>
      <c r="C36" s="218"/>
    </row>
    <row r="37" spans="1:3" ht="18" customHeight="1">
      <c r="A37" s="423" t="s">
        <v>107</v>
      </c>
      <c r="B37" s="416" t="s">
        <v>457</v>
      </c>
      <c r="C37" s="218"/>
    </row>
    <row r="38" spans="1:3" ht="18" customHeight="1">
      <c r="A38" s="423" t="s">
        <v>531</v>
      </c>
      <c r="B38" s="415" t="s">
        <v>526</v>
      </c>
      <c r="C38" s="331">
        <v>37200</v>
      </c>
    </row>
    <row r="39" spans="1:3" ht="18" customHeight="1">
      <c r="A39" s="423"/>
      <c r="B39" s="217" t="s">
        <v>311</v>
      </c>
      <c r="C39" s="332">
        <v>10044</v>
      </c>
    </row>
    <row r="40" spans="1:3" ht="18" customHeight="1">
      <c r="A40" s="423"/>
      <c r="B40" s="213" t="s">
        <v>2</v>
      </c>
      <c r="C40" s="218">
        <f>SUM(C38:C39)</f>
        <v>47244</v>
      </c>
    </row>
    <row r="41" spans="1:3" ht="18" customHeight="1">
      <c r="A41" s="423"/>
      <c r="B41" s="213"/>
      <c r="C41" s="215"/>
    </row>
    <row r="42" spans="1:3" ht="18" customHeight="1">
      <c r="A42" s="423" t="s">
        <v>242</v>
      </c>
      <c r="B42" s="213" t="s">
        <v>312</v>
      </c>
      <c r="C42" s="218">
        <f>C15+C20+C25+C30+C35+C40</f>
        <v>433959</v>
      </c>
    </row>
  </sheetData>
  <sheetProtection password="AF00" sheet="1"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2018-02-26T09:51:46Z</cp:lastPrinted>
  <dcterms:created xsi:type="dcterms:W3CDTF">2002-11-26T17:22:50Z</dcterms:created>
  <dcterms:modified xsi:type="dcterms:W3CDTF">2018-02-27T10:39:53Z</dcterms:modified>
  <cp:category/>
  <cp:version/>
  <cp:contentType/>
  <cp:contentStatus/>
</cp:coreProperties>
</file>