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120" yWindow="-90" windowWidth="12120" windowHeight="8190" tabRatio="597"/>
  </bookViews>
  <sheets>
    <sheet name="bevétel 1.sz." sheetId="100" r:id="rId1"/>
    <sheet name="kiadás 2.sz. " sheetId="101" r:id="rId2"/>
    <sheet name="2.a Gyermekvilág Óvoda" sheetId="102" r:id="rId3"/>
    <sheet name="2.b KÖH" sheetId="103" r:id="rId4"/>
    <sheet name="3. sz. létszám" sheetId="104" r:id="rId5"/>
    <sheet name="4. melléklet" sheetId="105" r:id="rId6"/>
    <sheet name="5.a melléklet-hitelek" sheetId="87" r:id="rId7"/>
    <sheet name="5.b melléklet-kezességv." sheetId="86" r:id="rId8"/>
    <sheet name="5.c melléklet-szerződések-ÖK" sheetId="92" r:id="rId9"/>
    <sheet name="5.c melléklet-szerződések-PH" sheetId="93" r:id="rId10"/>
    <sheet name="6. melléklet" sheetId="85" r:id="rId11"/>
    <sheet name="7. melléklet" sheetId="88" r:id="rId12"/>
    <sheet name="8. melléklet" sheetId="84" r:id="rId13"/>
    <sheet name="8.a melléklet" sheetId="91" r:id="rId14"/>
    <sheet name="9. melléklet" sheetId="83" r:id="rId15"/>
    <sheet name="10. melléklet EU" sheetId="80" r:id="rId16"/>
  </sheets>
  <externalReferences>
    <externalReference r:id="rId17"/>
  </externalReferences>
  <definedNames>
    <definedName name="_xlnm.Print_Titles" localSheetId="15">'10. melléklet EU'!$1:$5</definedName>
    <definedName name="_xlnm.Print_Titles" localSheetId="2">'2.a Gyermekvilág Óvoda'!$6:$6</definedName>
    <definedName name="_xlnm.Print_Titles" localSheetId="3">'2.b KÖH'!$7:$7</definedName>
    <definedName name="_xlnm.Print_Titles" localSheetId="8">'5.c melléklet-szerződések-ÖK'!$1:$4</definedName>
    <definedName name="_xlnm.Print_Titles" localSheetId="9">'5.c melléklet-szerződések-PH'!$1:$4</definedName>
    <definedName name="_xlnm.Print_Titles" localSheetId="0">'bevétel 1.sz.'!$6:$8</definedName>
    <definedName name="_xlnm.Print_Titles" localSheetId="1">'kiadás 2.sz. '!$6:$8</definedName>
    <definedName name="_xlnm.Print_Area" localSheetId="15">'10. melléklet EU'!$A$1:$G$45</definedName>
    <definedName name="_xlnm.Print_Area" localSheetId="2">'2.a Gyermekvilág Óvoda'!$A$1:$Q$11</definedName>
    <definedName name="_xlnm.Print_Area" localSheetId="3">'2.b KÖH'!$A$1:$Q$11</definedName>
    <definedName name="_xlnm.Print_Area" localSheetId="4">'3. sz. létszám'!$A$1:$G$27</definedName>
    <definedName name="_xlnm.Print_Area" localSheetId="7">'5.b melléklet-kezességv.'!$A$1:$J$20</definedName>
    <definedName name="_xlnm.Print_Area" localSheetId="8">'5.c melléklet-szerződések-ÖK'!$A$1:$G$125</definedName>
    <definedName name="_xlnm.Print_Area" localSheetId="9">'5.c melléklet-szerződések-PH'!$A$1:$G$65</definedName>
    <definedName name="_xlnm.Print_Area" localSheetId="10">'6. melléklet'!#REF!</definedName>
    <definedName name="_xlnm.Print_Area" localSheetId="13">'8.a melléklet'!$A$1:$T$20</definedName>
    <definedName name="_xlnm.Print_Area" localSheetId="0">'bevétel 1.sz.'!$A$1:$K$225</definedName>
    <definedName name="_xlnm.Print_Area" localSheetId="1">'kiadás 2.sz. '!$A$1:$K$306</definedName>
  </definedNames>
  <calcPr calcId="125725"/>
</workbook>
</file>

<file path=xl/calcChain.xml><?xml version="1.0" encoding="utf-8"?>
<calcChain xmlns="http://schemas.openxmlformats.org/spreadsheetml/2006/main">
  <c r="J31" i="105"/>
  <c r="I31"/>
  <c r="H31"/>
  <c r="C31"/>
  <c r="B31"/>
  <c r="K28"/>
  <c r="E28"/>
  <c r="D28"/>
  <c r="K27"/>
  <c r="E27"/>
  <c r="D27"/>
  <c r="K26"/>
  <c r="E26"/>
  <c r="D26"/>
  <c r="K25"/>
  <c r="E25"/>
  <c r="D25"/>
  <c r="K24"/>
  <c r="E24"/>
  <c r="K23"/>
  <c r="E23"/>
  <c r="E31" s="1"/>
  <c r="D23"/>
  <c r="D31" s="1"/>
  <c r="J21"/>
  <c r="J35" s="1"/>
  <c r="I21"/>
  <c r="I35" s="1"/>
  <c r="H21"/>
  <c r="H35" s="1"/>
  <c r="C21"/>
  <c r="C35" s="1"/>
  <c r="B21"/>
  <c r="B35" s="1"/>
  <c r="K17"/>
  <c r="E17"/>
  <c r="D17"/>
  <c r="E16"/>
  <c r="D16"/>
  <c r="K15"/>
  <c r="K14"/>
  <c r="E14"/>
  <c r="K13"/>
  <c r="K12"/>
  <c r="E12"/>
  <c r="D12"/>
  <c r="K11"/>
  <c r="E11"/>
  <c r="D11"/>
  <c r="K10"/>
  <c r="E10"/>
  <c r="D10"/>
  <c r="K9"/>
  <c r="K21" s="1"/>
  <c r="E9"/>
  <c r="E21" s="1"/>
  <c r="D9"/>
  <c r="F27" i="104"/>
  <c r="E27"/>
  <c r="D27"/>
  <c r="C27"/>
  <c r="B27"/>
  <c r="G26"/>
  <c r="G25"/>
  <c r="G24"/>
  <c r="G23"/>
  <c r="G22"/>
  <c r="G21"/>
  <c r="G20"/>
  <c r="G19"/>
  <c r="G18"/>
  <c r="G17"/>
  <c r="G16"/>
  <c r="G15"/>
  <c r="G14"/>
  <c r="G13"/>
  <c r="G12"/>
  <c r="G11"/>
  <c r="G27" s="1"/>
  <c r="O11" i="103"/>
  <c r="N11"/>
  <c r="M11"/>
  <c r="L11"/>
  <c r="K11"/>
  <c r="J11"/>
  <c r="I11"/>
  <c r="H11"/>
  <c r="G11"/>
  <c r="F11"/>
  <c r="E11"/>
  <c r="D11"/>
  <c r="C11"/>
  <c r="B11"/>
  <c r="Q10"/>
  <c r="P10"/>
  <c r="Q9"/>
  <c r="Q11" s="1"/>
  <c r="P9"/>
  <c r="P11" s="1"/>
  <c r="O11" i="102"/>
  <c r="N11"/>
  <c r="M11"/>
  <c r="L11"/>
  <c r="K11"/>
  <c r="J11"/>
  <c r="I11"/>
  <c r="H11"/>
  <c r="G11"/>
  <c r="F11"/>
  <c r="E11"/>
  <c r="D11"/>
  <c r="C11"/>
  <c r="B11"/>
  <c r="Q10"/>
  <c r="P10"/>
  <c r="Q9"/>
  <c r="P9"/>
  <c r="Q8"/>
  <c r="Q11" s="1"/>
  <c r="P8"/>
  <c r="P11" s="1"/>
  <c r="K303" i="101"/>
  <c r="J303"/>
  <c r="I303"/>
  <c r="H303"/>
  <c r="G303"/>
  <c r="F303"/>
  <c r="E303"/>
  <c r="D303"/>
  <c r="K293"/>
  <c r="J293"/>
  <c r="I293"/>
  <c r="H293"/>
  <c r="G293"/>
  <c r="F293"/>
  <c r="E293"/>
  <c r="D293"/>
  <c r="K288"/>
  <c r="K294" s="1"/>
  <c r="K296" s="1"/>
  <c r="J288"/>
  <c r="J294" s="1"/>
  <c r="I288"/>
  <c r="I294" s="1"/>
  <c r="H288"/>
  <c r="H294" s="1"/>
  <c r="G288"/>
  <c r="G294" s="1"/>
  <c r="F288"/>
  <c r="F294" s="1"/>
  <c r="E288"/>
  <c r="E294" s="1"/>
  <c r="D288"/>
  <c r="D294" s="1"/>
  <c r="K280"/>
  <c r="J280"/>
  <c r="I280"/>
  <c r="H280"/>
  <c r="G280"/>
  <c r="F280"/>
  <c r="E280"/>
  <c r="D280"/>
  <c r="K244"/>
  <c r="J244"/>
  <c r="I244"/>
  <c r="H244"/>
  <c r="G244"/>
  <c r="F244"/>
  <c r="E244"/>
  <c r="D244"/>
  <c r="K212"/>
  <c r="J212"/>
  <c r="I212"/>
  <c r="G212"/>
  <c r="F212"/>
  <c r="E212"/>
  <c r="D212"/>
  <c r="H208"/>
  <c r="H212" s="1"/>
  <c r="K195"/>
  <c r="K216"/>
  <c r="J195"/>
  <c r="I195"/>
  <c r="H195"/>
  <c r="G195"/>
  <c r="F195"/>
  <c r="E195"/>
  <c r="D195"/>
  <c r="J178"/>
  <c r="J216" s="1"/>
  <c r="J296" s="1"/>
  <c r="I178"/>
  <c r="I216" s="1"/>
  <c r="I296" s="1"/>
  <c r="H178"/>
  <c r="H216" s="1"/>
  <c r="H296" s="1"/>
  <c r="G178"/>
  <c r="G216" s="1"/>
  <c r="G296" s="1"/>
  <c r="F178"/>
  <c r="F216" s="1"/>
  <c r="F296" s="1"/>
  <c r="E178"/>
  <c r="E216" s="1"/>
  <c r="E296" s="1"/>
  <c r="D178"/>
  <c r="D216" s="1"/>
  <c r="D296" s="1"/>
  <c r="K168"/>
  <c r="J168"/>
  <c r="I168"/>
  <c r="H168"/>
  <c r="G168"/>
  <c r="F168"/>
  <c r="E168"/>
  <c r="D168"/>
  <c r="K152"/>
  <c r="J152"/>
  <c r="I152"/>
  <c r="H152"/>
  <c r="G152"/>
  <c r="F152"/>
  <c r="E152"/>
  <c r="D152"/>
  <c r="K93"/>
  <c r="J93"/>
  <c r="I93"/>
  <c r="H93"/>
  <c r="G93"/>
  <c r="F93"/>
  <c r="E93"/>
  <c r="D93"/>
  <c r="K84"/>
  <c r="J84"/>
  <c r="I84"/>
  <c r="H84"/>
  <c r="G84"/>
  <c r="F84"/>
  <c r="E84"/>
  <c r="D84"/>
  <c r="K73"/>
  <c r="K74"/>
  <c r="J73"/>
  <c r="J74"/>
  <c r="I73"/>
  <c r="H73"/>
  <c r="G73"/>
  <c r="G74" s="1"/>
  <c r="F73"/>
  <c r="F74" s="1"/>
  <c r="E73"/>
  <c r="D73"/>
  <c r="I67"/>
  <c r="I74" s="1"/>
  <c r="H67"/>
  <c r="H74"/>
  <c r="E67"/>
  <c r="E74"/>
  <c r="D67"/>
  <c r="D74"/>
  <c r="K56"/>
  <c r="K57"/>
  <c r="J56"/>
  <c r="J57"/>
  <c r="I56"/>
  <c r="I57"/>
  <c r="H56"/>
  <c r="H57"/>
  <c r="G56"/>
  <c r="G57"/>
  <c r="F56"/>
  <c r="F57"/>
  <c r="E56"/>
  <c r="E57"/>
  <c r="D56"/>
  <c r="D57"/>
  <c r="K47"/>
  <c r="J47"/>
  <c r="I47"/>
  <c r="H47"/>
  <c r="G47"/>
  <c r="F47"/>
  <c r="E47"/>
  <c r="D47"/>
  <c r="K44"/>
  <c r="K48"/>
  <c r="J44"/>
  <c r="J48"/>
  <c r="I44"/>
  <c r="I48"/>
  <c r="H44"/>
  <c r="H48"/>
  <c r="G44"/>
  <c r="G48"/>
  <c r="F44"/>
  <c r="F48"/>
  <c r="E44"/>
  <c r="E48"/>
  <c r="D44"/>
  <c r="D48"/>
  <c r="K32"/>
  <c r="K33"/>
  <c r="J32"/>
  <c r="I32"/>
  <c r="I33"/>
  <c r="H32"/>
  <c r="G32"/>
  <c r="G33"/>
  <c r="F32"/>
  <c r="E32"/>
  <c r="E33"/>
  <c r="D32"/>
  <c r="K27"/>
  <c r="J27"/>
  <c r="J33" s="1"/>
  <c r="I27"/>
  <c r="H27"/>
  <c r="H33" s="1"/>
  <c r="G27"/>
  <c r="F27"/>
  <c r="F33" s="1"/>
  <c r="E27"/>
  <c r="D27"/>
  <c r="D33" s="1"/>
  <c r="K18"/>
  <c r="J18"/>
  <c r="I18"/>
  <c r="H18"/>
  <c r="G18"/>
  <c r="F18"/>
  <c r="E18"/>
  <c r="D18"/>
  <c r="K15"/>
  <c r="K19"/>
  <c r="K59" s="1"/>
  <c r="K306" s="1"/>
  <c r="J15"/>
  <c r="J19"/>
  <c r="J59" s="1"/>
  <c r="J306" s="1"/>
  <c r="I15"/>
  <c r="I19"/>
  <c r="I59" s="1"/>
  <c r="I306" s="1"/>
  <c r="H15"/>
  <c r="H19"/>
  <c r="H59" s="1"/>
  <c r="H306" s="1"/>
  <c r="G15"/>
  <c r="G19"/>
  <c r="G59" s="1"/>
  <c r="G306" s="1"/>
  <c r="F15"/>
  <c r="F19"/>
  <c r="F59" s="1"/>
  <c r="F306" s="1"/>
  <c r="E15"/>
  <c r="E19"/>
  <c r="E59" s="1"/>
  <c r="E306" s="1"/>
  <c r="D15"/>
  <c r="D19"/>
  <c r="D59" s="1"/>
  <c r="D306" s="1"/>
  <c r="K222" i="100"/>
  <c r="J222"/>
  <c r="I222"/>
  <c r="H222"/>
  <c r="G222"/>
  <c r="F222"/>
  <c r="E222"/>
  <c r="D222"/>
  <c r="K216"/>
  <c r="J216"/>
  <c r="I216"/>
  <c r="H216"/>
  <c r="G216"/>
  <c r="F216"/>
  <c r="E216"/>
  <c r="D216"/>
  <c r="K205"/>
  <c r="J205"/>
  <c r="I205"/>
  <c r="H205"/>
  <c r="G205"/>
  <c r="F205"/>
  <c r="E205"/>
  <c r="D205"/>
  <c r="K188"/>
  <c r="K189"/>
  <c r="J188"/>
  <c r="J189"/>
  <c r="I188"/>
  <c r="I189"/>
  <c r="H188"/>
  <c r="H189"/>
  <c r="G188"/>
  <c r="G189"/>
  <c r="F188"/>
  <c r="F189"/>
  <c r="E188"/>
  <c r="E189"/>
  <c r="D188"/>
  <c r="D189"/>
  <c r="K178"/>
  <c r="J178"/>
  <c r="I178"/>
  <c r="H178"/>
  <c r="G178"/>
  <c r="F178"/>
  <c r="E178"/>
  <c r="D178"/>
  <c r="K170"/>
  <c r="K180"/>
  <c r="J170"/>
  <c r="J180"/>
  <c r="I170"/>
  <c r="I180"/>
  <c r="H170"/>
  <c r="H180"/>
  <c r="G170"/>
  <c r="G180"/>
  <c r="F170"/>
  <c r="F180"/>
  <c r="E170"/>
  <c r="E180"/>
  <c r="D170"/>
  <c r="D180"/>
  <c r="K163"/>
  <c r="J163"/>
  <c r="I163"/>
  <c r="H163"/>
  <c r="G163"/>
  <c r="F163"/>
  <c r="E163"/>
  <c r="D163"/>
  <c r="K156"/>
  <c r="K165"/>
  <c r="J156"/>
  <c r="J165"/>
  <c r="I156"/>
  <c r="I165"/>
  <c r="H156"/>
  <c r="H165"/>
  <c r="G156"/>
  <c r="G165"/>
  <c r="F156"/>
  <c r="F165"/>
  <c r="E156"/>
  <c r="E165"/>
  <c r="D156"/>
  <c r="D165"/>
  <c r="K132"/>
  <c r="J132"/>
  <c r="I132"/>
  <c r="H132"/>
  <c r="G132"/>
  <c r="F132"/>
  <c r="E132"/>
  <c r="D132"/>
  <c r="K122"/>
  <c r="J122"/>
  <c r="I122"/>
  <c r="H122"/>
  <c r="K119"/>
  <c r="K123"/>
  <c r="J119"/>
  <c r="J123"/>
  <c r="I119"/>
  <c r="I123"/>
  <c r="H119"/>
  <c r="H123"/>
  <c r="K111"/>
  <c r="J111"/>
  <c r="I111"/>
  <c r="H111"/>
  <c r="G111"/>
  <c r="F111"/>
  <c r="E111"/>
  <c r="D111"/>
  <c r="K98"/>
  <c r="K125"/>
  <c r="J98"/>
  <c r="J125"/>
  <c r="I98"/>
  <c r="I125"/>
  <c r="H98"/>
  <c r="H125"/>
  <c r="G98"/>
  <c r="G125"/>
  <c r="F98"/>
  <c r="F125"/>
  <c r="E98"/>
  <c r="E125"/>
  <c r="D98"/>
  <c r="D125"/>
  <c r="K87"/>
  <c r="J87"/>
  <c r="I87"/>
  <c r="H87"/>
  <c r="G87"/>
  <c r="F87"/>
  <c r="E87"/>
  <c r="D87"/>
  <c r="K83"/>
  <c r="J83"/>
  <c r="I83"/>
  <c r="H83"/>
  <c r="G83"/>
  <c r="F83"/>
  <c r="E83"/>
  <c r="D83"/>
  <c r="K79"/>
  <c r="K88"/>
  <c r="J79"/>
  <c r="J88"/>
  <c r="I79"/>
  <c r="I88"/>
  <c r="H79"/>
  <c r="H88"/>
  <c r="G79"/>
  <c r="G88"/>
  <c r="F79"/>
  <c r="F88"/>
  <c r="E79"/>
  <c r="E88"/>
  <c r="D79"/>
  <c r="D88"/>
  <c r="K71"/>
  <c r="K89"/>
  <c r="K191" s="1"/>
  <c r="J71"/>
  <c r="J89" s="1"/>
  <c r="J191" s="1"/>
  <c r="I71"/>
  <c r="I89"/>
  <c r="I191" s="1"/>
  <c r="H71"/>
  <c r="H89" s="1"/>
  <c r="H191" s="1"/>
  <c r="G71"/>
  <c r="G89"/>
  <c r="G191" s="1"/>
  <c r="F71"/>
  <c r="F89" s="1"/>
  <c r="F191" s="1"/>
  <c r="E71"/>
  <c r="E89"/>
  <c r="E191" s="1"/>
  <c r="D71"/>
  <c r="D89" s="1"/>
  <c r="D191" s="1"/>
  <c r="K62"/>
  <c r="J62"/>
  <c r="I62"/>
  <c r="H62"/>
  <c r="G62"/>
  <c r="F62"/>
  <c r="E62"/>
  <c r="D62"/>
  <c r="K56"/>
  <c r="K63"/>
  <c r="J56"/>
  <c r="J63"/>
  <c r="I56"/>
  <c r="I63"/>
  <c r="H56"/>
  <c r="H63"/>
  <c r="G56"/>
  <c r="G63"/>
  <c r="F56"/>
  <c r="F63"/>
  <c r="E56"/>
  <c r="E63"/>
  <c r="D56"/>
  <c r="D63"/>
  <c r="K48"/>
  <c r="J48"/>
  <c r="G48"/>
  <c r="F48"/>
  <c r="E48"/>
  <c r="D48"/>
  <c r="I47"/>
  <c r="I48" s="1"/>
  <c r="H47"/>
  <c r="H48" s="1"/>
  <c r="K39"/>
  <c r="J39"/>
  <c r="G39"/>
  <c r="F39"/>
  <c r="E39"/>
  <c r="D39"/>
  <c r="I38"/>
  <c r="I39" s="1"/>
  <c r="I50" s="1"/>
  <c r="I194" s="1"/>
  <c r="I225" s="1"/>
  <c r="H38"/>
  <c r="H39"/>
  <c r="K30"/>
  <c r="J30"/>
  <c r="I30"/>
  <c r="H30"/>
  <c r="K26"/>
  <c r="K31"/>
  <c r="J26"/>
  <c r="J31"/>
  <c r="I26"/>
  <c r="I31"/>
  <c r="H26"/>
  <c r="H31"/>
  <c r="G26"/>
  <c r="G31"/>
  <c r="F26"/>
  <c r="F31"/>
  <c r="E26"/>
  <c r="E31"/>
  <c r="D26"/>
  <c r="D31"/>
  <c r="K19"/>
  <c r="J19"/>
  <c r="I19"/>
  <c r="H19"/>
  <c r="K15"/>
  <c r="K20"/>
  <c r="K50" s="1"/>
  <c r="K194" s="1"/>
  <c r="K225" s="1"/>
  <c r="J15"/>
  <c r="J20" s="1"/>
  <c r="J50" s="1"/>
  <c r="J194" s="1"/>
  <c r="J225" s="1"/>
  <c r="I15"/>
  <c r="I20"/>
  <c r="H15"/>
  <c r="H20"/>
  <c r="H50" s="1"/>
  <c r="H194" s="1"/>
  <c r="H225" s="1"/>
  <c r="G15"/>
  <c r="G20" s="1"/>
  <c r="G50" s="1"/>
  <c r="G194" s="1"/>
  <c r="G225" s="1"/>
  <c r="F15"/>
  <c r="F20"/>
  <c r="F50" s="1"/>
  <c r="F194" s="1"/>
  <c r="F225" s="1"/>
  <c r="E15"/>
  <c r="E20" s="1"/>
  <c r="E50" s="1"/>
  <c r="E194" s="1"/>
  <c r="E225" s="1"/>
  <c r="D15"/>
  <c r="D20"/>
  <c r="D50" s="1"/>
  <c r="D194" s="1"/>
  <c r="D225" s="1"/>
  <c r="F6" i="92"/>
  <c r="F8" s="1"/>
  <c r="G8"/>
  <c r="F9"/>
  <c r="F11"/>
  <c r="G11"/>
  <c r="F12"/>
  <c r="F15" s="1"/>
  <c r="F14"/>
  <c r="G15"/>
  <c r="F16"/>
  <c r="F18" s="1"/>
  <c r="F17"/>
  <c r="G18"/>
  <c r="F19"/>
  <c r="F20" s="1"/>
  <c r="G20"/>
  <c r="F21"/>
  <c r="F23"/>
  <c r="F25" s="1"/>
  <c r="G25"/>
  <c r="F29"/>
  <c r="F30"/>
  <c r="F32" s="1"/>
  <c r="F31"/>
  <c r="G32"/>
  <c r="F33"/>
  <c r="F36"/>
  <c r="F37"/>
  <c r="F38"/>
  <c r="G38"/>
  <c r="F39"/>
  <c r="F40"/>
  <c r="F42"/>
  <c r="F43"/>
  <c r="G43"/>
  <c r="F44"/>
  <c r="F46"/>
  <c r="F47"/>
  <c r="G48"/>
  <c r="F48"/>
  <c r="G49"/>
  <c r="F49"/>
  <c r="F51" s="1"/>
  <c r="F50"/>
  <c r="F52"/>
  <c r="F53"/>
  <c r="G53"/>
  <c r="F54"/>
  <c r="F55"/>
  <c r="F56"/>
  <c r="F57"/>
  <c r="G57"/>
  <c r="F58"/>
  <c r="F62" s="1"/>
  <c r="G62"/>
  <c r="F63"/>
  <c r="F64"/>
  <c r="F68" s="1"/>
  <c r="F66"/>
  <c r="F67"/>
  <c r="G68"/>
  <c r="F69"/>
  <c r="F70"/>
  <c r="G69"/>
  <c r="G70"/>
  <c r="F72"/>
  <c r="G72"/>
  <c r="F73"/>
  <c r="F74"/>
  <c r="F75"/>
  <c r="F76"/>
  <c r="G76"/>
  <c r="G77"/>
  <c r="F77" s="1"/>
  <c r="F91" s="1"/>
  <c r="F78"/>
  <c r="G78"/>
  <c r="F80"/>
  <c r="F81"/>
  <c r="G81"/>
  <c r="F83"/>
  <c r="F84"/>
  <c r="F85"/>
  <c r="F87"/>
  <c r="F89"/>
  <c r="F94"/>
  <c r="F96"/>
  <c r="F95"/>
  <c r="G96"/>
  <c r="G97"/>
  <c r="G98"/>
  <c r="F98"/>
  <c r="F101"/>
  <c r="F102" s="1"/>
  <c r="G102"/>
  <c r="F103"/>
  <c r="F105"/>
  <c r="G105"/>
  <c r="F106"/>
  <c r="F107"/>
  <c r="G107"/>
  <c r="F108"/>
  <c r="F109" s="1"/>
  <c r="G109"/>
  <c r="F113"/>
  <c r="G113"/>
  <c r="F114"/>
  <c r="F115"/>
  <c r="G115"/>
  <c r="F117"/>
  <c r="G117"/>
  <c r="G118"/>
  <c r="F118"/>
  <c r="F119" s="1"/>
  <c r="F120"/>
  <c r="F121" s="1"/>
  <c r="G121"/>
  <c r="G122"/>
  <c r="F122"/>
  <c r="F124" s="1"/>
  <c r="F123"/>
  <c r="G124"/>
  <c r="G6" i="93"/>
  <c r="F7"/>
  <c r="F8"/>
  <c r="F9"/>
  <c r="F10"/>
  <c r="F11"/>
  <c r="F12"/>
  <c r="F13"/>
  <c r="F14"/>
  <c r="G14"/>
  <c r="G65" s="1"/>
  <c r="F15"/>
  <c r="F16"/>
  <c r="F17"/>
  <c r="F18"/>
  <c r="F20"/>
  <c r="F21"/>
  <c r="F22"/>
  <c r="F23"/>
  <c r="F24"/>
  <c r="F25"/>
  <c r="F26"/>
  <c r="G28"/>
  <c r="F28" s="1"/>
  <c r="F65" s="1"/>
  <c r="F29"/>
  <c r="F30"/>
  <c r="F31"/>
  <c r="F32"/>
  <c r="F33"/>
  <c r="F34"/>
  <c r="F35"/>
  <c r="F36"/>
  <c r="F37"/>
  <c r="F38"/>
  <c r="F39"/>
  <c r="G40"/>
  <c r="F40"/>
  <c r="F41"/>
  <c r="G42"/>
  <c r="F42" s="1"/>
  <c r="F43"/>
  <c r="F44"/>
  <c r="F45"/>
  <c r="F46"/>
  <c r="F47"/>
  <c r="F48"/>
  <c r="F49"/>
  <c r="G49"/>
  <c r="F50"/>
  <c r="G51"/>
  <c r="F51"/>
  <c r="F52"/>
  <c r="F53"/>
  <c r="F54"/>
  <c r="F55"/>
  <c r="G56"/>
  <c r="F56"/>
  <c r="F57"/>
  <c r="F58"/>
  <c r="F59"/>
  <c r="F60"/>
  <c r="G60"/>
  <c r="F61"/>
  <c r="F62"/>
  <c r="F63"/>
  <c r="F64"/>
  <c r="E6" i="91"/>
  <c r="F6"/>
  <c r="F14"/>
  <c r="G6"/>
  <c r="H6"/>
  <c r="H14" s="1"/>
  <c r="I6"/>
  <c r="J6"/>
  <c r="J14"/>
  <c r="L6"/>
  <c r="M6"/>
  <c r="M14" s="1"/>
  <c r="N6"/>
  <c r="O6"/>
  <c r="O14"/>
  <c r="P6"/>
  <c r="Q6"/>
  <c r="Q14" s="1"/>
  <c r="K7"/>
  <c r="K13"/>
  <c r="K10"/>
  <c r="R10" s="1"/>
  <c r="R7"/>
  <c r="T7" s="1"/>
  <c r="R13"/>
  <c r="T13"/>
  <c r="K8"/>
  <c r="K9"/>
  <c r="R9" s="1"/>
  <c r="K11"/>
  <c r="R11" s="1"/>
  <c r="K12"/>
  <c r="R12" s="1"/>
  <c r="E14"/>
  <c r="G14"/>
  <c r="I14"/>
  <c r="L14"/>
  <c r="N14"/>
  <c r="P14"/>
  <c r="L26" i="87"/>
  <c r="D20"/>
  <c r="E20"/>
  <c r="F20"/>
  <c r="G20"/>
  <c r="H20"/>
  <c r="I20"/>
  <c r="J20"/>
  <c r="K20"/>
  <c r="L17"/>
  <c r="L20" s="1"/>
  <c r="L18"/>
  <c r="L19"/>
  <c r="C20"/>
  <c r="L10"/>
  <c r="L11"/>
  <c r="L12" s="1"/>
  <c r="C12"/>
  <c r="D12"/>
  <c r="E12"/>
  <c r="F12"/>
  <c r="G12"/>
  <c r="H12"/>
  <c r="I12"/>
  <c r="J12"/>
  <c r="K12"/>
  <c r="L25"/>
  <c r="B17" i="85"/>
  <c r="B46"/>
  <c r="B45"/>
  <c r="B44"/>
  <c r="B43"/>
  <c r="B42"/>
  <c r="B41"/>
  <c r="B38"/>
  <c r="B37"/>
  <c r="B36"/>
  <c r="B35"/>
  <c r="B34"/>
  <c r="B33"/>
  <c r="B32"/>
  <c r="B31"/>
  <c r="B23"/>
  <c r="B13"/>
  <c r="B12"/>
  <c r="B9"/>
  <c r="B8"/>
  <c r="B7"/>
  <c r="C18"/>
  <c r="D18"/>
  <c r="C26"/>
  <c r="C27"/>
  <c r="D26"/>
  <c r="D27" s="1"/>
  <c r="C39"/>
  <c r="D39"/>
  <c r="C47"/>
  <c r="D47"/>
  <c r="D48"/>
  <c r="C48"/>
  <c r="O8" i="84"/>
  <c r="O9"/>
  <c r="O10"/>
  <c r="O11"/>
  <c r="O12"/>
  <c r="C13"/>
  <c r="D13"/>
  <c r="E13"/>
  <c r="F13"/>
  <c r="F17"/>
  <c r="G13"/>
  <c r="G17"/>
  <c r="G22" s="1"/>
  <c r="G42" s="1"/>
  <c r="H13"/>
  <c r="H17" s="1"/>
  <c r="I13"/>
  <c r="J13"/>
  <c r="J17"/>
  <c r="K13"/>
  <c r="L13"/>
  <c r="L17" s="1"/>
  <c r="M13"/>
  <c r="N13"/>
  <c r="N17" s="1"/>
  <c r="O14"/>
  <c r="O15"/>
  <c r="O16"/>
  <c r="E17"/>
  <c r="I17"/>
  <c r="K17"/>
  <c r="M17"/>
  <c r="C18"/>
  <c r="D18"/>
  <c r="E18"/>
  <c r="E22" s="1"/>
  <c r="F18"/>
  <c r="G18"/>
  <c r="H18"/>
  <c r="I18"/>
  <c r="I22"/>
  <c r="J18"/>
  <c r="K18"/>
  <c r="K22" s="1"/>
  <c r="K42" s="1"/>
  <c r="L18"/>
  <c r="M18"/>
  <c r="M22"/>
  <c r="N18"/>
  <c r="O19"/>
  <c r="O18" s="1"/>
  <c r="O20"/>
  <c r="O25"/>
  <c r="O26"/>
  <c r="O27"/>
  <c r="O28"/>
  <c r="O29"/>
  <c r="C30"/>
  <c r="D30"/>
  <c r="E30"/>
  <c r="F30"/>
  <c r="G30"/>
  <c r="H30"/>
  <c r="I30"/>
  <c r="J30"/>
  <c r="K30"/>
  <c r="L30"/>
  <c r="M30"/>
  <c r="N30"/>
  <c r="O30"/>
  <c r="O31"/>
  <c r="O32"/>
  <c r="O33"/>
  <c r="C34"/>
  <c r="D34"/>
  <c r="E34"/>
  <c r="F34"/>
  <c r="G34"/>
  <c r="H34"/>
  <c r="I34"/>
  <c r="J34"/>
  <c r="K34"/>
  <c r="L34"/>
  <c r="M34"/>
  <c r="N34"/>
  <c r="O34"/>
  <c r="O35"/>
  <c r="D36"/>
  <c r="E36"/>
  <c r="F36"/>
  <c r="H36"/>
  <c r="H40" s="1"/>
  <c r="I36"/>
  <c r="I40" s="1"/>
  <c r="J36"/>
  <c r="K36"/>
  <c r="L36"/>
  <c r="M36"/>
  <c r="N36"/>
  <c r="C37"/>
  <c r="D37"/>
  <c r="E37"/>
  <c r="E40" s="1"/>
  <c r="F37"/>
  <c r="G37"/>
  <c r="H37"/>
  <c r="I37"/>
  <c r="J37"/>
  <c r="K37"/>
  <c r="L37"/>
  <c r="M37"/>
  <c r="M40"/>
  <c r="N37"/>
  <c r="O38"/>
  <c r="O37" s="1"/>
  <c r="O39"/>
  <c r="D40"/>
  <c r="F40"/>
  <c r="J40"/>
  <c r="L40"/>
  <c r="M41"/>
  <c r="G13" i="83"/>
  <c r="B15" i="85"/>
  <c r="E43" i="80"/>
  <c r="E35"/>
  <c r="E45"/>
  <c r="F35"/>
  <c r="F45"/>
  <c r="F43"/>
  <c r="G41"/>
  <c r="G39"/>
  <c r="G40"/>
  <c r="G42"/>
  <c r="G43" s="1"/>
  <c r="G45" s="1"/>
  <c r="G29"/>
  <c r="G30"/>
  <c r="G31"/>
  <c r="G32"/>
  <c r="G33"/>
  <c r="G34"/>
  <c r="D43"/>
  <c r="D35"/>
  <c r="D45" s="1"/>
  <c r="E14"/>
  <c r="E19"/>
  <c r="E21"/>
  <c r="F14"/>
  <c r="F19"/>
  <c r="F21" s="1"/>
  <c r="G13"/>
  <c r="G14" s="1"/>
  <c r="G21" s="1"/>
  <c r="G18"/>
  <c r="G19"/>
  <c r="D14"/>
  <c r="D19"/>
  <c r="D21" s="1"/>
  <c r="B10" i="85"/>
  <c r="B21"/>
  <c r="B22"/>
  <c r="B25"/>
  <c r="B6"/>
  <c r="B18" s="1"/>
  <c r="B27" s="1"/>
  <c r="B20"/>
  <c r="B26"/>
  <c r="B30"/>
  <c r="B39"/>
  <c r="B11"/>
  <c r="B40"/>
  <c r="B47" s="1"/>
  <c r="B48" s="1"/>
  <c r="I41" i="84"/>
  <c r="D17"/>
  <c r="D22" s="1"/>
  <c r="D42" s="1"/>
  <c r="G51" i="92"/>
  <c r="D41" i="84"/>
  <c r="F22"/>
  <c r="F42"/>
  <c r="F41"/>
  <c r="S13" i="91"/>
  <c r="R8"/>
  <c r="G119" i="92"/>
  <c r="G91"/>
  <c r="S8" i="91"/>
  <c r="T8"/>
  <c r="K41" i="84"/>
  <c r="K40"/>
  <c r="O36"/>
  <c r="O40" s="1"/>
  <c r="C36"/>
  <c r="C40" s="1"/>
  <c r="J22"/>
  <c r="J42" s="1"/>
  <c r="J41"/>
  <c r="O13"/>
  <c r="O17"/>
  <c r="O22" s="1"/>
  <c r="C17"/>
  <c r="G125" i="92"/>
  <c r="G35" i="80"/>
  <c r="N40" i="84"/>
  <c r="M42"/>
  <c r="E41"/>
  <c r="G36"/>
  <c r="G40"/>
  <c r="S7" i="91"/>
  <c r="F6" i="93"/>
  <c r="C41" i="84"/>
  <c r="C22"/>
  <c r="G41"/>
  <c r="H22" l="1"/>
  <c r="H42" s="1"/>
  <c r="H41"/>
  <c r="S12" i="91"/>
  <c r="T12"/>
  <c r="S9"/>
  <c r="T9"/>
  <c r="R6"/>
  <c r="R14" s="1"/>
  <c r="I42" i="84"/>
  <c r="T6" i="91"/>
  <c r="F125" i="92"/>
  <c r="C42" i="84"/>
  <c r="C43"/>
  <c r="D43" s="1"/>
  <c r="E43" s="1"/>
  <c r="F43" s="1"/>
  <c r="G43" s="1"/>
  <c r="H43" s="1"/>
  <c r="I43" s="1"/>
  <c r="J43" s="1"/>
  <c r="K43" s="1"/>
  <c r="N22"/>
  <c r="N42" s="1"/>
  <c r="N41"/>
  <c r="L41"/>
  <c r="O41" s="1"/>
  <c r="L22"/>
  <c r="L42" s="1"/>
  <c r="T11" i="91"/>
  <c r="S11"/>
  <c r="T10"/>
  <c r="S10"/>
  <c r="S6"/>
  <c r="E42" i="84"/>
  <c r="K6" i="91"/>
  <c r="K14" s="1"/>
  <c r="E35" i="105"/>
  <c r="D21"/>
  <c r="D35" s="1"/>
  <c r="K31"/>
  <c r="K35" s="1"/>
  <c r="L43" i="84" l="1"/>
  <c r="M43" s="1"/>
  <c r="N43" s="1"/>
  <c r="O43" s="1"/>
  <c r="S14" i="91"/>
  <c r="O42" i="84"/>
  <c r="T14" i="91"/>
</calcChain>
</file>

<file path=xl/comments1.xml><?xml version="1.0" encoding="utf-8"?>
<comments xmlns="http://schemas.openxmlformats.org/spreadsheetml/2006/main">
  <authors>
    <author>Users</author>
  </authors>
  <commentList>
    <comment ref="M103" authorId="0">
      <text>
        <r>
          <rPr>
            <b/>
            <sz val="8"/>
            <color indexed="81"/>
            <rFont val="Tahoma"/>
            <family val="2"/>
            <charset val="238"/>
          </rPr>
          <t>Users:</t>
        </r>
        <r>
          <rPr>
            <sz val="8"/>
            <color indexed="81"/>
            <rFont val="Tahoma"/>
            <family val="2"/>
            <charset val="238"/>
          </rPr>
          <t xml:space="preserve">
2011. kifiz.: 2.503.116,- (jan.-aug.)
rendezetlen: 278.124,- (szept.)
jön.: 3*278.124,- (okt.-dec.)</t>
        </r>
      </text>
    </comment>
  </commentList>
</comments>
</file>

<file path=xl/sharedStrings.xml><?xml version="1.0" encoding="utf-8"?>
<sst xmlns="http://schemas.openxmlformats.org/spreadsheetml/2006/main" count="1499" uniqueCount="945">
  <si>
    <t>10. Akadálymentesítési munkák plusz, közlekedésbiztonságot javító feladatok</t>
  </si>
  <si>
    <t>Kötvény (eFt-ban)</t>
  </si>
  <si>
    <t>Az önkormányzat által nyújtott közvetett támogatások</t>
  </si>
  <si>
    <t>Támogatás kedvezményezettje</t>
  </si>
  <si>
    <t>jellege</t>
  </si>
  <si>
    <t>várható összege
eFt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</si>
  <si>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</si>
  <si>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</si>
  <si>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</si>
  <si>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</si>
  <si>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</si>
  <si>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</si>
  <si>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Sportszervezetek</t>
  </si>
  <si>
    <t>térítésmentes bérlet</t>
  </si>
  <si>
    <t xml:space="preserve">Az önkormányzat által nyújtott közvetett támogatások között a 57/2008.(XII.19.) sz. rendelet alapján </t>
  </si>
  <si>
    <t>a helyi adók körében az alábbi kedvezmények igénybevétele várható:</t>
  </si>
  <si>
    <t>A magánszemélyek kommunális adója alól mentes az a magánszemély, aki a 70. életévét betöltötte.</t>
  </si>
  <si>
    <t>A magánszemélyek kommunális adója alól 50 %-os adókedvezmény illeti meg azt a magánszemélyt,</t>
  </si>
  <si>
    <t xml:space="preserve">aki a 65. életévét betöltötte. </t>
  </si>
  <si>
    <t xml:space="preserve">Iparűzési adómentesség illeti meg azt a vállakozót, akinek vállalkozási szintű adóalapja </t>
  </si>
  <si>
    <t>a mentesség 2.129 adózót érint.</t>
  </si>
  <si>
    <t>Módosított előirányzat</t>
  </si>
  <si>
    <t>1.1. Közfoglalkoztatás támogatása</t>
  </si>
  <si>
    <t>1.2. TÁMOP-3.2.4.A-11/1-2012</t>
  </si>
  <si>
    <t>1.3. Közfoglalkoztatás támogatása</t>
  </si>
  <si>
    <t>3.5. e-útdíj bevezetése miatt keletkező bevételkiesés ellentételezése</t>
  </si>
  <si>
    <t>3.6. 2013. évről áthúzódó bérkompenzáció támogatása</t>
  </si>
  <si>
    <t>3.7. Lakossági közműfejlesztés támogatása</t>
  </si>
  <si>
    <t>3.8. Könyvtári érdekeltségnövelő támogatás</t>
  </si>
  <si>
    <t>3.9. Ivóvizminőség jav. prg. központosított tám. (EU Önerő Alap)</t>
  </si>
  <si>
    <t>4. Egyéb központi támogatás</t>
  </si>
  <si>
    <t>4.1. Működési célú központi támogatás</t>
  </si>
  <si>
    <t>4.1.1. Költségvetési szerveknél foglalkoztatottak 2014. évi kompenzációja</t>
  </si>
  <si>
    <t>4.1.2. Szociális ágazati pótlék kifizetéséhez támogatás</t>
  </si>
  <si>
    <t>4.1.3. Rendkívüli önkormányzati támogatás</t>
  </si>
  <si>
    <t>4.2. Felhalmozási célú központi támogatás</t>
  </si>
  <si>
    <t>4.2.1. 2014. évi adósságkonszolidáció törlesztési célú költségvetési támogatása</t>
  </si>
  <si>
    <t>Egyéb központi támogatás összesen:</t>
  </si>
  <si>
    <t>3. Önkormányzati vagyon bérbeadás</t>
  </si>
  <si>
    <t>3.1. Víziközmű bérleti díj</t>
  </si>
  <si>
    <t>1.2. Dombóvári Szivárvány Óvoda és Bölcsőde működésére</t>
  </si>
  <si>
    <t>1.2.1. Kapospula</t>
  </si>
  <si>
    <t>1.3. Mezőőri támogatás</t>
  </si>
  <si>
    <t>1.4. OEP-től finanszírozás (védőnői ellátás, iskola eü.)</t>
  </si>
  <si>
    <t>1.5. Nemzeti Rehabilitációs és Szociális Hivataltól</t>
  </si>
  <si>
    <t>1.5.1. Támogató Szolgáltatás</t>
  </si>
  <si>
    <t>1.5.2. Szenvedélybetegek közösségi ellátása</t>
  </si>
  <si>
    <t>1.5.3. Pszichiátriai betegek ellátása</t>
  </si>
  <si>
    <t>1.5.4. Biztos Kezdet Gyerekház</t>
  </si>
  <si>
    <t xml:space="preserve">1.6. Kiegészítő gyermekvédelmi támogatás  </t>
  </si>
  <si>
    <t>1.7.1. Közös Önkormányzati Hivatal működtetéséhez hozzájárulás Szakcs</t>
  </si>
  <si>
    <t>1.7.2. Közös Önkormányzati Hivatal működtetéséhez hozzájárulás Lápafő</t>
  </si>
  <si>
    <t>1.7.3. Közös Önkormányzati Hivatal működtetéséhez hozzájárulás Várong</t>
  </si>
  <si>
    <t>1.8. ÁROP-1.A.5 Szervezeti folyamatok korszerűsítése</t>
  </si>
  <si>
    <t>1.9. Többcélú Kistérségi Társulástól nettősítási különbözetre</t>
  </si>
  <si>
    <t>1.10. Közfoglalkozatás támogatás</t>
  </si>
  <si>
    <t>2.1. Egyszeri csatlakozási díj ivóvízhálózat Nagypáltelep Döbrököz</t>
  </si>
  <si>
    <t>2.2. TÁMOP 3.1.3-10/2012-0015</t>
  </si>
  <si>
    <t>2.3. ÚJ K.O.R. önerőhöz átvett</t>
  </si>
  <si>
    <t>2.3.1. Csikóstőttős</t>
  </si>
  <si>
    <t>2.3. Településrendezési terv módosítására vállalkozásoktól</t>
  </si>
  <si>
    <t>16.1. Működési hitel után</t>
  </si>
  <si>
    <t>16.2. Beruházási hitel, kötvény után</t>
  </si>
  <si>
    <t xml:space="preserve">46. 2013. évi állami támogatás visszafizetése </t>
  </si>
  <si>
    <t>47. Közfoglalkoztatás önerő Dombóvári Város- és Lakásgazdálkodási Nkft.</t>
  </si>
  <si>
    <t>3.9. Iskolakezdési támogatás</t>
  </si>
  <si>
    <t>3.10. Távhő hőmennyiségmérő</t>
  </si>
  <si>
    <t>2.12. Dombóvári Városszépítő és Városvédő Egyesület programjaira</t>
  </si>
  <si>
    <t>3.7. Rendkívüli önkormányzati támogatás felhasználása</t>
  </si>
  <si>
    <t>3.8. Képviselői keret</t>
  </si>
  <si>
    <t>3.9. Biztos Kezdet áthelyezése a bölcsődéhez, az Idősek nappali ellátásának áthelyezése a Szabadság u. 8. alatti ingatlanba</t>
  </si>
  <si>
    <t>3.10. KIOP Ivóvízminőség-javító program fejlesztési alap</t>
  </si>
  <si>
    <t>3.11. Bérlakás építési program felújításra elkülönített</t>
  </si>
  <si>
    <t>3.12. I. világháborús emlékmű felújítás saját erő</t>
  </si>
  <si>
    <t>13. Játszótéri eszközök</t>
  </si>
  <si>
    <t>14. Kisértékű tárgyi eszközök beszerzése</t>
  </si>
  <si>
    <t>15. Településrendezési terv módosítása</t>
  </si>
  <si>
    <t>16. Dombóvári Város- és Lakásgazdálkodási Nkft. törzstőkéjének felemelése</t>
  </si>
  <si>
    <t>17. Víztorony világítás kiépítése</t>
  </si>
  <si>
    <t>18. Apáczai labor folyosó kialakítása</t>
  </si>
  <si>
    <t>19. Biofilterek beépítése (Dombóvár Térségi Szennyvízkezelésének Kiépítése)</t>
  </si>
  <si>
    <t>20. Ingatlanvásárlás Kis-Konda patak völgyében</t>
  </si>
  <si>
    <t>26. Vörösmarty u., Tóth Ede u. járda</t>
  </si>
  <si>
    <t>29. Arany-sziget Idősek Otthona tetőszigetelés felújítása</t>
  </si>
  <si>
    <t>30. Lehel sor K-i oldalán található árok burkolása</t>
  </si>
  <si>
    <t>31. III. u. és Hóvirág u. egészségügyi intézmények fejlesztése DDOP-3.1.3/G-14 projekt-előkészítési költségek</t>
  </si>
  <si>
    <t>1.2. Ivóvizminőség jav. prg. központosított tám. (EU Önerő Alap) átadás társulásnak</t>
  </si>
  <si>
    <t>2.2. Közműfejlesztési támogatás</t>
  </si>
  <si>
    <t>2.3. Visszatérítendő támogatás nyújtása</t>
  </si>
  <si>
    <t>4. Pénzügyi lízing kiadásai</t>
  </si>
  <si>
    <t>mód. ei.</t>
  </si>
  <si>
    <t>2014. eredeti</t>
  </si>
  <si>
    <t>2014. mód.</t>
  </si>
  <si>
    <t>2. melléklet a 4/2014. (III. 4.) önkormányzati rendelethez</t>
  </si>
  <si>
    <t xml:space="preserve">Tulajdonjog, illetve haszonélvezeti jog alapján a kedvezmény 873 adózót, </t>
  </si>
  <si>
    <t xml:space="preserve">nem haladja meg a 2,5 millió forintot. A mentesség pontos összegét és az adóalanyok számát </t>
  </si>
  <si>
    <t>az iparűzési adóbevallások május 31-éig esedékes beküldése után pontosítja az önkormányzat.</t>
  </si>
  <si>
    <t>Gyermekétkeztetés</t>
  </si>
  <si>
    <t>A gyermekvédelem helyi szabályozásáról szóló 12/2006. (II.20.) rendelet alapján</t>
  </si>
  <si>
    <t>az önkormányzat 20% kedvezményt biztosít a gyermekétkeztetés személyi</t>
  </si>
  <si>
    <t>térítési díjából.</t>
  </si>
  <si>
    <t>térítési díj kedvezmény (20%)</t>
  </si>
  <si>
    <t xml:space="preserve">Az önkormányzat a sportszervezetek részére a 9/2014. (I.30.)Kt. határozat alapján </t>
  </si>
  <si>
    <t>ingyenes használatot biztosít a Dombóvár, Földvár u. 18. ingatlanban.</t>
  </si>
  <si>
    <t>Ft-ban</t>
  </si>
  <si>
    <t>Szakfeladat</t>
  </si>
  <si>
    <t>Szerződő fél</t>
  </si>
  <si>
    <t>Tárgy</t>
  </si>
  <si>
    <t>Lejárat/ teljesítési határidő</t>
  </si>
  <si>
    <t>elnevezés</t>
  </si>
  <si>
    <t>száma</t>
  </si>
  <si>
    <t>Víztermelés,kezelés,ellátás</t>
  </si>
  <si>
    <t>Dombóvár és Környéke Víz- és Csatornamű Kft.</t>
  </si>
  <si>
    <t>határozatlan</t>
  </si>
  <si>
    <t>1. melléklet a 4/2014. (III. 4.) önkormányzati rendelethez</t>
  </si>
  <si>
    <t>2.a melléklet a 4/2014. (III. 4.) önkormányzati rendelethez</t>
  </si>
  <si>
    <t>2.b melléklet a 4/2014. (III. 4.) önkormányzati rendelethez</t>
  </si>
  <si>
    <t>3. melléklet a 4/2014. (III. 4.) önkormányzati rendelethez</t>
  </si>
  <si>
    <t>5.a melléklet a 4/2014. (III. 4.) önkormányzati rendelethez</t>
  </si>
  <si>
    <t>5.b melléklet a 4/2014. (III. 4.)  önkormányzati rendelethez</t>
  </si>
  <si>
    <t>5.c melléklet a 4/2014. (III. 4.)  önkormányzati rendelethez</t>
  </si>
  <si>
    <t>5.c melléklet a 4/2014. (III. 4.) önkormányzati rendelethez</t>
  </si>
  <si>
    <t>6. melléklet a 4/2014. (III. 4.) önkormányzati rendelethez</t>
  </si>
  <si>
    <t>7. melléklet a 4/2014. (III. 4.) önkormányzati rendelethez</t>
  </si>
  <si>
    <t>8. melléklet a4/2014. (III. 4.) önkormányzati rendelethez</t>
  </si>
  <si>
    <t xml:space="preserve"> 8/a melléklet a 4/2014. (III. 4.) önkormányzati rendelethez</t>
  </si>
  <si>
    <t>9. melléklet a4/2014. (III. 4.) önkormányzati rendelethez</t>
  </si>
  <si>
    <t>10. melléklet a 4/2014. (III. 4.) önkormányzati rendelethez</t>
  </si>
  <si>
    <t>Szakfeladat összesen:</t>
  </si>
  <si>
    <t>Szennyvíz gyűjtése, tisztítása, elhelyezése</t>
  </si>
  <si>
    <t>Dombóvár és Környéke Víz-és Csatmű Kft</t>
  </si>
  <si>
    <t>települési folyékony hulladék ártalmatlanítása</t>
  </si>
  <si>
    <t>Dombóvár Térségi Szennyvízkezelési Önkormányzati Társulás</t>
  </si>
  <si>
    <t>évi tagdíj</t>
  </si>
  <si>
    <t>ÖKO-DOMBÓ KFT</t>
  </si>
  <si>
    <t xml:space="preserve">Települési hulladék vegyes /ömlesztett /                               begyűjtése, szállítása, átrakása </t>
  </si>
  <si>
    <t>Mecsek-Dráva Önkormányzati Társulás</t>
  </si>
  <si>
    <t>intézmény működtetés támogatása</t>
  </si>
  <si>
    <t>települési szilárd hulladék kezelése</t>
  </si>
  <si>
    <t>TAGE Kft.</t>
  </si>
  <si>
    <t>hulladék (nyesedék, lomb, kommunális hulladék) elszállítása</t>
  </si>
  <si>
    <t>Települési hulladék kezelése, ártalmat-lanítása</t>
  </si>
  <si>
    <t>Dombóvári Város- és Lakásgazd. Nonprofit</t>
  </si>
  <si>
    <t>kézi szeméttárolók ürítése</t>
  </si>
  <si>
    <t>megrendelővel</t>
  </si>
  <si>
    <t>Szamaterv Kft.</t>
  </si>
  <si>
    <t>kommunális hulladéklerakó figyelőkutak felügyelete</t>
  </si>
  <si>
    <t>Városi és elővárosi közúti személyszállítás</t>
  </si>
  <si>
    <t>Régió 2007 Kft.</t>
  </si>
  <si>
    <t>Helyi személyszállítási közszolgáltatás ellátása</t>
  </si>
  <si>
    <t>Közutak, hidak, alagutak üzemeltetése, fenntartása</t>
  </si>
  <si>
    <t>E.ON Energiaszolgáltató Kft.</t>
  </si>
  <si>
    <t>rendszerhasználati díj</t>
  </si>
  <si>
    <t xml:space="preserve">MVM Partner Energiakereskedelmi Zrt. </t>
  </si>
  <si>
    <t>áramdíj-közúti jelzőlámpák</t>
  </si>
  <si>
    <t>Lakóingatlan bérbeadása,                                   üzemeltetése</t>
  </si>
  <si>
    <t>Dombóvári Város-és Lakásgazdálkodási Nonprofit Kft.</t>
  </si>
  <si>
    <t>lakóingatlan kezelés - Fecskeház, Tanácsköztársaság tér, Liget</t>
  </si>
  <si>
    <t>Nem lakóingatlan bérbeadása, üzemeltetése</t>
  </si>
  <si>
    <t>CAMINUS Tüzeléstechnikai Kft.</t>
  </si>
  <si>
    <t>kéményseprés (Teleki 81, Szepesi 1. HO.)</t>
  </si>
  <si>
    <t>3. Amália Óvodában PVC padló cseréje</t>
  </si>
  <si>
    <t>23. Újdombóvári postánál parkoló</t>
  </si>
  <si>
    <t>24. Zöldfa utca parkoló</t>
  </si>
  <si>
    <t>25. Árnyas utca parkoló</t>
  </si>
  <si>
    <t>27. Bezerédj u. 22-30. parkoló bejáró felújítása</t>
  </si>
  <si>
    <t>Céltartalék, általános tartalék</t>
  </si>
  <si>
    <t>28. Garay u. járda felújítása</t>
  </si>
  <si>
    <t>Dalkia Energia Zrt.</t>
  </si>
  <si>
    <t>fűtés-Apáczai</t>
  </si>
  <si>
    <t>fűtés-JA ÁMK</t>
  </si>
  <si>
    <t>fűtési díj-Népközt. u. 27. (volt Vörösk. iroda), 14.II/5</t>
  </si>
  <si>
    <t>vízdíj-ingatlanok</t>
  </si>
  <si>
    <t>bérlemények közüzemi díjai</t>
  </si>
  <si>
    <t>ELMIB Zrt.</t>
  </si>
  <si>
    <t>Áramszolg.-Dombó P. 9., Ar. J. tér 2., Szab. 14 (pince)…</t>
  </si>
  <si>
    <t>Kinizsi 37. üzemeltetése</t>
  </si>
  <si>
    <t>Dombó Pál Lakásépítő és Fenntartó</t>
  </si>
  <si>
    <t>közös költség-Ady u. 8.</t>
  </si>
  <si>
    <t>közös ktg-Népközt. u. 34.</t>
  </si>
  <si>
    <t>Dombóvár 1043/4 sz. Társasház</t>
  </si>
  <si>
    <t>Közös költség-Népközt.u-i orvosi rendelő</t>
  </si>
  <si>
    <t>Gond-X Kft.</t>
  </si>
  <si>
    <t>12. Kórház utcai kerékpárút tervezése</t>
  </si>
  <si>
    <t>3.6. Iskolakezdési támogatás</t>
  </si>
  <si>
    <t>Szigeterdei lakótorony 24 órás távfelügyelete</t>
  </si>
  <si>
    <t>áramdíj-nem lakó ingatlanok</t>
  </si>
  <si>
    <t>hulladékelszállítás-Háziorvosi rendelők -Hóvirág u. 1</t>
  </si>
  <si>
    <t>Társasház Hunyadi tér buszmegá</t>
  </si>
  <si>
    <t>közös költség-Hunyadi téri buszmegálló</t>
  </si>
  <si>
    <t>Állat-egész-ségügyi ellátás</t>
  </si>
  <si>
    <t>ATEV Fehérjefeldolgozó Rt.</t>
  </si>
  <si>
    <t>állati hulladék szállítása</t>
  </si>
  <si>
    <t>Takarítás</t>
  </si>
  <si>
    <t>Fauna Higiénia Bt.</t>
  </si>
  <si>
    <t>rágcsálómentesítés</t>
  </si>
  <si>
    <t>Fordán Adolf</t>
  </si>
  <si>
    <t>megrendelő</t>
  </si>
  <si>
    <t>szeméttárolók ürítése, közterület takarítása</t>
  </si>
  <si>
    <t>hóeltakarítás, síkosságmentesítés+ ehhz szóróanyag</t>
  </si>
  <si>
    <t>Zöldterület kezelés</t>
  </si>
  <si>
    <t>vízdíj-locsolócsap</t>
  </si>
  <si>
    <t>városüzemeltetési feladatok</t>
  </si>
  <si>
    <t>KOVI-95 KFT.</t>
  </si>
  <si>
    <t>zöldhulladék szállítás közterületekről</t>
  </si>
  <si>
    <t>2013.  és 2014.  években</t>
  </si>
  <si>
    <t>zöldterületek gondozása</t>
  </si>
  <si>
    <t>Önkormányzati jogalkotás</t>
  </si>
  <si>
    <t>dr. Halmos Ügyvédi Iroda</t>
  </si>
  <si>
    <t xml:space="preserve">megbízási díj-jogi tanácsadás </t>
  </si>
  <si>
    <t>Közvilágítás</t>
  </si>
  <si>
    <t>közvilágítás aktív elemeinek üzemeltetése és karbantartása</t>
  </si>
  <si>
    <t>E-ON</t>
  </si>
  <si>
    <t>közvilágítás-rendszerhasználati díj</t>
  </si>
  <si>
    <t>közvilágítás</t>
  </si>
  <si>
    <t>Város-, községgazdálkodási m.n.s. szolgáltatások</t>
  </si>
  <si>
    <t xml:space="preserve">Balaskó János </t>
  </si>
  <si>
    <t>városi fúvószenekar felkészítése</t>
  </si>
  <si>
    <t>szökőkutak üzemeltetése (Kernen t, Ady u., Teleki u., VI. u)- fenntartás</t>
  </si>
  <si>
    <t>vízdíj-szökőkutak</t>
  </si>
  <si>
    <t>Dr. Erdélyi Ildikó</t>
  </si>
  <si>
    <t>27. Televíziós műsorszolgáltatás</t>
  </si>
  <si>
    <t xml:space="preserve">ügyvédi feladatok ellátása </t>
  </si>
  <si>
    <t>Electool Hungary Kft.</t>
  </si>
  <si>
    <t>elektronikus árlejtés-komm. és közvil. célú áram beszerzés</t>
  </si>
  <si>
    <t xml:space="preserve">rendszerhasználati díj-Szökőkutak </t>
  </si>
  <si>
    <t>Groupama Garancia Biztosító Zrt.</t>
  </si>
  <si>
    <t>Vagyonbiztosítás</t>
  </si>
  <si>
    <t>Magyar Európa Park Szövetség Egyesület</t>
  </si>
  <si>
    <t>tagdíj</t>
  </si>
  <si>
    <t>Münnich Ádám e.v.</t>
  </si>
  <si>
    <t xml:space="preserve">közreműködés a villamos energia közbesz. eljárásában </t>
  </si>
  <si>
    <t>közbeszerzési eljárás lezárásáig</t>
  </si>
  <si>
    <t>áramdíj-szökőkutak</t>
  </si>
  <si>
    <t>Ár-és belvízvédelemmel összefüggő tevékenységek</t>
  </si>
  <si>
    <t>ÁNTSZ Dél-dunántúli Regionális Intézete</t>
  </si>
  <si>
    <t>szennyvíz/figyelőkút vizsgálat</t>
  </si>
  <si>
    <t xml:space="preserve">rendszerhasználati díj-Vízátemelők </t>
  </si>
  <si>
    <t>áramdíj-vízátemelők</t>
  </si>
  <si>
    <t>Alapfokú oktatási intézmények, programjainak komplex támogatása</t>
  </si>
  <si>
    <t>INVESTMENT Mérnöki és Fővállalkozó Kft.</t>
  </si>
  <si>
    <t>Házi- orvosi ügyeleti ellátás</t>
  </si>
  <si>
    <t>Dombóvár és Környéke Többcélú Társulás</t>
  </si>
  <si>
    <t>központi orvosi ügyelet ellátása</t>
  </si>
  <si>
    <t>Emergency Service Eü Bt</t>
  </si>
  <si>
    <t>Foglalkozás-egészségügyi szakellátás</t>
  </si>
  <si>
    <t xml:space="preserve">dr.  Pucsli és Tsa. Bt. </t>
  </si>
  <si>
    <t>üzemorvosi ellátás</t>
  </si>
  <si>
    <t>Ifjúság-egészség-ügyi gondozás</t>
  </si>
  <si>
    <t>iskola eü. feladat</t>
  </si>
  <si>
    <t>Egyéb önkorm. eseti pénzbeli ellátások</t>
  </si>
  <si>
    <t>HPV vírus elleni vakcinák</t>
  </si>
  <si>
    <t>Szociális foglalkoz-tatás munka-rehabilitáció keretében</t>
  </si>
  <si>
    <t>megváltozott munkaképességűek rehab. foglalkoztatása</t>
  </si>
  <si>
    <t>Kult.műs.rendezv.kiáll.szervezése</t>
  </si>
  <si>
    <t>Művelődési Ház Kht.</t>
  </si>
  <si>
    <t>Közművelődési intézmények működtetése</t>
  </si>
  <si>
    <t>műkédsi támogatás</t>
  </si>
  <si>
    <t>Sport-   létesítmények működtetése és fejlesztése</t>
  </si>
  <si>
    <t>gáz-MÁV sporttelep (Gyenis A. u. 18.)</t>
  </si>
  <si>
    <t>MÁV Vagyonkezelő Zrt.</t>
  </si>
  <si>
    <t>bérleti díj+közüzemi díjak-MÁV sporttelep-(Gyenis A. u. 18)</t>
  </si>
  <si>
    <t>Várható összeg (Ft/év) 2014.</t>
  </si>
  <si>
    <t>Összeg (Ft/év)  2013.</t>
  </si>
  <si>
    <t>Önkormányzatok és többcélú kistérségi társulások igazgatási tevékenysége</t>
  </si>
  <si>
    <t>ABACUS Számítástechnikai Bt.</t>
  </si>
  <si>
    <t>WinSzoc szoftver jogszabálykövetése</t>
  </si>
  <si>
    <t>vízdíj-közkutak, ivókutak, díszkutak</t>
  </si>
  <si>
    <t>viziközmű-fejlesztéssel kapcs. műszaki tanácsadói feladatok</t>
  </si>
  <si>
    <t>Lakóing.bérbead.üzemeltetése</t>
  </si>
  <si>
    <t>áramdíj-lakóingatlan (Fecskeház)</t>
  </si>
  <si>
    <t>rendszerhasználati díj-nem lakóingatlanok</t>
  </si>
  <si>
    <t>síkosságmentesítés, hó eltakarítás</t>
  </si>
  <si>
    <t>Egyéb takarítás</t>
  </si>
  <si>
    <t>-</t>
  </si>
  <si>
    <t>ágaprító üzemeltetési költsége</t>
  </si>
  <si>
    <t>Az önkormányzati vagyonnal való gazdálkodással kapcsolatos feladatok</t>
  </si>
  <si>
    <t>Topa és Társa Építési Kft.</t>
  </si>
  <si>
    <t>Fecskeház felújítása</t>
  </si>
  <si>
    <t>VILL-KORR HUNGÁRIA Villamosipari Kft.</t>
  </si>
  <si>
    <t>Dvár és körny.Többcélú Kist.Társulás</t>
  </si>
  <si>
    <t>működési kiadásra támogatás</t>
  </si>
  <si>
    <t>közbeszerzési feladatok ellátása-ÁROP-1.A.5-2013-2013-0027</t>
  </si>
  <si>
    <t>számítástechnikai szoftverek-ÁROP-1.A.5-2013-2013-0027.</t>
  </si>
  <si>
    <t>STRABAG MML Kft.</t>
  </si>
  <si>
    <t>késedelmi kamat-"Új K.O.R"</t>
  </si>
  <si>
    <t>Klebelsberg Intézményfenntartó Központ</t>
  </si>
  <si>
    <t>óvodások szállítása (Dvár-Dalmand)</t>
  </si>
  <si>
    <t>Dosis Alfa Gyógyszertári Bt.</t>
  </si>
  <si>
    <t>Foglalkoztatást helyettesítő támogatásra jogosultak hosszabb időtartamú közfoglalkoztatása</t>
  </si>
  <si>
    <t>hosszabb időtartamú közfoglalkoztatás-2014.</t>
  </si>
  <si>
    <t xml:space="preserve"> támogatás-városi rendezvények szervezésére, Pál Napi V.</t>
  </si>
  <si>
    <t>vízdíj-hivatal-Szakcs</t>
  </si>
  <si>
    <t>Dr. Hegedűs és Társa Egészségügyi és Szolg. Bt.</t>
  </si>
  <si>
    <t>üzemorvos-Szakcs</t>
  </si>
  <si>
    <t>licenszdíj, support díj-Önki.alapnyilvántart.támogató helyi nyilvánt.r</t>
  </si>
  <si>
    <t>licenszdíj, support díj-Önki.alapnyilvántart.támogató helyi nyilvánt.r-Szakcs</t>
  </si>
  <si>
    <t>rendszerhasználati díj-hivatali épületek</t>
  </si>
  <si>
    <t>áram-Szakcs</t>
  </si>
  <si>
    <t>gáz-Szabadság u. 18. (városháza)</t>
  </si>
  <si>
    <t>ERSTE Bank Hungary Zrt.</t>
  </si>
  <si>
    <t>2013.12.31 (évente meghosszíbbítva)</t>
  </si>
  <si>
    <t xml:space="preserve">lekérdezés alapján havonta </t>
  </si>
  <si>
    <t>TAKARNET adatátv.hálózathoz-hálózati díj és tuladoni lap más-Szakcs</t>
  </si>
  <si>
    <t>lekérdezés alapján</t>
  </si>
  <si>
    <t>GOND-X Biztonságtechnikai és Kereskedelmi Kft.</t>
  </si>
  <si>
    <t>hivatali diszpécser szolgálat-Szent I. tér 1.</t>
  </si>
  <si>
    <t>bizt.techn távfelügy., műszaki készenlét és karb.-Szab. 18.</t>
  </si>
  <si>
    <t>vezetékes telefonok-Szakcs</t>
  </si>
  <si>
    <t>Integrált Közszolg. Szoftvercsomag követése-pü,szoc...modul-Szakcs</t>
  </si>
  <si>
    <t>Karádi Attila Csaba e.v.</t>
  </si>
  <si>
    <t>Gordius pü-i program, FOKA könyvelés rednszer felügyelete</t>
  </si>
  <si>
    <t>tűzlejző rendszer teleofnvonala-Bezerédj 14.</t>
  </si>
  <si>
    <t>mobiltelefon előfizetése-Szakcs (30/501-3166)</t>
  </si>
  <si>
    <t>MVM Partner Energiakereskedelmi Zrt.</t>
  </si>
  <si>
    <t>villamosenergia-hivatali épületek</t>
  </si>
  <si>
    <t>2014.02.28 (évente új szerződés!)</t>
  </si>
  <si>
    <t>lemondásig érvényben</t>
  </si>
  <si>
    <t>Szabadság 18., Bezerédj 14. kukák ürítése</t>
  </si>
  <si>
    <t>fénymásoló másolatok díja (Minolta 250)</t>
  </si>
  <si>
    <t>internet-előfizetési díj, internet optikai szálbérlet</t>
  </si>
  <si>
    <t>internet-előfizetési díj-Szakcs</t>
  </si>
  <si>
    <t>vezetékes telefonok előfizetése</t>
  </si>
  <si>
    <t>X-R Copy Kft.</t>
  </si>
  <si>
    <t>gépek szervize-Kon. Min. Bizhub 163. és 210.-Szakcs</t>
  </si>
  <si>
    <t>Allianz Hungária Biztosító RT</t>
  </si>
  <si>
    <t>gépjármű-felelősség biztosítás /EIE, BIT, JHG, Fiat/, Casco+kieg. életbiztosítás /BIT, JHG, EIE/</t>
  </si>
  <si>
    <t>gfb-Aprilia segédmotor kerékpár</t>
  </si>
  <si>
    <t>gfb-Derbi segédmotor kerékpár</t>
  </si>
  <si>
    <t>BOGI COOP Szöv..</t>
  </si>
  <si>
    <t>irodagépek karbantartása</t>
  </si>
  <si>
    <t>Chlebovics Miklós ev.</t>
  </si>
  <si>
    <t>statisztika elkészítése, szaktanácsadás-KataWin program</t>
  </si>
  <si>
    <t>CompLex Kiadó Kft.</t>
  </si>
  <si>
    <t>előfizetések (Adóklub Plusz, Közbeszerzési Szemle...)</t>
  </si>
  <si>
    <t>visszamondásig érvényes</t>
  </si>
  <si>
    <t>előfizetések (jogtárak, döntvénytár, önkormányzat jogtár plusz, jogi adatbank alap)</t>
  </si>
  <si>
    <t>Daemia Kft.</t>
  </si>
  <si>
    <t>vírusirtó program Linux operációs rendszer</t>
  </si>
  <si>
    <t>Kaspersky vírus-és spam védelem-licensz</t>
  </si>
  <si>
    <t>fűtési díj (Szent. I. tér, Bezerédj 14.)</t>
  </si>
  <si>
    <t>vízdíj-hivatal</t>
  </si>
  <si>
    <t>eKÖZIG Zrt.</t>
  </si>
  <si>
    <t>hitel és kamata-Skoda Fabia (Szakcs)</t>
  </si>
  <si>
    <t>E-Szoftverfejlesztő Kft.</t>
  </si>
  <si>
    <t>felhasználói díj+rendszerkövetés-KATAWIN szoftver</t>
  </si>
  <si>
    <t>EURO-PROFIL Kft.</t>
  </si>
  <si>
    <t>Konica Minolta Bizhub 420 fénymásológép üzemeltetése</t>
  </si>
  <si>
    <t>EUROPORTÁL KFT</t>
  </si>
  <si>
    <t>intranet rendszer, www.kondavolgy.hu webszerver szolg.</t>
  </si>
  <si>
    <t>Földmérési és Távérzékelési Intézet</t>
  </si>
  <si>
    <t>Intézmények finanszírozása 2014. évben</t>
  </si>
  <si>
    <t xml:space="preserve">Munka-adót terhelő járulék </t>
  </si>
  <si>
    <t>Ellátottak juttatásai</t>
  </si>
  <si>
    <t>Beruházások, felújítások</t>
  </si>
  <si>
    <t>Műkö-  dési  bevétel</t>
  </si>
  <si>
    <t>Átvett pénz- eszköz</t>
  </si>
  <si>
    <t>Pénzma-   radv. + Alulfin.</t>
  </si>
  <si>
    <t>Állami Normatív támoga- tás +   TB</t>
  </si>
  <si>
    <t>TCT
normatíva</t>
  </si>
  <si>
    <t>Bértámogatás</t>
  </si>
  <si>
    <t>Önk. tám.</t>
  </si>
  <si>
    <t>Int.fin.</t>
  </si>
  <si>
    <t>Dombóvári Gyermekvilág Óvoda összesen</t>
  </si>
  <si>
    <t>Gyermekvilág Dombóvár</t>
  </si>
  <si>
    <t>Gyermekvilág Dalmand</t>
  </si>
  <si>
    <t>Gyermekvilág Csikóstőttős</t>
  </si>
  <si>
    <t>Integrált Önk. Szolg. Szerv.</t>
  </si>
  <si>
    <t>TAKARNET adatátv.hálózathoz-hálózati díj és tuladoni lap más</t>
  </si>
  <si>
    <t>GEo-Gráf Kft.</t>
  </si>
  <si>
    <t>webtárhely szolg., adatbázis kezelés</t>
  </si>
  <si>
    <t xml:space="preserve">Bezerédj 14. tűzjelző </t>
  </si>
  <si>
    <t>Grapixx Hosting Kft.</t>
  </si>
  <si>
    <t>tárhely szolgáltatás(www.dombovar.hu)</t>
  </si>
  <si>
    <t>H1Telekom Távközlési és Kereskedelmi Kft</t>
  </si>
  <si>
    <t>JakabNet Szoftverház Kft.</t>
  </si>
  <si>
    <t>KIMÉRA Kft.</t>
  </si>
  <si>
    <t>Jogszabálykövetés /iktató rendszer/</t>
  </si>
  <si>
    <t>Komunáldata Kft</t>
  </si>
  <si>
    <t>szoftverfelügyelet /Műk. eng., Telephely eng., Szabsért. progra.</t>
  </si>
  <si>
    <t>2D vonalkóddal ellát.űrlapcsomag karbant.-adó</t>
  </si>
  <si>
    <t>KOREND RENDSZERHÁZ KFT.</t>
  </si>
  <si>
    <t>Közigazgatási és Elektronikus Közszolg.</t>
  </si>
  <si>
    <t>születési/házassági anykönyv, anyakönyvi kivonat...</t>
  </si>
  <si>
    <t>MAGIC/onyx/Magyarország Kft</t>
  </si>
  <si>
    <t>Magic program karbantartása, (Gordius-hoz)</t>
  </si>
  <si>
    <t>Magyar Posta Zrt.</t>
  </si>
  <si>
    <t>készpénz-átutalási megbízások adathordozójának díjai</t>
  </si>
  <si>
    <t>postai küldemények havi díja</t>
  </si>
  <si>
    <t>Magyar Telecom Nyrt.</t>
  </si>
  <si>
    <t>Telenor Magyarország Zrt.</t>
  </si>
  <si>
    <t>mobil távközlési szolgáltatások és mobil telefonok vásárlása</t>
  </si>
  <si>
    <t>Tolna Megyei Kormányhivatal</t>
  </si>
  <si>
    <t>helyi személyiadat és lakcímnyilvánt. számgépes rendsz.karbt</t>
  </si>
  <si>
    <t>Opten Informatikai Kft.</t>
  </si>
  <si>
    <t>cégtár online (pü-i modul) éves előfizetés</t>
  </si>
  <si>
    <t>Print Copy Kft.</t>
  </si>
  <si>
    <t>fénymásolók üzemeltetési költsége                  (AF400, AF1045, AF3045M5)</t>
  </si>
  <si>
    <t>RELLÜM Kft.</t>
  </si>
  <si>
    <t>Saldo Rt.</t>
  </si>
  <si>
    <t>SHELL HUNGARY ZRT.</t>
  </si>
  <si>
    <t>üzemanyag, kártyadíj</t>
  </si>
  <si>
    <t>Polg. Hiv. takarítás</t>
  </si>
  <si>
    <t>Polg. Hiv. takarítása-felhasznált higéniai szerek</t>
  </si>
  <si>
    <t>TARR Kft.</t>
  </si>
  <si>
    <t>VARITEL Irodatechnika</t>
  </si>
  <si>
    <t>fénymásoló (KONICA Minolta BizHub 420)bérleti díja, üzemeltetési díja</t>
  </si>
  <si>
    <t>2.2.1. Gépjárműadó</t>
  </si>
  <si>
    <t>2.2.2. Egyéb központi adók</t>
  </si>
  <si>
    <t>Eredeti előirányzat</t>
  </si>
  <si>
    <t>19. Jogi tanácsadás</t>
  </si>
  <si>
    <t>20. Komplex mérnöki szolgáltatások (felújított épületek)</t>
  </si>
  <si>
    <t>1.1. Bölcsőde</t>
  </si>
  <si>
    <t>1.1.1. Dalmandi Önkormányzat</t>
  </si>
  <si>
    <t>1.2. Dombóvári Óvodák</t>
  </si>
  <si>
    <t>105. cím összesen</t>
  </si>
  <si>
    <t>18. Gyermek és ifjúsági önkormányzat</t>
  </si>
  <si>
    <t>3. Önkormányzati kötvény tőketörlesztés</t>
  </si>
  <si>
    <t>Műk. célú pénzeszköz átadás, egyéb tám.</t>
  </si>
  <si>
    <t>Felh. és tőkejellegű bev., felh. c. kamatbev.</t>
  </si>
  <si>
    <t>Felhalmozási célú hitel, kötvény törlesztés</t>
  </si>
  <si>
    <t>Dologi kiadás</t>
  </si>
  <si>
    <t xml:space="preserve"> </t>
  </si>
  <si>
    <t xml:space="preserve">Önkormányzat </t>
  </si>
  <si>
    <t>Cím</t>
  </si>
  <si>
    <t>Alcím</t>
  </si>
  <si>
    <t>Cím neve</t>
  </si>
  <si>
    <t>I.</t>
  </si>
  <si>
    <t>1. Intézményi működési bevétel</t>
  </si>
  <si>
    <t>IV.</t>
  </si>
  <si>
    <t>101. cím összesen:</t>
  </si>
  <si>
    <t>104. cím összesen:</t>
  </si>
  <si>
    <t>105. cím összesen:</t>
  </si>
  <si>
    <t>106. cím összesen:</t>
  </si>
  <si>
    <t>1.Intézményi saját bevétel</t>
  </si>
  <si>
    <t>Intézményi saját bevétel összesen:</t>
  </si>
  <si>
    <t>2.1 Helyi adók</t>
  </si>
  <si>
    <t>1.2 Beruházási hitel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</si>
  <si>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</si>
  <si>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</si>
  <si>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</si>
  <si>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</si>
  <si>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</si>
  <si>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</si>
  <si>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</si>
  <si>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1.1 Működési hitel</t>
  </si>
  <si>
    <t>103. cím összesen:</t>
  </si>
  <si>
    <t>VI.</t>
  </si>
  <si>
    <t>Felújítások</t>
  </si>
  <si>
    <t>VII.</t>
  </si>
  <si>
    <t>1. Államháztartáson belül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</si>
  <si>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</si>
  <si>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</si>
  <si>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</si>
  <si>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</si>
  <si>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Személyi juttatások</t>
  </si>
  <si>
    <t>Munkaadót terhelő járulék</t>
  </si>
  <si>
    <t>Dologi kiadás kamatok nélkül</t>
  </si>
  <si>
    <t>Állami hozzájárulások és támogatások</t>
  </si>
  <si>
    <t>Rövidlejáratú hitel visszafizetése</t>
  </si>
  <si>
    <t>Alulfinanszírozás</t>
  </si>
  <si>
    <t>Rövidlejáratú hitel kamata</t>
  </si>
  <si>
    <t>Működési célú kölcsönnyújtás</t>
  </si>
  <si>
    <t>Működési célú pénzmaradvány</t>
  </si>
  <si>
    <t>Céltartalék, általános tartalék (működési)</t>
  </si>
  <si>
    <t>Működési célú hitelfelvétel</t>
  </si>
  <si>
    <t>Működési célú bevételek összesen:</t>
  </si>
  <si>
    <t>Működési célú kiadások összesen:</t>
  </si>
  <si>
    <t>Fejlesztési célú állami támogatás</t>
  </si>
  <si>
    <t>Felhalmozási célú pénzeszköz átadás</t>
  </si>
  <si>
    <t>Felhalmozási célú pénzeszköz átvétele</t>
  </si>
  <si>
    <t>Hosszú lejáratú hitel kamat</t>
  </si>
  <si>
    <t>Felhalmozási célú pénzmaradvány</t>
  </si>
  <si>
    <t>Felhalmozási célú kölcsönnyújtás</t>
  </si>
  <si>
    <t>Felhalmozási célú hitelfelvétel</t>
  </si>
  <si>
    <t>Felhalmozási célú bevételek összesen:</t>
  </si>
  <si>
    <t>Felhalmozási célú kiadások összesen:</t>
  </si>
  <si>
    <t>Önkormányzati bevételek</t>
  </si>
  <si>
    <t>Önkormányzati kiadások</t>
  </si>
  <si>
    <t>2. Államháztartáson kívül</t>
  </si>
  <si>
    <t>1. Beruházási hitelek</t>
  </si>
  <si>
    <t>Szem. juttatás</t>
  </si>
  <si>
    <t>Kiadás összesen</t>
  </si>
  <si>
    <t>Összesen:</t>
  </si>
  <si>
    <t>eFt</t>
  </si>
  <si>
    <t>összesen:</t>
  </si>
  <si>
    <t>Felhalmozási és tőke jellegű bevételek</t>
  </si>
  <si>
    <t>Felújítási kiadások</t>
  </si>
  <si>
    <t>Céltartalék</t>
  </si>
  <si>
    <t>Dologi kiadások</t>
  </si>
  <si>
    <t>Intézményi működési bevétel</t>
  </si>
  <si>
    <t>Önkormányzat költségvetési támogatása</t>
  </si>
  <si>
    <t>VIII.</t>
  </si>
  <si>
    <t>Tervezett felhalmozási célú pénzmaradvány</t>
  </si>
  <si>
    <t>Tervezett működési célú pénzmaradvány</t>
  </si>
  <si>
    <t>102. cím összesen:</t>
  </si>
  <si>
    <t>Támogatási kölcsönök visszatérülése, igénybevétele</t>
  </si>
  <si>
    <t>Költségvetési hiány belső finanszírozására szolgáló pénzforgalom nélküli bevételek</t>
  </si>
  <si>
    <t>1.</t>
  </si>
  <si>
    <t>2.</t>
  </si>
  <si>
    <t>Munkaad.terh.j.</t>
  </si>
  <si>
    <t>Működési célú pénzeszközátvétel</t>
  </si>
  <si>
    <t>Hiteltörlesztés, kötvény tőketörlesztés</t>
  </si>
  <si>
    <t>Önkormányzat</t>
  </si>
  <si>
    <t>1.1. Dombóvár</t>
  </si>
  <si>
    <t>2.1.1. Kommunális adó</t>
  </si>
  <si>
    <t>2.1.2. Építményadó</t>
  </si>
  <si>
    <t>2.1.3. Idegenforgalmi adó</t>
  </si>
  <si>
    <t>2.1.4. Iparűzési adó</t>
  </si>
  <si>
    <t>2.2. Átengedett központi adók</t>
  </si>
  <si>
    <t>2.3.1. Lakásgazdálkodás, bérleményhasznosítás</t>
  </si>
  <si>
    <t>2.3.2. Egyéb bevételek</t>
  </si>
  <si>
    <t>2.1. Parkoló megváltás</t>
  </si>
  <si>
    <t>6.2. Önkormányzat (KIOP)</t>
  </si>
  <si>
    <t>6.1. Önkormányzat</t>
  </si>
  <si>
    <t>1.1. Kapos ITK kezességvállalás</t>
  </si>
  <si>
    <t>1. Polgármesteri keret</t>
  </si>
  <si>
    <t>2. Intézményi vagyonbiztosítás</t>
  </si>
  <si>
    <t>3. Foglalkoztatás eü. szolg.</t>
  </si>
  <si>
    <t>4. Intézményi gáz</t>
  </si>
  <si>
    <t>5. Város- és községgazdálkodás</t>
  </si>
  <si>
    <t>6. Helyi utak fenntartása</t>
  </si>
  <si>
    <t>7. Belvízvédelem, települési vízellátás</t>
  </si>
  <si>
    <t>8. Ingatlanok üzemeltetése</t>
  </si>
  <si>
    <t>9. Kinizsi u. 37. üzemeltetése</t>
  </si>
  <si>
    <t>10. Köztisztaság, parkfenntartás</t>
  </si>
  <si>
    <t>10.1 Hulladékgyűjtés kezelés, egyéb takarítás</t>
  </si>
  <si>
    <t>11. Temetőfenntartás</t>
  </si>
  <si>
    <t>12. Közvilágítás</t>
  </si>
  <si>
    <t>14. Környezet- és természetvédelmi feladatok</t>
  </si>
  <si>
    <t>15. Szerződéses szociális ellátások</t>
  </si>
  <si>
    <t>15.1. Rehabilitációs foglalkoztatás</t>
  </si>
  <si>
    <t>15.2. Közfoglalkoztatás önerő</t>
  </si>
  <si>
    <t>16. Kamatfizetés</t>
  </si>
  <si>
    <t xml:space="preserve">17. Központi orvosi ügyelet </t>
  </si>
  <si>
    <t>2.2.1. Sporttámogatások sportszervezeteknek</t>
  </si>
  <si>
    <t>1.1. Többcélú társulás működésére</t>
  </si>
  <si>
    <t>2.1. Művelődési Ház Nkft.</t>
  </si>
  <si>
    <t>2.2. Sporttámogatások</t>
  </si>
  <si>
    <t>2.3. Bursa Hungarica felsőoktatási ösztöndíj pályázat</t>
  </si>
  <si>
    <t>2.4. Iskola egészségügyi feladat</t>
  </si>
  <si>
    <t>2.6. Kaposvári TISZK  működésére</t>
  </si>
  <si>
    <t>1. Helyi önkormányzat általános működésének és ágazati feladatainak támogatása</t>
  </si>
  <si>
    <t>Támogatás államháztartáson belülről</t>
  </si>
  <si>
    <t>1.1. Intézményi működési bevétel</t>
  </si>
  <si>
    <t>1.2. Intézményi gázfűtés miatt</t>
  </si>
  <si>
    <t>1.3. Kamat, hozam</t>
  </si>
  <si>
    <t>I. alcím összesen:</t>
  </si>
  <si>
    <t>II. alcím összesen:</t>
  </si>
  <si>
    <t>III. alcím összesen:</t>
  </si>
  <si>
    <t>IV. alcím összesen:</t>
  </si>
  <si>
    <t>V. alcím összesen</t>
  </si>
  <si>
    <t>VI. alcím összesen:</t>
  </si>
  <si>
    <t>VII. alcím összesen:</t>
  </si>
  <si>
    <t>VIII. alcím összesen:</t>
  </si>
  <si>
    <t>Működési célú támogatás államháztartáson belülről</t>
  </si>
  <si>
    <t>Felhalmozási célú támogatás államháztartáson belülről</t>
  </si>
  <si>
    <t>Összesen</t>
  </si>
  <si>
    <t>2014.</t>
  </si>
  <si>
    <t>KÖH Dombóvár</t>
  </si>
  <si>
    <t>KÖH Szakcsi Kirendeltsége</t>
  </si>
  <si>
    <t>1.2. Szakcsi Kirendeltség</t>
  </si>
  <si>
    <t>kötelező
feladat</t>
  </si>
  <si>
    <t>önként vállalt
feladat</t>
  </si>
  <si>
    <t>állami
feladat</t>
  </si>
  <si>
    <t xml:space="preserve">IV. </t>
  </si>
  <si>
    <t>1.2. Óvoda Dalmand</t>
  </si>
  <si>
    <t>eredeti ei.</t>
  </si>
  <si>
    <t>1.4. Fordított áfa miatti bevétel</t>
  </si>
  <si>
    <t>2.2. Lakosságtól szennyvízhozzájárulás</t>
  </si>
  <si>
    <t>2. Folyószámlahitel/rövidlejáratú hitel</t>
  </si>
  <si>
    <t>Európai Uniós támogatással megvalósuló programok, projektek bevételei, kiadásai</t>
  </si>
  <si>
    <t>Bevételek</t>
  </si>
  <si>
    <t>Ft</t>
  </si>
  <si>
    <t>szám</t>
  </si>
  <si>
    <t>azonosító</t>
  </si>
  <si>
    <t>program, projekt neve</t>
  </si>
  <si>
    <t xml:space="preserve">támogatás </t>
  </si>
  <si>
    <t>TÁMOP-3.1.3-10/2-2010-0015</t>
  </si>
  <si>
    <t>Együtt a jövődért</t>
  </si>
  <si>
    <t>ÁROP-1.A.5-2013-2013-0027</t>
  </si>
  <si>
    <t>Szervezeti folyamatok korszerűsítése Dombóvár Város Önkormányzatánál</t>
  </si>
  <si>
    <t>Bevételek összesen:</t>
  </si>
  <si>
    <t>Kiadások</t>
  </si>
  <si>
    <t>kiadás</t>
  </si>
  <si>
    <t>személyi</t>
  </si>
  <si>
    <t>járulék</t>
  </si>
  <si>
    <t>felhalmozási</t>
  </si>
  <si>
    <t>építés</t>
  </si>
  <si>
    <t>eszközbeszerzés</t>
  </si>
  <si>
    <t>igénybe vett szolgáltatások, anyagköltség</t>
  </si>
  <si>
    <t>tartalék</t>
  </si>
  <si>
    <t>dologi</t>
  </si>
  <si>
    <t>Kiadások összesen:</t>
  </si>
  <si>
    <t>2014. évi bevételei</t>
  </si>
  <si>
    <t>Dombóvári Gyermekvilág Óvoda</t>
  </si>
  <si>
    <t>Dombóvári Szivárvány Óvoda és Bölcsőde</t>
  </si>
  <si>
    <t>Dombóvár Város Könyvtára</t>
  </si>
  <si>
    <t>1.1. Óvoda Dombóvár</t>
  </si>
  <si>
    <t>1.3. Óvoda Attala</t>
  </si>
  <si>
    <t>1.4. Óvoda Csikóstőttős</t>
  </si>
  <si>
    <t>101-104. intézmények összesen</t>
  </si>
  <si>
    <t>Integrált Önkormányzati Szolgáltató Szervezet</t>
  </si>
  <si>
    <t>Dombóvári Közös Önkormányzati Hivatal</t>
  </si>
  <si>
    <t>2014. évi kiadásai</t>
  </si>
  <si>
    <t>104. cím összesen</t>
  </si>
  <si>
    <t>2014. évi kiemelt kiadási előirányzata</t>
  </si>
  <si>
    <t>1.1. Dombóvári Gyermekvilág Óvoda működésére</t>
  </si>
  <si>
    <t>1. Kisértékű tárgyi eszköz beszerzés</t>
  </si>
  <si>
    <t>Gyermekvilág Óvoda Dombóvár</t>
  </si>
  <si>
    <t>Gyermekvilág Óvoda Dalmand</t>
  </si>
  <si>
    <t>Gyermekvilág Óvoda Csikóstőttős</t>
  </si>
  <si>
    <t>Ellátottak pénzbeli juttatásai</t>
  </si>
  <si>
    <t>Egyéb működési célú kiadások</t>
  </si>
  <si>
    <t>Beruházások</t>
  </si>
  <si>
    <t>2.5. Mecsek Dráva Önkormányzati Társulás 2014. évi hozzájárulás</t>
  </si>
  <si>
    <t>Egyéb felhalmozási célú kiadások</t>
  </si>
  <si>
    <t>Beruházások összesen</t>
  </si>
  <si>
    <t>Felújítások összesen</t>
  </si>
  <si>
    <t>Felújítások összesen:</t>
  </si>
  <si>
    <t>1. Dombóvár 1 mosdó teljes körű felújítása</t>
  </si>
  <si>
    <t>1. Bölcsőde balesetveszélyes terasz felújítása térkövezéssel</t>
  </si>
  <si>
    <t>4. Kisértékű tárgyi eszköz beszerzés</t>
  </si>
  <si>
    <t>1. Irodába 6 db asztali számítógép</t>
  </si>
  <si>
    <t>2. Szivárvány konyhára sütő</t>
  </si>
  <si>
    <t>3. Szivárvány konyhára főző üst</t>
  </si>
  <si>
    <t>1.  Szivárvány konyha gazdasági rész bejárat javítása</t>
  </si>
  <si>
    <t>Beruházások összesen:</t>
  </si>
  <si>
    <t>1. Gunaras Zrt. alaptőkeemelés 2011-13.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</si>
  <si>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</si>
  <si>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</si>
  <si>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</si>
  <si>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2. Óvoda 6 db mosdó teljes körű felújítása</t>
  </si>
  <si>
    <t>1.1.2. Csikóstőttősi Önkormányzat</t>
  </si>
  <si>
    <t>V. alcím összesen:</t>
  </si>
  <si>
    <t>1. Egyéb működési célú támogatás államháztartáson belülről</t>
  </si>
  <si>
    <t>2. Egyéb felhalmozási célú támogatás államháztartáson belülről</t>
  </si>
  <si>
    <t>2013.12. 31-ig</t>
  </si>
  <si>
    <t>2015.</t>
  </si>
  <si>
    <t>1. Informatikai eszközök, szoftverek beszerzése Dombóvár</t>
  </si>
  <si>
    <t>2. Szerverek és azokhoz szükséges szoftverek beszerzése Dombóvár</t>
  </si>
  <si>
    <t>3. Beruházások Szakcsi Kirendeltség</t>
  </si>
  <si>
    <t>1. Foglalkoztatottak személyi juttatásai (mezőőrök)</t>
  </si>
  <si>
    <t>2. Foglalkoztatottak személyi juttatásai (közfoglalkoztatottak)</t>
  </si>
  <si>
    <t>3. Választott tisztségviselők juttatásai</t>
  </si>
  <si>
    <t>4. Egyéb külső személyi juttatások</t>
  </si>
  <si>
    <t>5. TÁMOP 3.1.3 "Együtt a jövődért"</t>
  </si>
  <si>
    <t>2. Útfelújítások</t>
  </si>
  <si>
    <t>1. Járdafelújítások</t>
  </si>
  <si>
    <t>2. Ingatlanvásárlás</t>
  </si>
  <si>
    <t>3. IX. u. - Mágocsi u. keskeny szakaszának rendezése  (padkarendezés vagy szélesítés)</t>
  </si>
  <si>
    <t>13. Katasztrófavédelemmel, közbiztonsággal kapcsolatos feladatok</t>
  </si>
  <si>
    <t>1. Hosszú lejáratú kölcsönök visszatérülése</t>
  </si>
  <si>
    <t>1.1. Gunaras Zrt.</t>
  </si>
  <si>
    <t>2.1. Helyi védett épületek felújításának támogatása</t>
  </si>
  <si>
    <t>1. Dombóvári Gyermekvilág Óvoda</t>
  </si>
  <si>
    <t>2. Dombóvári Szivárvány Óvoda és Bölcsőde</t>
  </si>
  <si>
    <t>3. Integrált Önkormányzati Szolgáltató Szervezet</t>
  </si>
  <si>
    <t>4. Dombóvár Város Könyvtára</t>
  </si>
  <si>
    <t>5. Dombóvári Közös Önkormányzati Hivatal</t>
  </si>
  <si>
    <t>6.3. Önkormányzat (TÁMOP)</t>
  </si>
  <si>
    <t>Központosított előirányzatok összesen:</t>
  </si>
  <si>
    <t>2. Egyes jövedelempótló támogatások kiegészítése</t>
  </si>
  <si>
    <t>2.1. Rendszeres szociális segély</t>
  </si>
  <si>
    <t>2.2. Foglalkoztatást helyettesítő támogatás</t>
  </si>
  <si>
    <t>2.3. Lakásfenntartási támogatás</t>
  </si>
  <si>
    <t>3. Központosított előirányzatok</t>
  </si>
  <si>
    <t>3.1. Üdülőhelyi feladatok támogatása</t>
  </si>
  <si>
    <t>3.2. Lakott külterülettel kapcsolatos feladatok támogatása</t>
  </si>
  <si>
    <t xml:space="preserve">3.3. Köznevelési feladatok egyéb támogatása: MIK által fenntartott iskolák </t>
  </si>
  <si>
    <t>3.4. Köznevelési feladatok egyéb támogatása: köznev. int. működtet. tám.</t>
  </si>
  <si>
    <t>4. Kisértékű tárgyi eszköz beszerzés Dombóvár</t>
  </si>
  <si>
    <t>6.2. Önkormányzat (ÁROP)</t>
  </si>
  <si>
    <t>6. ÁROP-1.A.5 Szervezeti folyamatok korszerűsítése</t>
  </si>
  <si>
    <t>Dologi kiadások összesen</t>
  </si>
  <si>
    <t>2.2.2. Úszás támogatása előző évi</t>
  </si>
  <si>
    <t>1. Dombóvári KÖH dologi kiadások</t>
  </si>
  <si>
    <t>2. Választások kiadásai</t>
  </si>
  <si>
    <t>1.2. Dombóvári települési nemzetiségi önkormányzatok támogatására</t>
  </si>
  <si>
    <t>1.3. Rendőrségnek átadott</t>
  </si>
  <si>
    <t>1.4. Dombóvár Város, Gyulaj és Szakcs Községek Szociális Intézményfenntartó Társulása működésre átadott pénzeszköz</t>
  </si>
  <si>
    <t>1.5. Kapaszkodó Szociális és Gyermekjóléti Alapszolgáltató Központ Társulás működésére átadott pénzeszköz</t>
  </si>
  <si>
    <t>1.6. Társulások munkaszervezeti feladataira</t>
  </si>
  <si>
    <t>2.7. Civil szervezetek támogatása</t>
  </si>
  <si>
    <t>2.8. Kapos Alapítvány</t>
  </si>
  <si>
    <t>2.9. Helytörténeti Gyűjtemény működtetésére</t>
  </si>
  <si>
    <t>2.10. Polgárőrség</t>
  </si>
  <si>
    <t>2.11. Hamulyák Közalapítvány működésére</t>
  </si>
  <si>
    <t>3. Céltartalék</t>
  </si>
  <si>
    <t>3.1. Önrész német nemzetiségi önkormányzat pályázatához</t>
  </si>
  <si>
    <t>3.2. Szociális szolgáltatások térítési díjainak csökkentésére szolgáló fedezet</t>
  </si>
  <si>
    <t>3.3. Közalkalmazottak cafetéria juttatása</t>
  </si>
  <si>
    <t>3.4. Tartalék előre nem tervezett városüzemeltetési feladatokra</t>
  </si>
  <si>
    <t>3.5. Adósságkezelés önkormányzati önrészére</t>
  </si>
  <si>
    <t>Működési célú</t>
  </si>
  <si>
    <t>Felhalmozási célú</t>
  </si>
  <si>
    <t>4. Általános tartalék</t>
  </si>
  <si>
    <t>2012. tény</t>
  </si>
  <si>
    <t>2012-14. év</t>
  </si>
  <si>
    <t>2013. várható</t>
  </si>
  <si>
    <t>Dombóvár Város Önkormányzata intézményeinek</t>
  </si>
  <si>
    <t>Intézmény megnevezése</t>
  </si>
  <si>
    <t>Engedélyezett létszám (fő)</t>
  </si>
  <si>
    <t>Közfoglalkoz-
tatottak</t>
  </si>
  <si>
    <t xml:space="preserve">    Dombóvár</t>
  </si>
  <si>
    <t xml:space="preserve">    Szakcs</t>
  </si>
  <si>
    <t xml:space="preserve">    Dalmand</t>
  </si>
  <si>
    <t xml:space="preserve">    Attala</t>
  </si>
  <si>
    <t>Szivárvány Óvoda és Bölcsőde</t>
  </si>
  <si>
    <t xml:space="preserve">    Bölcsőde</t>
  </si>
  <si>
    <t xml:space="preserve">    Óvodák Dombóvár</t>
  </si>
  <si>
    <t xml:space="preserve">    Óvoda Döbrököz</t>
  </si>
  <si>
    <t xml:space="preserve">    Óvoda Kaposszekcső</t>
  </si>
  <si>
    <t xml:space="preserve">    Óvoda Csikóstőttős</t>
  </si>
  <si>
    <t>Városi Könyvtár</t>
  </si>
  <si>
    <t>Közös Önkormányzati Hivatal</t>
  </si>
  <si>
    <t>Szakmai létszám</t>
  </si>
  <si>
    <t>Nevelő munát közvetlenül segítők</t>
  </si>
  <si>
    <t>Technikai létszám</t>
  </si>
  <si>
    <t xml:space="preserve">    Csikóstőttős</t>
  </si>
  <si>
    <t>létszámkerete 2014. évben</t>
  </si>
  <si>
    <t>Megváltozott
munkaképességű
dolgozók</t>
  </si>
  <si>
    <t>1.1. EU-s pályázatok projektmenedzsment feladataira</t>
  </si>
  <si>
    <t>1.2. Jogi személyiségű társulások munkaszervezeti feladatainak ellátására</t>
  </si>
  <si>
    <t>2. Közhatalmi bevételek</t>
  </si>
  <si>
    <t>Átvett pénzeszközök</t>
  </si>
  <si>
    <t>1. Működési célú átvett pénzeszközök államháztartáson kívülről</t>
  </si>
  <si>
    <t>2. Felhalmozási célú átvett pénzeszközök államháztartáson kívülről</t>
  </si>
  <si>
    <t>Előző évi állami támogatás visszatérítés</t>
  </si>
  <si>
    <t>Tárgyévi függő, átfutó, kiegyenlítő bevételek</t>
  </si>
  <si>
    <t>Tárgyévi függő, átfutó kiegyenlítő kiadások</t>
  </si>
  <si>
    <t>Közhatalmi bev. összesen:</t>
  </si>
  <si>
    <t>3.1. Önkormányzati segély</t>
  </si>
  <si>
    <t>Közhatalmi bevételek</t>
  </si>
  <si>
    <t>2.3. Egyéb közhatalmi bevételek</t>
  </si>
  <si>
    <t>2014. évi szociális, jóléti és egészségügyi juttatás</t>
  </si>
  <si>
    <t>előirányzata</t>
  </si>
  <si>
    <t>Családalapítási támogatás</t>
  </si>
  <si>
    <t>Szociális, jóléti, kulturális  juttatások</t>
  </si>
  <si>
    <t>Továbbképzés támogatása</t>
  </si>
  <si>
    <t>Egészségügyi juttatás (védőszemüveg)</t>
  </si>
  <si>
    <t>Cafetéria juttatás (200.000 Ft/fő)</t>
  </si>
  <si>
    <t>Vezetői illetménypótlék (jegyző, irodavezetők)</t>
  </si>
  <si>
    <t>Lakásépítés,- vásárlás támogatása</t>
  </si>
  <si>
    <t xml:space="preserve">Engedélyezett létszám 2014. évre 74 fő </t>
  </si>
  <si>
    <t>- Dombóvár 67 fő (3 fő rehabos, 4 fő közfogl.)</t>
  </si>
  <si>
    <t>- Szakcsi Kirendeltség 7 fő</t>
  </si>
  <si>
    <t>Dombóvár Város Önkormányzata 2014. évi előirányzat felhasználási terve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</si>
  <si>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</si>
  <si>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</si>
  <si>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</si>
  <si>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</si>
  <si>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</si>
  <si>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</si>
  <si>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</si>
  <si>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</si>
  <si>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</si>
  <si>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</si>
  <si>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</si>
  <si>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</si>
  <si>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 xml:space="preserve">  ebből helyi adó</t>
  </si>
  <si>
    <t>Felhalmozási és tőke jellegű bevétel</t>
  </si>
  <si>
    <t xml:space="preserve">  ebből működésre</t>
  </si>
  <si>
    <t xml:space="preserve">  ebből fejlesztésre</t>
  </si>
  <si>
    <t>Egyéb bevétel (pénz/készlet/maradvány,
kölcsön visszatérülés, alulfin.)</t>
  </si>
  <si>
    <t>Bevételek együtt (1+…+6)</t>
  </si>
  <si>
    <t>Finanszírozási műveletek (hitel)</t>
  </si>
  <si>
    <t xml:space="preserve">  ebből működési célú hitel</t>
  </si>
  <si>
    <t xml:space="preserve">  ebből felhalmozási célú hitel</t>
  </si>
  <si>
    <t>Összes bevétel (7+8)</t>
  </si>
  <si>
    <t>Személyi juttatás</t>
  </si>
  <si>
    <t>Munkaadókat terhelő járulék</t>
  </si>
  <si>
    <t>Egyéb működési célú kiadás</t>
  </si>
  <si>
    <t>Működési kiadások (10+…+14)</t>
  </si>
  <si>
    <t>Felújítás</t>
  </si>
  <si>
    <t>Beruházás</t>
  </si>
  <si>
    <t>Egyéb felhalmozási kiadás</t>
  </si>
  <si>
    <t>Felhalmozási kiadás (16+17+18)</t>
  </si>
  <si>
    <t>Kiadások együtt (15+19+20)</t>
  </si>
  <si>
    <t>Finanszírozási műveletek (hiteltörlesztés)</t>
  </si>
  <si>
    <t xml:space="preserve">  ebből működési célú hiteltörlesztés</t>
  </si>
  <si>
    <t xml:space="preserve">  ebből felhalmozási célú hiteltörlesztés</t>
  </si>
  <si>
    <t>Összes kiadás (21+22)</t>
  </si>
  <si>
    <t>7-21 eltérése (+/-)</t>
  </si>
  <si>
    <t>9-23 eltérése (+/-)</t>
  </si>
  <si>
    <t>Záró pénzkészlet</t>
  </si>
  <si>
    <t>Dombóvár Város Önkormányzatának költségvetési mérlege</t>
  </si>
  <si>
    <t>2014. év</t>
  </si>
  <si>
    <t>2015. év</t>
  </si>
  <si>
    <t>2016. év</t>
  </si>
  <si>
    <t>Helyi adók</t>
  </si>
  <si>
    <t>Gépjárműadó</t>
  </si>
  <si>
    <t>Egyéb központi adók</t>
  </si>
  <si>
    <t>Egyéb közhatalmi bevételek</t>
  </si>
  <si>
    <t>Működési célú pénzeszköz átvétel</t>
  </si>
  <si>
    <t>Pénzmaradvány (működési célú)</t>
  </si>
  <si>
    <t>Kölcsön visszatérülés</t>
  </si>
  <si>
    <t>Működési célú bevételek összesen</t>
  </si>
  <si>
    <t>Felhalmozási célú pénzeszköz átvétel</t>
  </si>
  <si>
    <t>Hosszú lejáratú kölcsön visszatérülés</t>
  </si>
  <si>
    <t>Felhalmozási célú hitel igénybevétele</t>
  </si>
  <si>
    <t>Felhalmozási célú bevétel összesen:</t>
  </si>
  <si>
    <t>Bevétel összesen:</t>
  </si>
  <si>
    <t>Személyi juttatások összesen:</t>
  </si>
  <si>
    <t>Működési célú pénzeszköz átadás, egyéb tám.</t>
  </si>
  <si>
    <t>Ellátottak pénzbeni juttatása</t>
  </si>
  <si>
    <t>Rövid lejáratú hitel visszafizetés</t>
  </si>
  <si>
    <t>Rövid lejáratú hitel kamat</t>
  </si>
  <si>
    <t>Céltartalék működési, általános tartalék</t>
  </si>
  <si>
    <t>Működési kiadás összesen</t>
  </si>
  <si>
    <t>Felhalmozási célú hitel visszafizetés</t>
  </si>
  <si>
    <t>Hosszú lejáratú hitel kamata</t>
  </si>
  <si>
    <t>Felhalmozási célú kölcsön nyújtás</t>
  </si>
  <si>
    <t>Felhalmozási kiadások összesen:</t>
  </si>
  <si>
    <t>Garancia és kezességvállalás (függő)</t>
  </si>
  <si>
    <t>Megnevezés</t>
  </si>
  <si>
    <t>Kezesség típusa</t>
  </si>
  <si>
    <t>Kezességvállalás mértéke/hitelkeret
eFt</t>
  </si>
  <si>
    <t>Kezességvállalás kezdete</t>
  </si>
  <si>
    <t>Kezességvállalás időtartama/ lejárata</t>
  </si>
  <si>
    <t>2013. évi záró</t>
  </si>
  <si>
    <t>2016.</t>
  </si>
  <si>
    <t>Dombóvár és Környéke Viziközműtársulat</t>
  </si>
  <si>
    <t>készfizető kezesség</t>
  </si>
  <si>
    <t>2011.</t>
  </si>
  <si>
    <t>2014.10.</t>
  </si>
  <si>
    <t>Dombóvári Város- és Lakásgzadálkodási Nkft.
(Völgység-Hegyhát folyószámlahitel)</t>
  </si>
  <si>
    <t>2013.</t>
  </si>
  <si>
    <t>2014.04.</t>
  </si>
  <si>
    <t>3.</t>
  </si>
  <si>
    <t>Dombóvári Város- és Lakásgzadálkodási Nkft.
(OTP rulírozó forgóeszközhitel)</t>
  </si>
  <si>
    <t>2014.05</t>
  </si>
  <si>
    <t>4.</t>
  </si>
  <si>
    <t>ÖKO-DOMBÓ Dombóvári
Környezet- és
Hulladékgazdálkodási Kft.
(Hungária folyószámlahitel)</t>
  </si>
  <si>
    <t>2014.08.</t>
  </si>
  <si>
    <t>Garancia és kezességvállalás (beváltott)</t>
  </si>
  <si>
    <t>2017.</t>
  </si>
  <si>
    <t>Kapos ITK. Kht.</t>
  </si>
  <si>
    <t>2006.</t>
  </si>
  <si>
    <t>5 év</t>
  </si>
  <si>
    <t>2011.03</t>
  </si>
  <si>
    <t>(projekt összköltsége)</t>
  </si>
  <si>
    <t>Működési célú tám. államháztartáson belülről</t>
  </si>
  <si>
    <t>1.2. Szent Lukács Nkft. tagi kölcsön és kamat</t>
  </si>
  <si>
    <t>1.3. Lakásszerzési támogatás</t>
  </si>
  <si>
    <t>1.4. Munkáltatói kölcsön</t>
  </si>
  <si>
    <t>10.2. Kézi szeméttárolók ürítése</t>
  </si>
  <si>
    <t>10.3 Utak szennyeződés mentesítése</t>
  </si>
  <si>
    <t>10.4 Zöldterület kezelés</t>
  </si>
  <si>
    <t>4. Szilárd burkolat nélküli utak állapotának javítása (zúzottkövezés)</t>
  </si>
  <si>
    <t>21. Városi rendezvények</t>
  </si>
  <si>
    <t>22. DVMSE üzemeltetés</t>
  </si>
  <si>
    <t>23. Testvérvárosi kapcsolatok</t>
  </si>
  <si>
    <t>24. Önkormányzati jogalkotás kiadásai</t>
  </si>
  <si>
    <t>25. Helyi tömegközlekedés biztosítása</t>
  </si>
  <si>
    <t>26. Helyi nyomtatott médiában való megjelenésre</t>
  </si>
  <si>
    <t>28. KLIK-nek köznevelési intézmények üzemeltetésére</t>
  </si>
  <si>
    <t>29. Strabag kamat fizetés</t>
  </si>
  <si>
    <t>30. Klebelsberg: óvodások utaztatása</t>
  </si>
  <si>
    <t>31. Víziközmű-fejlesztésekkel kapcs. műszaki tanácsadás</t>
  </si>
  <si>
    <t>32. ÁROP-1.A.5 Szervezeti folyamatok korszerűsítése</t>
  </si>
  <si>
    <t>33. TÁMOP 3.1.3 "Együtt a jövődért"</t>
  </si>
  <si>
    <t>34. Népköztársaság u. 5. tervezés</t>
  </si>
  <si>
    <t>35. Közfoglalkoztatáshoz kapcsolódó, a foglalkoztatási programból nem finanszírozható munkák fedezete</t>
  </si>
  <si>
    <t>36. Zöldterületek, szilárd burkolatok geodéziai felmérése</t>
  </si>
  <si>
    <t xml:space="preserve">37. Ivóvíz-minőség javító programhoz kapcsolódó csatlakozási díj megállapításához szakértő díja </t>
  </si>
  <si>
    <t>38. Viziközmű hálózat üzemeltetéséhez kapcsolódó tulajdonosi feladatok</t>
  </si>
  <si>
    <t>39. Mezőőri szolgálat fenntartásával kapcsolatos költségek</t>
  </si>
  <si>
    <t>40. Aradi 13 szoborcsoport megrongálás miatti helyreállítása</t>
  </si>
  <si>
    <t>41. Korona Szálló épületével kapcsolatos költségek</t>
  </si>
  <si>
    <t>42. Szarvasd belterületbe vonásával kapcsolatos költségek</t>
  </si>
  <si>
    <t>43. Digitális ortofotók beszerzése</t>
  </si>
  <si>
    <t>44. Energetikai szempontú felülvizsgálatok, tanulmányok</t>
  </si>
  <si>
    <t>45. Közvilágítás felülvizsgálata, felmérése</t>
  </si>
  <si>
    <t>3.2. Köztemetés</t>
  </si>
  <si>
    <t>3.3. Közgyógyellátás</t>
  </si>
  <si>
    <t>3.4. Kismamák utazási támogatása</t>
  </si>
  <si>
    <t>3.5. Méhnyakrák elleni védőoltás</t>
  </si>
  <si>
    <t>3.6. Aktív korúak ellátása</t>
  </si>
  <si>
    <t>3.6.1. Egészségkárosodott személyek részére</t>
  </si>
  <si>
    <t>3.6.3. Foglalkoztatást helyettesítő támogatás</t>
  </si>
  <si>
    <t>3.7. Lakásfenntartási támogatás</t>
  </si>
  <si>
    <t>3.8. Kiegészítő gyermekvédelmi támogatás</t>
  </si>
  <si>
    <t xml:space="preserve">3.6.2. Nyugdíjkorhatárt 5 éven belül betöltők részére </t>
  </si>
  <si>
    <t>5. Közvilágítás bővítése, korszerűsítése, fejlesztése</t>
  </si>
  <si>
    <t>6. Városüzemeltetési és egyéb hivatali feladatellátást biztosító beszerzések</t>
  </si>
  <si>
    <t>6.1. Digitális térképi adatbázis beszerzése/frissítése</t>
  </si>
  <si>
    <t>7.  Szent Gellért u. megnyitása</t>
  </si>
  <si>
    <t>8. Térfigyelő kamerarendszer kiépítése</t>
  </si>
  <si>
    <t>9. TÁMOP 3.1.3 "Együtt a jövődért"</t>
  </si>
  <si>
    <t>10. ÁROP-1.A.5 Szervezeti folyamatok korszerűsítése</t>
  </si>
  <si>
    <t>11. Művelődési Ház székek beszerzése</t>
  </si>
  <si>
    <t>5. Kerékpárutak felújítása (gunarasi, szőlőhegyi)</t>
  </si>
  <si>
    <t>6. Rét u. - Szigeterdő közötti járda felújítása</t>
  </si>
  <si>
    <t>7. Fő utcai járda térkövezése a II. u. és a III. u. között</t>
  </si>
  <si>
    <t>8. Városháza fejlesztése</t>
  </si>
  <si>
    <t>9. Játszóterek felülvizsgálata, a szükséges és lehetséges javítási, felújítási munkák elvégzése</t>
  </si>
  <si>
    <t>11. 2011. évi forgalmi rend felülvizsgálatában szereplő, a Testület által szükségesnek ítélt munkák</t>
  </si>
  <si>
    <t>12. Gyepmesteri telep fejlesztése</t>
  </si>
  <si>
    <t>13. Víztorony jókarbantartást meghaladó felújítása</t>
  </si>
  <si>
    <t>14. Szabadság u. 18. előtti közterület térkövezése</t>
  </si>
  <si>
    <t>15. Intézmények (Városháza, Platán és Támasz Otthon) akadálymentesítése</t>
  </si>
  <si>
    <t>16. Petőfi utcai közművek (víz, csapadékvíz) rekonstrukciója</t>
  </si>
  <si>
    <t>17. Orvosi rendelők felújítása</t>
  </si>
  <si>
    <t>19. József Attila Iskolánál járda</t>
  </si>
  <si>
    <t>20. Önkormányzati ingatlanok rákötése víziközműre</t>
  </si>
  <si>
    <t>21. Fecskeház felújítása</t>
  </si>
  <si>
    <t>22. Tanácsköztársaság tér 1-3-5. felújítása</t>
  </si>
  <si>
    <t>2. Gunaras részvény értékesítés</t>
  </si>
  <si>
    <t>Kölcsönök visszatérülése</t>
  </si>
  <si>
    <t>Átvett pénzeszközök, támogatás államháztartáson belülről</t>
  </si>
  <si>
    <t>Több éves kihatással járó döntések számszerűsítése</t>
  </si>
  <si>
    <t>A hosszú lejáratú beruházási hitelek</t>
  </si>
  <si>
    <t>Sorsz.</t>
  </si>
  <si>
    <t>2018.</t>
  </si>
  <si>
    <t>2019.</t>
  </si>
  <si>
    <t>MFB- Zrínyi Isk. rekonstrukció</t>
  </si>
  <si>
    <t>UniCredit ÖKIF hitel</t>
  </si>
  <si>
    <t>A rövid lejáratú  hitelek</t>
  </si>
  <si>
    <t>2020.</t>
  </si>
  <si>
    <t>Folyószámlahitel</t>
  </si>
  <si>
    <t>Munkabérhitel</t>
  </si>
  <si>
    <t>Kötvény</t>
  </si>
  <si>
    <t>2014. 01.01. nyitóállomány</t>
  </si>
  <si>
    <t>2021-tól</t>
  </si>
  <si>
    <t>Műkdési hitel</t>
  </si>
  <si>
    <t>Kötvény (Chf)</t>
  </si>
  <si>
    <t>3.10. Helyi közösségi közlekedés támogatása</t>
  </si>
  <si>
    <t>4.1.4. Itthon vagy - Magyarország, szeretlek! program</t>
  </si>
  <si>
    <t>1.11. Társulások (ESZI, Kapaszkodó) részére 2013. évben átadott támogatások elszámolása</t>
  </si>
  <si>
    <t>1.1. Közérdekű kötelezettségvállalás városi rendezvények, egyéb önkormányzati feladatok támogatására</t>
  </si>
  <si>
    <t>2.4. I. világháborús emlékmű restaurálásához támogatás</t>
  </si>
  <si>
    <t>2.5. Önkormányzati tulajdonú ingatlanok után befizetett közműfejlesztési hozzájárulás visszafizetése</t>
  </si>
  <si>
    <t>48. Itthon vagy - Magyarország, szeretlek! program</t>
  </si>
  <si>
    <t xml:space="preserve">3. Radnóti u. útépítés </t>
  </si>
  <si>
    <t>4. Hóvirág u-i parkolók térkövezése</t>
  </si>
  <si>
    <t>21. Farkas A. uszodához játszóvár</t>
  </si>
  <si>
    <t>22. Karácsonyi díszkivilágításra</t>
  </si>
  <si>
    <t>23. Hidak Gunaras Termál u. patak fölé</t>
  </si>
  <si>
    <t>24. Stégek Szállásréti tóhoz</t>
  </si>
  <si>
    <t>18. Dombóvár-Szőlőhegy  feljárójának mart aszfalttal történő javítása</t>
  </si>
  <si>
    <t>32. I. világháborús emlékmű felújítás</t>
  </si>
  <si>
    <t>33. Illyés Gyula Gimnázium pince-klub helyiség padlóburkolat felújítása</t>
  </si>
  <si>
    <t>1.3. Dombóvár Térségi Szennyvízkezelési Önkormányzati Társulásnak kölcsön</t>
  </si>
  <si>
    <t>4. melléklet a 4/2014. (III.4.) önkormányzati rendelethez</t>
  </si>
</sst>
</file>

<file path=xl/styles.xml><?xml version="1.0" encoding="utf-8"?>
<styleSheet xmlns="http://schemas.openxmlformats.org/spreadsheetml/2006/main">
  <numFmts count="5">
    <numFmt numFmtId="41" formatCode="_-* #,##0\ _F_t_-;\-* #,##0\ _F_t_-;_-* &quot;-&quot;\ _F_t_-;_-@_-"/>
    <numFmt numFmtId="164" formatCode="0.0"/>
    <numFmt numFmtId="165" formatCode="0.0%"/>
    <numFmt numFmtId="166" formatCode="#,##0.0000"/>
    <numFmt numFmtId="167" formatCode="#,##0_ ;\-#,##0\ "/>
  </numFmts>
  <fonts count="78">
    <font>
      <sz val="10"/>
      <name val="Arial"/>
      <charset val="238"/>
    </font>
    <font>
      <sz val="10"/>
      <name val="Arial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8"/>
      <name val="Arial"/>
      <family val="2"/>
      <charset val="238"/>
    </font>
    <font>
      <sz val="10"/>
      <color indexed="9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color indexed="9"/>
      <name val="Times New Roman"/>
      <family val="1"/>
      <charset val="238"/>
    </font>
    <font>
      <sz val="12"/>
      <color indexed="9"/>
      <name val="Times New Roman"/>
      <family val="1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2"/>
      <color indexed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color indexed="10"/>
      <name val="Arial"/>
      <family val="2"/>
      <charset val="238"/>
    </font>
    <font>
      <i/>
      <sz val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i/>
      <sz val="9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charset val="238"/>
    </font>
    <font>
      <sz val="10"/>
      <color indexed="9"/>
      <name val="Times New Roman CE"/>
      <charset val="238"/>
    </font>
    <font>
      <sz val="9"/>
      <name val="Times New Roman CE"/>
      <family val="1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5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2" fillId="17" borderId="7" applyNumberFormat="0" applyFon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61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 applyBorder="0"/>
    <xf numFmtId="0" fontId="2" fillId="0" borderId="0" applyBorder="0"/>
    <xf numFmtId="0" fontId="2" fillId="0" borderId="0" applyBorder="0"/>
    <xf numFmtId="0" fontId="51" fillId="0" borderId="0"/>
    <xf numFmtId="0" fontId="51" fillId="0" borderId="0"/>
    <xf numFmtId="0" fontId="31" fillId="0" borderId="0"/>
    <xf numFmtId="0" fontId="51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1" fillId="0" borderId="0" applyFont="0" applyFill="0" applyBorder="0" applyAlignment="0" applyProtection="0"/>
  </cellStyleXfs>
  <cellXfs count="941">
    <xf numFmtId="0" fontId="0" fillId="0" borderId="0" xfId="0"/>
    <xf numFmtId="0" fontId="21" fillId="0" borderId="0" xfId="43" applyFont="1"/>
    <xf numFmtId="0" fontId="24" fillId="0" borderId="0" xfId="43" applyFont="1"/>
    <xf numFmtId="0" fontId="26" fillId="0" borderId="0" xfId="0" applyFont="1"/>
    <xf numFmtId="3" fontId="27" fillId="0" borderId="10" xfId="43" applyNumberFormat="1" applyFont="1" applyFill="1" applyBorder="1"/>
    <xf numFmtId="3" fontId="28" fillId="0" borderId="10" xfId="43" applyNumberFormat="1" applyFont="1" applyFill="1" applyBorder="1"/>
    <xf numFmtId="0" fontId="30" fillId="0" borderId="11" xfId="43" applyFont="1" applyBorder="1" applyAlignment="1">
      <alignment horizontal="center"/>
    </xf>
    <xf numFmtId="0" fontId="27" fillId="0" borderId="11" xfId="43" applyFont="1" applyBorder="1" applyAlignment="1">
      <alignment horizontal="right"/>
    </xf>
    <xf numFmtId="0" fontId="21" fillId="0" borderId="12" xfId="43" applyFont="1" applyBorder="1"/>
    <xf numFmtId="0" fontId="21" fillId="0" borderId="13" xfId="43" applyFont="1" applyFill="1" applyBorder="1"/>
    <xf numFmtId="0" fontId="21" fillId="0" borderId="10" xfId="43" applyFont="1" applyFill="1" applyBorder="1" applyAlignment="1">
      <alignment horizontal="right"/>
    </xf>
    <xf numFmtId="0" fontId="21" fillId="0" borderId="10" xfId="43" applyFont="1" applyBorder="1"/>
    <xf numFmtId="0" fontId="21" fillId="0" borderId="10" xfId="43" applyFont="1" applyFill="1" applyBorder="1"/>
    <xf numFmtId="0" fontId="21" fillId="0" borderId="0" xfId="43" applyFont="1" applyAlignment="1">
      <alignment wrapText="1"/>
    </xf>
    <xf numFmtId="3" fontId="26" fillId="0" borderId="0" xfId="0" applyNumberFormat="1" applyFont="1"/>
    <xf numFmtId="0" fontId="21" fillId="0" borderId="12" xfId="43" applyFont="1" applyFill="1" applyBorder="1"/>
    <xf numFmtId="0" fontId="21" fillId="0" borderId="14" xfId="43" applyFont="1" applyFill="1" applyBorder="1"/>
    <xf numFmtId="0" fontId="27" fillId="0" borderId="10" xfId="43" applyFont="1" applyBorder="1" applyAlignment="1">
      <alignment vertical="center" wrapText="1"/>
    </xf>
    <xf numFmtId="0" fontId="21" fillId="0" borderId="0" xfId="43" applyFont="1" applyAlignment="1">
      <alignment vertical="center"/>
    </xf>
    <xf numFmtId="0" fontId="27" fillId="0" borderId="10" xfId="43" applyFont="1" applyFill="1" applyBorder="1" applyAlignment="1">
      <alignment horizontal="center" vertical="center" wrapText="1"/>
    </xf>
    <xf numFmtId="0" fontId="27" fillId="0" borderId="0" xfId="43" applyFont="1"/>
    <xf numFmtId="3" fontId="27" fillId="0" borderId="10" xfId="43" applyNumberFormat="1" applyFont="1" applyBorder="1"/>
    <xf numFmtId="3" fontId="28" fillId="0" borderId="10" xfId="43" applyNumberFormat="1" applyFont="1" applyBorder="1" applyAlignment="1">
      <alignment wrapText="1"/>
    </xf>
    <xf numFmtId="3" fontId="27" fillId="0" borderId="10" xfId="43" applyNumberFormat="1" applyFont="1" applyBorder="1" applyAlignment="1">
      <alignment wrapText="1"/>
    </xf>
    <xf numFmtId="3" fontId="27" fillId="0" borderId="10" xfId="43" applyNumberFormat="1" applyFont="1" applyFill="1" applyBorder="1" applyAlignment="1">
      <alignment wrapText="1"/>
    </xf>
    <xf numFmtId="0" fontId="22" fillId="0" borderId="0" xfId="43" applyFont="1"/>
    <xf numFmtId="0" fontId="26" fillId="0" borderId="0" xfId="0" applyFont="1" applyAlignment="1">
      <alignment wrapText="1"/>
    </xf>
    <xf numFmtId="0" fontId="21" fillId="0" borderId="12" xfId="43" applyFont="1" applyFill="1" applyBorder="1" applyAlignment="1">
      <alignment horizontal="right"/>
    </xf>
    <xf numFmtId="0" fontId="20" fillId="0" borderId="10" xfId="43" applyFont="1" applyFill="1" applyBorder="1"/>
    <xf numFmtId="0" fontId="22" fillId="0" borderId="10" xfId="43" applyFont="1" applyFill="1" applyBorder="1"/>
    <xf numFmtId="0" fontId="23" fillId="0" borderId="10" xfId="43" applyFont="1" applyFill="1" applyBorder="1"/>
    <xf numFmtId="0" fontId="36" fillId="0" borderId="0" xfId="43" applyFont="1" applyFill="1" applyBorder="1"/>
    <xf numFmtId="0" fontId="38" fillId="0" borderId="0" xfId="43" applyFont="1" applyFill="1" applyBorder="1" applyAlignment="1">
      <alignment horizontal="center"/>
    </xf>
    <xf numFmtId="0" fontId="38" fillId="0" borderId="15" xfId="43" applyFont="1" applyFill="1" applyBorder="1" applyAlignment="1">
      <alignment horizontal="center"/>
    </xf>
    <xf numFmtId="0" fontId="38" fillId="0" borderId="16" xfId="43" applyFont="1" applyFill="1" applyBorder="1" applyAlignment="1">
      <alignment horizontal="center"/>
    </xf>
    <xf numFmtId="0" fontId="38" fillId="0" borderId="17" xfId="43" applyFont="1" applyFill="1" applyBorder="1" applyAlignment="1">
      <alignment horizontal="center"/>
    </xf>
    <xf numFmtId="0" fontId="38" fillId="0" borderId="18" xfId="43" applyFont="1" applyFill="1" applyBorder="1" applyAlignment="1">
      <alignment horizontal="center"/>
    </xf>
    <xf numFmtId="0" fontId="36" fillId="0" borderId="19" xfId="43" applyFont="1" applyFill="1" applyBorder="1"/>
    <xf numFmtId="0" fontId="36" fillId="0" borderId="20" xfId="43" applyFont="1" applyFill="1" applyBorder="1" applyAlignment="1">
      <alignment horizontal="right"/>
    </xf>
    <xf numFmtId="0" fontId="36" fillId="0" borderId="21" xfId="43" applyFont="1" applyFill="1" applyBorder="1"/>
    <xf numFmtId="0" fontId="38" fillId="0" borderId="19" xfId="43" applyFont="1" applyFill="1" applyBorder="1"/>
    <xf numFmtId="0" fontId="38" fillId="0" borderId="20" xfId="43" applyFont="1" applyFill="1" applyBorder="1" applyAlignment="1">
      <alignment horizontal="right"/>
    </xf>
    <xf numFmtId="0" fontId="38" fillId="0" borderId="21" xfId="43" applyFont="1" applyFill="1" applyBorder="1"/>
    <xf numFmtId="3" fontId="36" fillId="0" borderId="10" xfId="43" applyNumberFormat="1" applyFont="1" applyFill="1" applyBorder="1"/>
    <xf numFmtId="0" fontId="36" fillId="0" borderId="10" xfId="43" applyFont="1" applyFill="1" applyBorder="1"/>
    <xf numFmtId="0" fontId="36" fillId="0" borderId="20" xfId="43" applyFont="1" applyFill="1" applyBorder="1"/>
    <xf numFmtId="3" fontId="38" fillId="0" borderId="10" xfId="43" applyNumberFormat="1" applyFont="1" applyFill="1" applyBorder="1"/>
    <xf numFmtId="0" fontId="38" fillId="0" borderId="10" xfId="43" applyFont="1" applyFill="1" applyBorder="1"/>
    <xf numFmtId="3" fontId="36" fillId="0" borderId="19" xfId="43" applyNumberFormat="1" applyFont="1" applyFill="1" applyBorder="1"/>
    <xf numFmtId="3" fontId="36" fillId="0" borderId="20" xfId="43" applyNumberFormat="1" applyFont="1" applyFill="1" applyBorder="1"/>
    <xf numFmtId="0" fontId="37" fillId="0" borderId="19" xfId="43" applyFont="1" applyFill="1" applyBorder="1"/>
    <xf numFmtId="0" fontId="37" fillId="0" borderId="20" xfId="43" applyFont="1" applyFill="1" applyBorder="1" applyAlignment="1">
      <alignment horizontal="right"/>
    </xf>
    <xf numFmtId="0" fontId="37" fillId="0" borderId="21" xfId="43" applyFont="1" applyFill="1" applyBorder="1"/>
    <xf numFmtId="3" fontId="37" fillId="0" borderId="19" xfId="43" applyNumberFormat="1" applyFont="1" applyFill="1" applyBorder="1"/>
    <xf numFmtId="3" fontId="37" fillId="0" borderId="10" xfId="43" applyNumberFormat="1" applyFont="1" applyFill="1" applyBorder="1"/>
    <xf numFmtId="3" fontId="37" fillId="0" borderId="20" xfId="43" applyNumberFormat="1" applyFont="1" applyFill="1" applyBorder="1"/>
    <xf numFmtId="0" fontId="39" fillId="0" borderId="19" xfId="43" applyFont="1" applyFill="1" applyBorder="1"/>
    <xf numFmtId="0" fontId="38" fillId="0" borderId="19" xfId="43" applyFont="1" applyFill="1" applyBorder="1" applyAlignment="1">
      <alignment horizontal="center"/>
    </xf>
    <xf numFmtId="0" fontId="36" fillId="0" borderId="20" xfId="43" applyFont="1" applyFill="1" applyBorder="1" applyAlignment="1">
      <alignment horizontal="center"/>
    </xf>
    <xf numFmtId="0" fontId="39" fillId="0" borderId="20" xfId="43" applyFont="1" applyFill="1" applyBorder="1" applyAlignment="1">
      <alignment horizontal="right"/>
    </xf>
    <xf numFmtId="0" fontId="39" fillId="0" borderId="21" xfId="43" applyFont="1" applyFill="1" applyBorder="1"/>
    <xf numFmtId="3" fontId="39" fillId="0" borderId="10" xfId="43" applyNumberFormat="1" applyFont="1" applyFill="1" applyBorder="1"/>
    <xf numFmtId="0" fontId="36" fillId="0" borderId="21" xfId="43" applyFont="1" applyFill="1" applyBorder="1" applyAlignment="1">
      <alignment wrapText="1"/>
    </xf>
    <xf numFmtId="14" fontId="36" fillId="0" borderId="21" xfId="43" applyNumberFormat="1" applyFont="1" applyFill="1" applyBorder="1" applyAlignment="1">
      <alignment wrapText="1"/>
    </xf>
    <xf numFmtId="0" fontId="37" fillId="0" borderId="10" xfId="43" applyFont="1" applyFill="1" applyBorder="1"/>
    <xf numFmtId="0" fontId="36" fillId="0" borderId="21" xfId="43" applyFont="1" applyFill="1" applyBorder="1" applyAlignment="1">
      <alignment vertical="top" wrapText="1"/>
    </xf>
    <xf numFmtId="0" fontId="36" fillId="0" borderId="22" xfId="43" applyFont="1" applyFill="1" applyBorder="1"/>
    <xf numFmtId="0" fontId="38" fillId="0" borderId="23" xfId="43" applyFont="1" applyFill="1" applyBorder="1"/>
    <xf numFmtId="3" fontId="38" fillId="0" borderId="24" xfId="43" applyNumberFormat="1" applyFont="1" applyFill="1" applyBorder="1"/>
    <xf numFmtId="0" fontId="21" fillId="0" borderId="10" xfId="43" applyFont="1" applyFill="1" applyBorder="1" applyAlignment="1">
      <alignment horizontal="center" vertical="center"/>
    </xf>
    <xf numFmtId="0" fontId="21" fillId="0" borderId="10" xfId="43" applyFont="1" applyFill="1" applyBorder="1" applyAlignment="1">
      <alignment wrapText="1"/>
    </xf>
    <xf numFmtId="3" fontId="38" fillId="0" borderId="15" xfId="43" applyNumberFormat="1" applyFont="1" applyFill="1" applyBorder="1" applyAlignment="1">
      <alignment horizontal="center"/>
    </xf>
    <xf numFmtId="3" fontId="38" fillId="0" borderId="16" xfId="43" applyNumberFormat="1" applyFont="1" applyFill="1" applyBorder="1" applyAlignment="1">
      <alignment horizontal="center"/>
    </xf>
    <xf numFmtId="3" fontId="38" fillId="0" borderId="17" xfId="43" applyNumberFormat="1" applyFont="1" applyFill="1" applyBorder="1" applyAlignment="1">
      <alignment horizontal="center"/>
    </xf>
    <xf numFmtId="0" fontId="38" fillId="0" borderId="22" xfId="43" applyFont="1" applyFill="1" applyBorder="1" applyAlignment="1">
      <alignment horizontal="center" vertical="center"/>
    </xf>
    <xf numFmtId="0" fontId="36" fillId="0" borderId="25" xfId="43" applyFont="1" applyFill="1" applyBorder="1" applyAlignment="1">
      <alignment horizontal="center" vertical="center"/>
    </xf>
    <xf numFmtId="0" fontId="38" fillId="0" borderId="23" xfId="43" applyFont="1" applyFill="1" applyBorder="1" applyAlignment="1">
      <alignment horizontal="center" vertical="center"/>
    </xf>
    <xf numFmtId="0" fontId="38" fillId="0" borderId="26" xfId="43" applyFont="1" applyFill="1" applyBorder="1" applyAlignment="1">
      <alignment horizontal="center"/>
    </xf>
    <xf numFmtId="0" fontId="38" fillId="0" borderId="27" xfId="43" applyFont="1" applyFill="1" applyBorder="1" applyAlignment="1">
      <alignment horizontal="center"/>
    </xf>
    <xf numFmtId="0" fontId="38" fillId="0" borderId="18" xfId="43" applyFont="1" applyFill="1" applyBorder="1"/>
    <xf numFmtId="0" fontId="38" fillId="0" borderId="20" xfId="43" applyFont="1" applyFill="1" applyBorder="1" applyAlignment="1">
      <alignment horizontal="center"/>
    </xf>
    <xf numFmtId="0" fontId="36" fillId="0" borderId="19" xfId="43" applyFont="1" applyFill="1" applyBorder="1" applyAlignment="1">
      <alignment horizontal="center"/>
    </xf>
    <xf numFmtId="0" fontId="37" fillId="0" borderId="19" xfId="43" applyFont="1" applyFill="1" applyBorder="1" applyAlignment="1">
      <alignment horizontal="center"/>
    </xf>
    <xf numFmtId="0" fontId="37" fillId="0" borderId="20" xfId="43" applyFont="1" applyFill="1" applyBorder="1" applyAlignment="1">
      <alignment horizontal="center"/>
    </xf>
    <xf numFmtId="3" fontId="38" fillId="0" borderId="10" xfId="43" applyNumberFormat="1" applyFont="1" applyFill="1" applyBorder="1" applyAlignment="1">
      <alignment horizontal="right"/>
    </xf>
    <xf numFmtId="14" fontId="36" fillId="0" borderId="21" xfId="43" applyNumberFormat="1" applyFont="1" applyFill="1" applyBorder="1"/>
    <xf numFmtId="0" fontId="39" fillId="0" borderId="20" xfId="43" applyFont="1" applyFill="1" applyBorder="1" applyAlignment="1">
      <alignment horizontal="center"/>
    </xf>
    <xf numFmtId="0" fontId="39" fillId="0" borderId="19" xfId="43" applyFont="1" applyFill="1" applyBorder="1" applyAlignment="1">
      <alignment horizontal="center"/>
    </xf>
    <xf numFmtId="0" fontId="36" fillId="0" borderId="19" xfId="43" applyFont="1" applyFill="1" applyBorder="1" applyAlignment="1">
      <alignment horizontal="center" wrapText="1"/>
    </xf>
    <xf numFmtId="0" fontId="38" fillId="0" borderId="19" xfId="43" applyFont="1" applyFill="1" applyBorder="1" applyAlignment="1"/>
    <xf numFmtId="0" fontId="36" fillId="0" borderId="20" xfId="43" applyFont="1" applyFill="1" applyBorder="1" applyAlignment="1">
      <alignment horizontal="center" wrapText="1"/>
    </xf>
    <xf numFmtId="3" fontId="36" fillId="0" borderId="10" xfId="43" applyNumberFormat="1" applyFont="1" applyFill="1" applyBorder="1" applyAlignment="1">
      <alignment wrapText="1"/>
    </xf>
    <xf numFmtId="0" fontId="40" fillId="0" borderId="20" xfId="43" applyFont="1" applyFill="1" applyBorder="1" applyAlignment="1"/>
    <xf numFmtId="0" fontId="40" fillId="0" borderId="21" xfId="43" applyFont="1" applyFill="1" applyBorder="1" applyAlignment="1"/>
    <xf numFmtId="0" fontId="36" fillId="0" borderId="25" xfId="43" applyFont="1" applyFill="1" applyBorder="1"/>
    <xf numFmtId="0" fontId="36" fillId="0" borderId="14" xfId="43" applyFont="1" applyFill="1" applyBorder="1"/>
    <xf numFmtId="0" fontId="36" fillId="0" borderId="12" xfId="43" applyFont="1" applyFill="1" applyBorder="1"/>
    <xf numFmtId="0" fontId="36" fillId="0" borderId="13" xfId="43" applyFont="1" applyFill="1" applyBorder="1"/>
    <xf numFmtId="1" fontId="38" fillId="0" borderId="28" xfId="43" applyNumberFormat="1" applyFont="1" applyFill="1" applyBorder="1" applyAlignment="1">
      <alignment horizontal="center" vertical="center"/>
    </xf>
    <xf numFmtId="0" fontId="38" fillId="0" borderId="26" xfId="43" applyFont="1" applyFill="1" applyBorder="1"/>
    <xf numFmtId="0" fontId="38" fillId="0" borderId="27" xfId="43" applyFont="1" applyFill="1" applyBorder="1" applyAlignment="1">
      <alignment horizontal="right"/>
    </xf>
    <xf numFmtId="0" fontId="38" fillId="0" borderId="29" xfId="43" applyFont="1" applyFill="1" applyBorder="1"/>
    <xf numFmtId="0" fontId="36" fillId="0" borderId="25" xfId="43" applyFont="1" applyFill="1" applyBorder="1" applyAlignment="1">
      <alignment horizontal="right"/>
    </xf>
    <xf numFmtId="0" fontId="36" fillId="0" borderId="23" xfId="43" applyFont="1" applyFill="1" applyBorder="1"/>
    <xf numFmtId="3" fontId="36" fillId="0" borderId="30" xfId="43" applyNumberFormat="1" applyFont="1" applyFill="1" applyBorder="1" applyAlignment="1">
      <alignment horizontal="right"/>
    </xf>
    <xf numFmtId="3" fontId="36" fillId="0" borderId="31" xfId="43" applyNumberFormat="1" applyFont="1" applyFill="1" applyBorder="1" applyAlignment="1">
      <alignment horizontal="center" wrapText="1"/>
    </xf>
    <xf numFmtId="0" fontId="36" fillId="0" borderId="31" xfId="43" applyFont="1" applyFill="1" applyBorder="1" applyAlignment="1">
      <alignment horizontal="center" wrapText="1"/>
    </xf>
    <xf numFmtId="0" fontId="36" fillId="0" borderId="32" xfId="43" applyFont="1" applyFill="1" applyBorder="1" applyAlignment="1">
      <alignment horizontal="center" wrapText="1"/>
    </xf>
    <xf numFmtId="0" fontId="36" fillId="0" borderId="20" xfId="43" applyFont="1" applyFill="1" applyBorder="1" applyAlignment="1">
      <alignment horizontal="right" vertical="center"/>
    </xf>
    <xf numFmtId="3" fontId="28" fillId="0" borderId="10" xfId="43" applyNumberFormat="1" applyFont="1" applyFill="1" applyBorder="1" applyAlignment="1">
      <alignment wrapText="1"/>
    </xf>
    <xf numFmtId="3" fontId="36" fillId="0" borderId="13" xfId="43" applyNumberFormat="1" applyFont="1" applyFill="1" applyBorder="1"/>
    <xf numFmtId="0" fontId="36" fillId="0" borderId="33" xfId="43" applyFont="1" applyFill="1" applyBorder="1" applyAlignment="1">
      <alignment wrapText="1"/>
    </xf>
    <xf numFmtId="0" fontId="38" fillId="0" borderId="21" xfId="43" applyFont="1" applyFill="1" applyBorder="1" applyAlignment="1">
      <alignment wrapText="1"/>
    </xf>
    <xf numFmtId="0" fontId="37" fillId="0" borderId="21" xfId="43" applyFont="1" applyFill="1" applyBorder="1" applyAlignment="1">
      <alignment wrapText="1"/>
    </xf>
    <xf numFmtId="0" fontId="39" fillId="0" borderId="21" xfId="43" applyFont="1" applyFill="1" applyBorder="1" applyAlignment="1">
      <alignment wrapText="1"/>
    </xf>
    <xf numFmtId="0" fontId="36" fillId="0" borderId="21" xfId="0" applyFont="1" applyFill="1" applyBorder="1" applyAlignment="1">
      <alignment wrapText="1"/>
    </xf>
    <xf numFmtId="0" fontId="34" fillId="0" borderId="0" xfId="0" applyFont="1"/>
    <xf numFmtId="0" fontId="34" fillId="0" borderId="0" xfId="39" applyFont="1" applyAlignment="1">
      <alignment wrapText="1"/>
    </xf>
    <xf numFmtId="0" fontId="34" fillId="0" borderId="0" xfId="39" applyFont="1"/>
    <xf numFmtId="3" fontId="34" fillId="0" borderId="0" xfId="0" applyNumberFormat="1" applyFont="1"/>
    <xf numFmtId="0" fontId="42" fillId="0" borderId="0" xfId="39" applyFont="1" applyAlignment="1">
      <alignment wrapText="1"/>
    </xf>
    <xf numFmtId="3" fontId="42" fillId="0" borderId="0" xfId="39" applyNumberFormat="1" applyFont="1" applyAlignment="1">
      <alignment horizontal="right"/>
    </xf>
    <xf numFmtId="0" fontId="42" fillId="0" borderId="0" xfId="39" applyFont="1" applyAlignment="1">
      <alignment vertical="center" wrapText="1"/>
    </xf>
    <xf numFmtId="0" fontId="34" fillId="0" borderId="0" xfId="39" applyFont="1" applyAlignment="1">
      <alignment horizontal="center" vertical="center" wrapText="1"/>
    </xf>
    <xf numFmtId="0" fontId="34" fillId="0" borderId="0" xfId="39" applyFont="1" applyAlignment="1">
      <alignment vertical="center"/>
    </xf>
    <xf numFmtId="3" fontId="34" fillId="0" borderId="0" xfId="39" applyNumberFormat="1" applyFont="1" applyFill="1" applyAlignment="1">
      <alignment horizontal="center"/>
    </xf>
    <xf numFmtId="0" fontId="34" fillId="0" borderId="0" xfId="39" applyFont="1" applyFill="1" applyAlignment="1">
      <alignment horizontal="center"/>
    </xf>
    <xf numFmtId="0" fontId="34" fillId="0" borderId="0" xfId="39" applyFont="1" applyFill="1" applyAlignment="1">
      <alignment horizontal="center" wrapText="1"/>
    </xf>
    <xf numFmtId="3" fontId="34" fillId="0" borderId="0" xfId="39" applyNumberFormat="1" applyFont="1" applyAlignment="1">
      <alignment horizontal="center"/>
    </xf>
    <xf numFmtId="3" fontId="34" fillId="0" borderId="0" xfId="39" applyNumberFormat="1" applyFont="1" applyFill="1" applyBorder="1"/>
    <xf numFmtId="0" fontId="34" fillId="0" borderId="0" xfId="39" applyFont="1" applyFill="1" applyAlignment="1">
      <alignment wrapText="1"/>
    </xf>
    <xf numFmtId="0" fontId="34" fillId="0" borderId="0" xfId="39" applyFont="1" applyBorder="1" applyAlignment="1">
      <alignment wrapText="1"/>
    </xf>
    <xf numFmtId="0" fontId="34" fillId="0" borderId="0" xfId="0" applyFont="1" applyAlignment="1">
      <alignment wrapText="1"/>
    </xf>
    <xf numFmtId="0" fontId="34" fillId="0" borderId="0" xfId="0" applyFont="1" applyFill="1"/>
    <xf numFmtId="0" fontId="34" fillId="0" borderId="0" xfId="0" applyFont="1" applyFill="1" applyAlignment="1">
      <alignment wrapText="1"/>
    </xf>
    <xf numFmtId="3" fontId="42" fillId="0" borderId="0" xfId="39" applyNumberFormat="1" applyFont="1" applyFill="1" applyBorder="1"/>
    <xf numFmtId="0" fontId="42" fillId="0" borderId="0" xfId="39" applyFont="1" applyFill="1" applyAlignment="1">
      <alignment wrapText="1"/>
    </xf>
    <xf numFmtId="3" fontId="42" fillId="0" borderId="0" xfId="0" applyNumberFormat="1" applyFont="1"/>
    <xf numFmtId="3" fontId="41" fillId="0" borderId="0" xfId="0" applyNumberFormat="1" applyFont="1"/>
    <xf numFmtId="0" fontId="34" fillId="0" borderId="0" xfId="39" applyFont="1" applyFill="1"/>
    <xf numFmtId="3" fontId="34" fillId="0" borderId="0" xfId="0" applyNumberFormat="1" applyFont="1" applyFill="1"/>
    <xf numFmtId="0" fontId="34" fillId="0" borderId="0" xfId="39" applyFont="1" applyFill="1" applyAlignment="1">
      <alignment vertical="center" wrapText="1"/>
    </xf>
    <xf numFmtId="3" fontId="34" fillId="0" borderId="0" xfId="39" applyNumberFormat="1" applyFont="1" applyFill="1" applyBorder="1" applyAlignment="1">
      <alignment vertical="center"/>
    </xf>
    <xf numFmtId="0" fontId="34" fillId="0" borderId="0" xfId="39" applyFont="1" applyFill="1" applyBorder="1" applyAlignment="1">
      <alignment wrapText="1"/>
    </xf>
    <xf numFmtId="3" fontId="34" fillId="0" borderId="0" xfId="39" applyNumberFormat="1" applyFont="1" applyFill="1"/>
    <xf numFmtId="3" fontId="42" fillId="0" borderId="0" xfId="39" applyNumberFormat="1" applyFont="1" applyBorder="1"/>
    <xf numFmtId="0" fontId="41" fillId="0" borderId="0" xfId="39" applyFont="1" applyAlignment="1">
      <alignment wrapText="1"/>
    </xf>
    <xf numFmtId="3" fontId="41" fillId="0" borderId="0" xfId="0" applyNumberFormat="1" applyFont="1" applyFill="1"/>
    <xf numFmtId="3" fontId="37" fillId="0" borderId="13" xfId="43" applyNumberFormat="1" applyFont="1" applyFill="1" applyBorder="1"/>
    <xf numFmtId="3" fontId="37" fillId="0" borderId="33" xfId="43" applyNumberFormat="1" applyFont="1" applyFill="1" applyBorder="1"/>
    <xf numFmtId="3" fontId="39" fillId="0" borderId="33" xfId="43" applyNumberFormat="1" applyFont="1" applyFill="1" applyBorder="1"/>
    <xf numFmtId="3" fontId="38" fillId="0" borderId="33" xfId="43" applyNumberFormat="1" applyFont="1" applyFill="1" applyBorder="1" applyAlignment="1">
      <alignment horizontal="right"/>
    </xf>
    <xf numFmtId="3" fontId="39" fillId="0" borderId="34" xfId="43" applyNumberFormat="1" applyFont="1" applyFill="1" applyBorder="1"/>
    <xf numFmtId="3" fontId="44" fillId="0" borderId="0" xfId="41" applyNumberFormat="1" applyFont="1"/>
    <xf numFmtId="0" fontId="45" fillId="0" borderId="0" xfId="41" applyFont="1"/>
    <xf numFmtId="0" fontId="27" fillId="0" borderId="0" xfId="41" applyFont="1" applyAlignment="1">
      <alignment horizontal="center" vertical="center"/>
    </xf>
    <xf numFmtId="0" fontId="27" fillId="0" borderId="0" xfId="41" applyFont="1"/>
    <xf numFmtId="3" fontId="27" fillId="0" borderId="0" xfId="41" applyNumberFormat="1" applyFont="1"/>
    <xf numFmtId="0" fontId="29" fillId="0" borderId="0" xfId="41" applyFont="1" applyBorder="1" applyAlignment="1">
      <alignment horizontal="center"/>
    </xf>
    <xf numFmtId="0" fontId="29" fillId="0" borderId="0" xfId="41" applyFont="1"/>
    <xf numFmtId="0" fontId="27" fillId="0" borderId="0" xfId="41" applyFont="1" applyBorder="1" applyAlignment="1">
      <alignment horizontal="center" vertical="center"/>
    </xf>
    <xf numFmtId="0" fontId="29" fillId="0" borderId="0" xfId="41" applyFont="1" applyBorder="1" applyAlignment="1">
      <alignment horizontal="right"/>
    </xf>
    <xf numFmtId="0" fontId="29" fillId="0" borderId="0" xfId="41" applyFont="1" applyBorder="1" applyAlignment="1">
      <alignment horizontal="center" vertical="center"/>
    </xf>
    <xf numFmtId="3" fontId="29" fillId="0" borderId="0" xfId="41" applyNumberFormat="1" applyFont="1" applyBorder="1"/>
    <xf numFmtId="0" fontId="30" fillId="0" borderId="0" xfId="41" applyFont="1"/>
    <xf numFmtId="3" fontId="30" fillId="0" borderId="0" xfId="41" applyNumberFormat="1" applyFont="1"/>
    <xf numFmtId="3" fontId="46" fillId="0" borderId="0" xfId="41" applyNumberFormat="1" applyFont="1"/>
    <xf numFmtId="0" fontId="47" fillId="0" borderId="0" xfId="41" applyFont="1"/>
    <xf numFmtId="0" fontId="29" fillId="0" borderId="0" xfId="41" applyFont="1" applyBorder="1" applyAlignment="1">
      <alignment horizontal="center" vertical="center" wrapText="1"/>
    </xf>
    <xf numFmtId="3" fontId="29" fillId="0" borderId="0" xfId="41" applyNumberFormat="1" applyFont="1" applyAlignment="1">
      <alignment horizontal="center" vertical="center"/>
    </xf>
    <xf numFmtId="3" fontId="49" fillId="0" borderId="0" xfId="41" applyNumberFormat="1" applyFont="1" applyAlignment="1">
      <alignment horizontal="center" vertical="center"/>
    </xf>
    <xf numFmtId="0" fontId="29" fillId="0" borderId="0" xfId="41" applyFont="1" applyAlignment="1">
      <alignment horizontal="center" vertical="center"/>
    </xf>
    <xf numFmtId="0" fontId="27" fillId="0" borderId="0" xfId="41" applyFont="1" applyFill="1" applyBorder="1" applyAlignment="1">
      <alignment vertical="center"/>
    </xf>
    <xf numFmtId="0" fontId="28" fillId="0" borderId="0" xfId="41" applyFont="1" applyFill="1" applyBorder="1" applyAlignment="1">
      <alignment horizontal="center" vertical="center" wrapText="1"/>
    </xf>
    <xf numFmtId="3" fontId="27" fillId="0" borderId="0" xfId="41" applyNumberFormat="1" applyFont="1" applyBorder="1"/>
    <xf numFmtId="0" fontId="28" fillId="0" borderId="0" xfId="41" applyFont="1" applyBorder="1" applyAlignment="1">
      <alignment horizontal="left"/>
    </xf>
    <xf numFmtId="0" fontId="27" fillId="0" borderId="0" xfId="41" applyFont="1" applyBorder="1" applyAlignment="1">
      <alignment horizontal="right"/>
    </xf>
    <xf numFmtId="49" fontId="27" fillId="0" borderId="0" xfId="41" applyNumberFormat="1" applyFont="1" applyBorder="1" applyAlignment="1">
      <alignment horizontal="right" vertical="center"/>
    </xf>
    <xf numFmtId="3" fontId="27" fillId="0" borderId="0" xfId="41" applyNumberFormat="1" applyFont="1" applyFill="1" applyBorder="1"/>
    <xf numFmtId="0" fontId="27" fillId="0" borderId="35" xfId="41" applyFont="1" applyBorder="1" applyAlignment="1">
      <alignment horizontal="center" vertical="center"/>
    </xf>
    <xf numFmtId="0" fontId="29" fillId="0" borderId="35" xfId="41" applyFont="1" applyBorder="1" applyAlignment="1">
      <alignment horizontal="right"/>
    </xf>
    <xf numFmtId="0" fontId="29" fillId="0" borderId="35" xfId="41" applyFont="1" applyBorder="1" applyAlignment="1">
      <alignment horizontal="center" vertical="center"/>
    </xf>
    <xf numFmtId="3" fontId="29" fillId="0" borderId="35" xfId="41" applyNumberFormat="1" applyFont="1" applyBorder="1"/>
    <xf numFmtId="0" fontId="27" fillId="0" borderId="0" xfId="41" applyFont="1" applyBorder="1" applyAlignment="1">
      <alignment horizontal="center" vertical="center" wrapText="1"/>
    </xf>
    <xf numFmtId="0" fontId="27" fillId="0" borderId="0" xfId="41" applyFont="1" applyBorder="1" applyAlignment="1">
      <alignment horizontal="left" vertical="center"/>
    </xf>
    <xf numFmtId="0" fontId="28" fillId="0" borderId="0" xfId="41" applyFont="1" applyBorder="1" applyAlignment="1">
      <alignment horizontal="center" vertical="center" wrapText="1"/>
    </xf>
    <xf numFmtId="0" fontId="26" fillId="0" borderId="0" xfId="41" applyFont="1" applyBorder="1" applyAlignment="1">
      <alignment horizontal="center" vertical="center"/>
    </xf>
    <xf numFmtId="3" fontId="48" fillId="0" borderId="0" xfId="41" applyNumberFormat="1" applyFont="1" applyBorder="1"/>
    <xf numFmtId="3" fontId="50" fillId="0" borderId="0" xfId="41" applyNumberFormat="1" applyFont="1"/>
    <xf numFmtId="0" fontId="26" fillId="0" borderId="0" xfId="41" applyFont="1"/>
    <xf numFmtId="0" fontId="30" fillId="0" borderId="0" xfId="41" applyFont="1" applyBorder="1" applyAlignment="1">
      <alignment horizontal="right"/>
    </xf>
    <xf numFmtId="3" fontId="30" fillId="0" borderId="0" xfId="41" applyNumberFormat="1" applyFont="1" applyBorder="1"/>
    <xf numFmtId="0" fontId="27" fillId="0" borderId="0" xfId="41" applyFont="1" applyBorder="1"/>
    <xf numFmtId="3" fontId="30" fillId="0" borderId="0" xfId="41" applyNumberFormat="1" applyFont="1" applyBorder="1" applyAlignment="1">
      <alignment horizontal="center"/>
    </xf>
    <xf numFmtId="0" fontId="27" fillId="0" borderId="0" xfId="41" applyFont="1" applyFill="1" applyBorder="1" applyAlignment="1">
      <alignment horizontal="center" vertical="center"/>
    </xf>
    <xf numFmtId="3" fontId="27" fillId="0" borderId="0" xfId="41" applyNumberFormat="1" applyFont="1" applyFill="1"/>
    <xf numFmtId="0" fontId="28" fillId="0" borderId="0" xfId="41" applyFont="1" applyFill="1" applyBorder="1" applyAlignment="1">
      <alignment horizontal="left"/>
    </xf>
    <xf numFmtId="0" fontId="27" fillId="0" borderId="0" xfId="41" applyFont="1" applyFill="1" applyBorder="1" applyAlignment="1">
      <alignment horizontal="right"/>
    </xf>
    <xf numFmtId="49" fontId="27" fillId="0" borderId="0" xfId="41" applyNumberFormat="1" applyFont="1" applyFill="1" applyBorder="1" applyAlignment="1">
      <alignment horizontal="right" vertical="center"/>
    </xf>
    <xf numFmtId="0" fontId="27" fillId="0" borderId="0" xfId="41" applyFont="1" applyFill="1"/>
    <xf numFmtId="0" fontId="27" fillId="0" borderId="0" xfId="41" applyFont="1" applyFill="1" applyBorder="1" applyAlignment="1">
      <alignment horizontal="right" vertical="center"/>
    </xf>
    <xf numFmtId="0" fontId="28" fillId="0" borderId="35" xfId="41" applyFont="1" applyFill="1" applyBorder="1" applyAlignment="1">
      <alignment horizontal="center" vertical="center"/>
    </xf>
    <xf numFmtId="0" fontId="29" fillId="0" borderId="35" xfId="41" applyFont="1" applyFill="1" applyBorder="1" applyAlignment="1">
      <alignment horizontal="right"/>
    </xf>
    <xf numFmtId="0" fontId="29" fillId="0" borderId="35" xfId="41" applyFont="1" applyFill="1" applyBorder="1" applyAlignment="1">
      <alignment horizontal="center" vertical="center"/>
    </xf>
    <xf numFmtId="3" fontId="29" fillId="0" borderId="35" xfId="41" applyNumberFormat="1" applyFont="1" applyFill="1" applyBorder="1"/>
    <xf numFmtId="3" fontId="47" fillId="0" borderId="0" xfId="41" applyNumberFormat="1" applyFont="1"/>
    <xf numFmtId="0" fontId="27" fillId="0" borderId="0" xfId="41" applyFont="1" applyBorder="1" applyAlignment="1"/>
    <xf numFmtId="0" fontId="42" fillId="0" borderId="0" xfId="0" applyFont="1" applyFill="1"/>
    <xf numFmtId="3" fontId="38" fillId="0" borderId="33" xfId="43" applyNumberFormat="1" applyFont="1" applyFill="1" applyBorder="1"/>
    <xf numFmtId="3" fontId="36" fillId="0" borderId="33" xfId="43" applyNumberFormat="1" applyFont="1" applyFill="1" applyBorder="1"/>
    <xf numFmtId="0" fontId="38" fillId="0" borderId="36" xfId="43" applyFont="1" applyFill="1" applyBorder="1"/>
    <xf numFmtId="0" fontId="36" fillId="0" borderId="33" xfId="43" applyFont="1" applyFill="1" applyBorder="1"/>
    <xf numFmtId="0" fontId="38" fillId="0" borderId="33" xfId="43" applyFont="1" applyFill="1" applyBorder="1"/>
    <xf numFmtId="0" fontId="37" fillId="0" borderId="33" xfId="43" applyFont="1" applyFill="1" applyBorder="1"/>
    <xf numFmtId="0" fontId="38" fillId="0" borderId="33" xfId="43" applyFont="1" applyFill="1" applyBorder="1" applyAlignment="1">
      <alignment wrapText="1"/>
    </xf>
    <xf numFmtId="0" fontId="37" fillId="0" borderId="33" xfId="43" applyFont="1" applyFill="1" applyBorder="1" applyAlignment="1">
      <alignment wrapText="1"/>
    </xf>
    <xf numFmtId="0" fontId="39" fillId="0" borderId="33" xfId="43" applyFont="1" applyFill="1" applyBorder="1" applyAlignment="1">
      <alignment wrapText="1"/>
    </xf>
    <xf numFmtId="3" fontId="38" fillId="0" borderId="34" xfId="43" applyNumberFormat="1" applyFont="1" applyFill="1" applyBorder="1"/>
    <xf numFmtId="0" fontId="39" fillId="0" borderId="33" xfId="43" applyFont="1" applyFill="1" applyBorder="1"/>
    <xf numFmtId="0" fontId="40" fillId="0" borderId="33" xfId="43" applyFont="1" applyFill="1" applyBorder="1" applyAlignment="1"/>
    <xf numFmtId="0" fontId="37" fillId="0" borderId="26" xfId="43" applyFont="1" applyFill="1" applyBorder="1"/>
    <xf numFmtId="0" fontId="37" fillId="0" borderId="10" xfId="43" applyFont="1" applyFill="1" applyBorder="1" applyAlignment="1">
      <alignment wrapText="1"/>
    </xf>
    <xf numFmtId="0" fontId="36" fillId="0" borderId="10" xfId="43" applyFont="1" applyFill="1" applyBorder="1" applyAlignment="1">
      <alignment wrapText="1"/>
    </xf>
    <xf numFmtId="0" fontId="39" fillId="0" borderId="10" xfId="43" applyFont="1" applyFill="1" applyBorder="1" applyAlignment="1">
      <alignment wrapText="1"/>
    </xf>
    <xf numFmtId="0" fontId="38" fillId="0" borderId="10" xfId="43" applyFont="1" applyFill="1" applyBorder="1" applyAlignment="1">
      <alignment wrapText="1"/>
    </xf>
    <xf numFmtId="0" fontId="39" fillId="0" borderId="10" xfId="43" applyFont="1" applyFill="1" applyBorder="1"/>
    <xf numFmtId="0" fontId="40" fillId="0" borderId="10" xfId="43" applyFont="1" applyFill="1" applyBorder="1" applyAlignment="1"/>
    <xf numFmtId="3" fontId="36" fillId="0" borderId="33" xfId="43" applyNumberFormat="1" applyFont="1" applyFill="1" applyBorder="1" applyAlignment="1">
      <alignment wrapText="1"/>
    </xf>
    <xf numFmtId="3" fontId="38" fillId="0" borderId="37" xfId="43" applyNumberFormat="1" applyFont="1" applyFill="1" applyBorder="1"/>
    <xf numFmtId="0" fontId="38" fillId="0" borderId="38" xfId="43" applyFont="1" applyFill="1" applyBorder="1"/>
    <xf numFmtId="0" fontId="38" fillId="0" borderId="39" xfId="43" applyFont="1" applyFill="1" applyBorder="1"/>
    <xf numFmtId="3" fontId="37" fillId="0" borderId="33" xfId="43" applyNumberFormat="1" applyFont="1" applyFill="1" applyBorder="1" applyAlignment="1">
      <alignment wrapText="1"/>
    </xf>
    <xf numFmtId="3" fontId="37" fillId="0" borderId="10" xfId="43" applyNumberFormat="1" applyFont="1" applyFill="1" applyBorder="1" applyAlignment="1">
      <alignment wrapText="1"/>
    </xf>
    <xf numFmtId="3" fontId="36" fillId="0" borderId="40" xfId="43" applyNumberFormat="1" applyFont="1" applyFill="1" applyBorder="1" applyAlignment="1">
      <alignment horizontal="center" wrapText="1"/>
    </xf>
    <xf numFmtId="0" fontId="36" fillId="0" borderId="40" xfId="43" applyFont="1" applyFill="1" applyBorder="1" applyAlignment="1">
      <alignment horizontal="center" wrapText="1"/>
    </xf>
    <xf numFmtId="3" fontId="39" fillId="0" borderId="33" xfId="43" applyNumberFormat="1" applyFont="1" applyFill="1" applyBorder="1" applyAlignment="1">
      <alignment wrapText="1"/>
    </xf>
    <xf numFmtId="3" fontId="38" fillId="0" borderId="33" xfId="43" applyNumberFormat="1" applyFont="1" applyFill="1" applyBorder="1" applyAlignment="1">
      <alignment wrapText="1"/>
    </xf>
    <xf numFmtId="3" fontId="39" fillId="0" borderId="10" xfId="43" applyNumberFormat="1" applyFont="1" applyFill="1" applyBorder="1" applyAlignment="1">
      <alignment wrapText="1"/>
    </xf>
    <xf numFmtId="3" fontId="38" fillId="0" borderId="10" xfId="43" applyNumberFormat="1" applyFont="1" applyFill="1" applyBorder="1" applyAlignment="1">
      <alignment wrapText="1"/>
    </xf>
    <xf numFmtId="3" fontId="36" fillId="0" borderId="33" xfId="43" applyNumberFormat="1" applyFont="1" applyFill="1" applyBorder="1" applyAlignment="1">
      <alignment vertical="top" wrapText="1"/>
    </xf>
    <xf numFmtId="3" fontId="36" fillId="0" borderId="10" xfId="43" applyNumberFormat="1" applyFont="1" applyFill="1" applyBorder="1" applyAlignment="1">
      <alignment vertical="top" wrapText="1"/>
    </xf>
    <xf numFmtId="3" fontId="38" fillId="0" borderId="10" xfId="0" applyNumberFormat="1" applyFont="1" applyFill="1" applyBorder="1" applyAlignment="1"/>
    <xf numFmtId="3" fontId="38" fillId="0" borderId="41" xfId="43" applyNumberFormat="1" applyFont="1" applyFill="1" applyBorder="1"/>
    <xf numFmtId="0" fontId="36" fillId="0" borderId="42" xfId="43" applyFont="1" applyFill="1" applyBorder="1" applyAlignment="1">
      <alignment horizontal="right"/>
    </xf>
    <xf numFmtId="0" fontId="38" fillId="0" borderId="43" xfId="43" applyFont="1" applyFill="1" applyBorder="1"/>
    <xf numFmtId="0" fontId="36" fillId="0" borderId="37" xfId="43" applyFont="1" applyFill="1" applyBorder="1"/>
    <xf numFmtId="0" fontId="38" fillId="0" borderId="37" xfId="43" applyFont="1" applyFill="1" applyBorder="1"/>
    <xf numFmtId="0" fontId="37" fillId="0" borderId="37" xfId="43" applyFont="1" applyFill="1" applyBorder="1"/>
    <xf numFmtId="3" fontId="36" fillId="0" borderId="37" xfId="43" applyNumberFormat="1" applyFont="1" applyFill="1" applyBorder="1"/>
    <xf numFmtId="3" fontId="37" fillId="0" borderId="37" xfId="43" applyNumberFormat="1" applyFont="1" applyFill="1" applyBorder="1"/>
    <xf numFmtId="0" fontId="38" fillId="0" borderId="37" xfId="43" applyFont="1" applyFill="1" applyBorder="1" applyAlignment="1">
      <alignment wrapText="1"/>
    </xf>
    <xf numFmtId="0" fontId="36" fillId="0" borderId="37" xfId="43" applyFont="1" applyFill="1" applyBorder="1" applyAlignment="1">
      <alignment wrapText="1"/>
    </xf>
    <xf numFmtId="0" fontId="37" fillId="0" borderId="37" xfId="43" applyFont="1" applyFill="1" applyBorder="1" applyAlignment="1">
      <alignment wrapText="1"/>
    </xf>
    <xf numFmtId="0" fontId="39" fillId="0" borderId="37" xfId="43" applyFont="1" applyFill="1" applyBorder="1" applyAlignment="1">
      <alignment wrapText="1"/>
    </xf>
    <xf numFmtId="3" fontId="39" fillId="0" borderId="37" xfId="43" applyNumberFormat="1" applyFont="1" applyFill="1" applyBorder="1" applyAlignment="1">
      <alignment wrapText="1"/>
    </xf>
    <xf numFmtId="3" fontId="36" fillId="0" borderId="37" xfId="43" applyNumberFormat="1" applyFont="1" applyFill="1" applyBorder="1" applyAlignment="1">
      <alignment wrapText="1"/>
    </xf>
    <xf numFmtId="3" fontId="37" fillId="0" borderId="37" xfId="43" applyNumberFormat="1" applyFont="1" applyFill="1" applyBorder="1" applyAlignment="1">
      <alignment wrapText="1"/>
    </xf>
    <xf numFmtId="3" fontId="38" fillId="0" borderId="37" xfId="43" applyNumberFormat="1" applyFont="1" applyFill="1" applyBorder="1" applyAlignment="1">
      <alignment wrapText="1"/>
    </xf>
    <xf numFmtId="3" fontId="38" fillId="0" borderId="33" xfId="0" applyNumberFormat="1" applyFont="1" applyFill="1" applyBorder="1" applyAlignment="1"/>
    <xf numFmtId="3" fontId="38" fillId="0" borderId="37" xfId="0" applyNumberFormat="1" applyFont="1" applyFill="1" applyBorder="1" applyAlignment="1"/>
    <xf numFmtId="3" fontId="36" fillId="0" borderId="37" xfId="43" applyNumberFormat="1" applyFont="1" applyFill="1" applyBorder="1" applyAlignment="1">
      <alignment vertical="top" wrapText="1"/>
    </xf>
    <xf numFmtId="3" fontId="38" fillId="0" borderId="44" xfId="43" applyNumberFormat="1" applyFont="1" applyFill="1" applyBorder="1"/>
    <xf numFmtId="0" fontId="30" fillId="0" borderId="0" xfId="41" applyFont="1" applyFill="1" applyBorder="1" applyAlignment="1">
      <alignment horizontal="center"/>
    </xf>
    <xf numFmtId="0" fontId="30" fillId="0" borderId="0" xfId="41" applyFont="1" applyFill="1" applyBorder="1" applyAlignment="1">
      <alignment horizontal="center" vertical="center"/>
    </xf>
    <xf numFmtId="0" fontId="29" fillId="0" borderId="0" xfId="41" applyFont="1" applyFill="1" applyBorder="1" applyAlignment="1">
      <alignment horizontal="right" vertical="center"/>
    </xf>
    <xf numFmtId="0" fontId="29" fillId="0" borderId="0" xfId="41" applyFont="1" applyFill="1" applyBorder="1" applyAlignment="1">
      <alignment horizontal="center" vertical="center" wrapText="1"/>
    </xf>
    <xf numFmtId="0" fontId="29" fillId="0" borderId="0" xfId="41" applyFont="1" applyFill="1" applyBorder="1" applyAlignment="1">
      <alignment horizontal="center" vertical="center"/>
    </xf>
    <xf numFmtId="3" fontId="29" fillId="0" borderId="0" xfId="41" applyNumberFormat="1" applyFont="1" applyFill="1" applyAlignment="1">
      <alignment horizontal="center" vertical="center"/>
    </xf>
    <xf numFmtId="0" fontId="27" fillId="0" borderId="35" xfId="41" applyFont="1" applyFill="1" applyBorder="1" applyAlignment="1">
      <alignment horizontal="center" vertical="center"/>
    </xf>
    <xf numFmtId="0" fontId="27" fillId="0" borderId="0" xfId="41" applyFont="1" applyFill="1" applyBorder="1" applyAlignment="1">
      <alignment horizontal="center" vertical="center" wrapText="1"/>
    </xf>
    <xf numFmtId="0" fontId="27" fillId="0" borderId="0" xfId="41" applyFont="1" applyFill="1" applyBorder="1" applyAlignment="1">
      <alignment horizontal="left" vertical="center"/>
    </xf>
    <xf numFmtId="3" fontId="39" fillId="0" borderId="34" xfId="43" applyNumberFormat="1" applyFont="1" applyFill="1" applyBorder="1" applyAlignment="1">
      <alignment wrapText="1"/>
    </xf>
    <xf numFmtId="0" fontId="21" fillId="0" borderId="10" xfId="45" applyFont="1" applyFill="1" applyBorder="1" applyAlignment="1">
      <alignment horizontal="center" vertical="center" wrapText="1"/>
    </xf>
    <xf numFmtId="0" fontId="21" fillId="0" borderId="10" xfId="45" applyFont="1" applyFill="1" applyBorder="1"/>
    <xf numFmtId="0" fontId="21" fillId="0" borderId="10" xfId="45" applyFont="1" applyFill="1" applyBorder="1" applyAlignment="1">
      <alignment horizontal="right"/>
    </xf>
    <xf numFmtId="0" fontId="20" fillId="0" borderId="10" xfId="45" applyFont="1" applyFill="1" applyBorder="1"/>
    <xf numFmtId="2" fontId="20" fillId="0" borderId="10" xfId="45" applyNumberFormat="1" applyFont="1" applyFill="1" applyBorder="1"/>
    <xf numFmtId="0" fontId="26" fillId="0" borderId="0" xfId="0" applyFont="1" applyFill="1"/>
    <xf numFmtId="0" fontId="0" fillId="0" borderId="0" xfId="0" applyAlignment="1"/>
    <xf numFmtId="0" fontId="26" fillId="0" borderId="0" xfId="0" applyFont="1" applyAlignment="1">
      <alignment horizontal="right"/>
    </xf>
    <xf numFmtId="3" fontId="26" fillId="0" borderId="0" xfId="0" applyNumberFormat="1" applyFont="1" applyAlignment="1">
      <alignment horizontal="right"/>
    </xf>
    <xf numFmtId="0" fontId="48" fillId="0" borderId="0" xfId="0" applyFont="1"/>
    <xf numFmtId="0" fontId="26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3" fontId="48" fillId="0" borderId="0" xfId="0" applyNumberFormat="1" applyFont="1"/>
    <xf numFmtId="0" fontId="26" fillId="0" borderId="0" xfId="0" quotePrefix="1" applyFont="1"/>
    <xf numFmtId="3" fontId="0" fillId="0" borderId="0" xfId="0" applyNumberFormat="1"/>
    <xf numFmtId="0" fontId="51" fillId="0" borderId="0" xfId="46"/>
    <xf numFmtId="3" fontId="51" fillId="0" borderId="0" xfId="46" applyNumberFormat="1" applyFont="1"/>
    <xf numFmtId="0" fontId="52" fillId="0" borderId="0" xfId="46" applyFont="1" applyAlignment="1">
      <alignment horizontal="center"/>
    </xf>
    <xf numFmtId="0" fontId="52" fillId="0" borderId="0" xfId="46" applyFont="1" applyAlignment="1">
      <alignment horizontal="right"/>
    </xf>
    <xf numFmtId="3" fontId="51" fillId="0" borderId="0" xfId="46" applyNumberFormat="1"/>
    <xf numFmtId="0" fontId="51" fillId="0" borderId="10" xfId="46" applyBorder="1"/>
    <xf numFmtId="3" fontId="51" fillId="0" borderId="10" xfId="46" applyNumberFormat="1" applyBorder="1" applyAlignment="1">
      <alignment horizontal="center"/>
    </xf>
    <xf numFmtId="0" fontId="51" fillId="0" borderId="10" xfId="46" applyBorder="1" applyAlignment="1">
      <alignment horizontal="right"/>
    </xf>
    <xf numFmtId="0" fontId="52" fillId="0" borderId="10" xfId="46" applyFont="1" applyBorder="1"/>
    <xf numFmtId="3" fontId="51" fillId="0" borderId="10" xfId="46" applyNumberFormat="1" applyBorder="1"/>
    <xf numFmtId="0" fontId="51" fillId="0" borderId="10" xfId="46" applyFill="1" applyBorder="1"/>
    <xf numFmtId="0" fontId="53" fillId="0" borderId="10" xfId="46" applyFont="1" applyFill="1" applyBorder="1"/>
    <xf numFmtId="3" fontId="51" fillId="0" borderId="10" xfId="46" applyNumberFormat="1" applyFill="1" applyBorder="1"/>
    <xf numFmtId="3" fontId="53" fillId="0" borderId="10" xfId="46" applyNumberFormat="1" applyFont="1" applyFill="1" applyBorder="1"/>
    <xf numFmtId="0" fontId="51" fillId="0" borderId="10" xfId="46" applyFont="1" applyFill="1" applyBorder="1" applyAlignment="1">
      <alignment wrapText="1"/>
    </xf>
    <xf numFmtId="0" fontId="51" fillId="0" borderId="10" xfId="46" applyFont="1" applyFill="1" applyBorder="1"/>
    <xf numFmtId="3" fontId="51" fillId="0" borderId="10" xfId="46" applyNumberFormat="1" applyFont="1" applyFill="1" applyBorder="1"/>
    <xf numFmtId="0" fontId="51" fillId="0" borderId="0" xfId="46" applyFont="1"/>
    <xf numFmtId="0" fontId="52" fillId="0" borderId="10" xfId="46" applyFont="1" applyFill="1" applyBorder="1"/>
    <xf numFmtId="3" fontId="52" fillId="0" borderId="10" xfId="46" applyNumberFormat="1" applyFont="1" applyFill="1" applyBorder="1"/>
    <xf numFmtId="0" fontId="52" fillId="0" borderId="0" xfId="46" applyFont="1" applyFill="1" applyBorder="1"/>
    <xf numFmtId="3" fontId="52" fillId="0" borderId="0" xfId="46" applyNumberFormat="1" applyFont="1" applyFill="1" applyBorder="1"/>
    <xf numFmtId="164" fontId="51" fillId="0" borderId="10" xfId="54" applyNumberFormat="1" applyFont="1" applyFill="1" applyBorder="1"/>
    <xf numFmtId="165" fontId="51" fillId="0" borderId="10" xfId="54" applyNumberFormat="1" applyFont="1" applyFill="1" applyBorder="1"/>
    <xf numFmtId="164" fontId="51" fillId="0" borderId="0" xfId="46" applyNumberFormat="1"/>
    <xf numFmtId="3" fontId="54" fillId="0" borderId="0" xfId="39" applyNumberFormat="1" applyFont="1" applyBorder="1"/>
    <xf numFmtId="3" fontId="55" fillId="0" borderId="0" xfId="40" applyNumberFormat="1" applyFont="1" applyAlignment="1">
      <alignment horizontal="right"/>
    </xf>
    <xf numFmtId="0" fontId="2" fillId="0" borderId="0" xfId="40"/>
    <xf numFmtId="3" fontId="36" fillId="0" borderId="0" xfId="40" applyNumberFormat="1" applyFont="1"/>
    <xf numFmtId="0" fontId="56" fillId="0" borderId="0" xfId="40" applyFont="1"/>
    <xf numFmtId="3" fontId="56" fillId="0" borderId="0" xfId="40" applyNumberFormat="1" applyFont="1"/>
    <xf numFmtId="0" fontId="55" fillId="0" borderId="0" xfId="40" applyFont="1" applyAlignment="1">
      <alignment horizontal="left"/>
    </xf>
    <xf numFmtId="3" fontId="55" fillId="0" borderId="10" xfId="40" applyNumberFormat="1" applyFont="1" applyBorder="1" applyAlignment="1">
      <alignment horizontal="right"/>
    </xf>
    <xf numFmtId="3" fontId="38" fillId="0" borderId="10" xfId="40" applyNumberFormat="1" applyFont="1" applyBorder="1" applyAlignment="1">
      <alignment horizontal="right"/>
    </xf>
    <xf numFmtId="0" fontId="56" fillId="0" borderId="0" xfId="40" applyFont="1" applyBorder="1"/>
    <xf numFmtId="3" fontId="56" fillId="0" borderId="10" xfId="40" applyNumberFormat="1" applyFont="1" applyFill="1" applyBorder="1"/>
    <xf numFmtId="0" fontId="56" fillId="0" borderId="0" xfId="40" applyFont="1" applyBorder="1" applyAlignment="1">
      <alignment wrapText="1"/>
    </xf>
    <xf numFmtId="3" fontId="56" fillId="0" borderId="10" xfId="46" applyNumberFormat="1" applyFont="1" applyFill="1" applyBorder="1"/>
    <xf numFmtId="0" fontId="57" fillId="0" borderId="0" xfId="40" applyFont="1"/>
    <xf numFmtId="0" fontId="58" fillId="0" borderId="0" xfId="40" applyFont="1" applyBorder="1"/>
    <xf numFmtId="3" fontId="58" fillId="0" borderId="10" xfId="40" applyNumberFormat="1" applyFont="1" applyFill="1" applyBorder="1"/>
    <xf numFmtId="0" fontId="55" fillId="0" borderId="0" xfId="40" applyFont="1" applyBorder="1"/>
    <xf numFmtId="3" fontId="55" fillId="0" borderId="10" xfId="40" applyNumberFormat="1" applyFont="1" applyFill="1" applyBorder="1"/>
    <xf numFmtId="0" fontId="55" fillId="0" borderId="0" xfId="40" applyFont="1" applyBorder="1" applyAlignment="1">
      <alignment horizontal="left"/>
    </xf>
    <xf numFmtId="3" fontId="58" fillId="0" borderId="10" xfId="40" applyNumberFormat="1" applyFont="1" applyBorder="1"/>
    <xf numFmtId="0" fontId="55" fillId="0" borderId="0" xfId="40" applyFont="1"/>
    <xf numFmtId="3" fontId="55" fillId="0" borderId="10" xfId="40" applyNumberFormat="1" applyFont="1" applyBorder="1"/>
    <xf numFmtId="3" fontId="56" fillId="0" borderId="0" xfId="40" applyNumberFormat="1" applyFont="1" applyBorder="1"/>
    <xf numFmtId="0" fontId="51" fillId="0" borderId="0" xfId="47" applyFont="1"/>
    <xf numFmtId="0" fontId="51" fillId="0" borderId="0" xfId="47" applyFont="1" applyAlignment="1">
      <alignment wrapText="1"/>
    </xf>
    <xf numFmtId="0" fontId="51" fillId="0" borderId="0" xfId="47" applyFont="1" applyFill="1"/>
    <xf numFmtId="0" fontId="51" fillId="0" borderId="0" xfId="47" applyFont="1" applyAlignment="1"/>
    <xf numFmtId="0" fontId="51" fillId="0" borderId="0" xfId="47" applyFont="1" applyAlignment="1">
      <alignment horizontal="right"/>
    </xf>
    <xf numFmtId="0" fontId="60" fillId="0" borderId="0" xfId="47" applyFont="1" applyAlignment="1">
      <alignment horizontal="center"/>
    </xf>
    <xf numFmtId="0" fontId="60" fillId="0" borderId="0" xfId="47" applyFont="1" applyAlignment="1">
      <alignment wrapText="1"/>
    </xf>
    <xf numFmtId="0" fontId="60" fillId="0" borderId="0" xfId="47" applyFont="1"/>
    <xf numFmtId="0" fontId="60" fillId="0" borderId="0" xfId="47" applyFont="1" applyFill="1"/>
    <xf numFmtId="0" fontId="51" fillId="0" borderId="10" xfId="47" applyFont="1" applyBorder="1" applyAlignment="1">
      <alignment wrapText="1"/>
    </xf>
    <xf numFmtId="0" fontId="60" fillId="0" borderId="10" xfId="47" applyFont="1" applyBorder="1" applyAlignment="1">
      <alignment horizontal="center" wrapText="1"/>
    </xf>
    <xf numFmtId="0" fontId="60" fillId="0" borderId="10" xfId="47" applyFont="1" applyFill="1" applyBorder="1" applyAlignment="1">
      <alignment horizontal="center" wrapText="1"/>
    </xf>
    <xf numFmtId="0" fontId="30" fillId="0" borderId="20" xfId="42" applyFont="1" applyBorder="1" applyAlignment="1">
      <alignment horizontal="center" wrapText="1"/>
    </xf>
    <xf numFmtId="0" fontId="51" fillId="0" borderId="10" xfId="47" applyFont="1" applyFill="1" applyBorder="1" applyAlignment="1">
      <alignment vertical="center"/>
    </xf>
    <xf numFmtId="0" fontId="51" fillId="0" borderId="10" xfId="47" applyFont="1" applyFill="1" applyBorder="1" applyAlignment="1">
      <alignment vertical="center" wrapText="1"/>
    </xf>
    <xf numFmtId="0" fontId="51" fillId="0" borderId="10" xfId="47" applyFont="1" applyFill="1" applyBorder="1" applyAlignment="1">
      <alignment horizontal="center" vertical="center"/>
    </xf>
    <xf numFmtId="3" fontId="51" fillId="0" borderId="10" xfId="47" applyNumberFormat="1" applyFont="1" applyFill="1" applyBorder="1" applyAlignment="1">
      <alignment horizontal="right" vertical="center"/>
    </xf>
    <xf numFmtId="49" fontId="51" fillId="0" borderId="10" xfId="47" applyNumberFormat="1" applyFont="1" applyFill="1" applyBorder="1" applyAlignment="1">
      <alignment horizontal="center" vertical="center"/>
    </xf>
    <xf numFmtId="3" fontId="27" fillId="0" borderId="20" xfId="42" applyNumberFormat="1" applyFont="1" applyFill="1" applyBorder="1" applyAlignment="1">
      <alignment vertical="center"/>
    </xf>
    <xf numFmtId="3" fontId="27" fillId="0" borderId="10" xfId="42" applyNumberFormat="1" applyFont="1" applyFill="1" applyBorder="1" applyAlignment="1">
      <alignment vertical="center"/>
    </xf>
    <xf numFmtId="3" fontId="51" fillId="0" borderId="0" xfId="47" applyNumberFormat="1" applyFont="1"/>
    <xf numFmtId="3" fontId="51" fillId="0" borderId="20" xfId="47" applyNumberFormat="1" applyFont="1" applyFill="1" applyBorder="1" applyAlignment="1">
      <alignment horizontal="right" vertical="center"/>
    </xf>
    <xf numFmtId="3" fontId="51" fillId="0" borderId="10" xfId="47" applyNumberFormat="1" applyFont="1" applyFill="1" applyBorder="1" applyAlignment="1">
      <alignment vertical="center"/>
    </xf>
    <xf numFmtId="0" fontId="51" fillId="0" borderId="0" xfId="47" applyFont="1" applyBorder="1"/>
    <xf numFmtId="3" fontId="51" fillId="0" borderId="0" xfId="47" applyNumberFormat="1" applyFont="1" applyFill="1" applyBorder="1"/>
    <xf numFmtId="0" fontId="27" fillId="0" borderId="0" xfId="42" applyFont="1"/>
    <xf numFmtId="3" fontId="51" fillId="0" borderId="10" xfId="47" applyNumberFormat="1" applyFont="1" applyFill="1" applyBorder="1" applyAlignment="1">
      <alignment horizontal="center" vertical="center"/>
    </xf>
    <xf numFmtId="0" fontId="36" fillId="0" borderId="21" xfId="43" applyFont="1" applyFill="1" applyBorder="1" applyAlignment="1"/>
    <xf numFmtId="3" fontId="38" fillId="0" borderId="37" xfId="43" applyNumberFormat="1" applyFont="1" applyFill="1" applyBorder="1" applyAlignment="1">
      <alignment horizontal="right"/>
    </xf>
    <xf numFmtId="0" fontId="39" fillId="0" borderId="37" xfId="43" applyFont="1" applyFill="1" applyBorder="1"/>
    <xf numFmtId="3" fontId="39" fillId="0" borderId="37" xfId="43" applyNumberFormat="1" applyFont="1" applyFill="1" applyBorder="1"/>
    <xf numFmtId="3" fontId="39" fillId="0" borderId="20" xfId="43" applyNumberFormat="1" applyFont="1" applyFill="1" applyBorder="1"/>
    <xf numFmtId="3" fontId="38" fillId="0" borderId="25" xfId="43" applyNumberFormat="1" applyFont="1" applyFill="1" applyBorder="1"/>
    <xf numFmtId="0" fontId="52" fillId="0" borderId="0" xfId="0" applyFont="1" applyAlignment="1">
      <alignment horizontal="center"/>
    </xf>
    <xf numFmtId="0" fontId="53" fillId="0" borderId="10" xfId="46" applyFont="1" applyFill="1" applyBorder="1" applyAlignment="1">
      <alignment wrapText="1"/>
    </xf>
    <xf numFmtId="3" fontId="51" fillId="0" borderId="0" xfId="46" applyNumberFormat="1" applyFill="1"/>
    <xf numFmtId="0" fontId="53" fillId="0" borderId="0" xfId="0" applyFont="1"/>
    <xf numFmtId="0" fontId="53" fillId="0" borderId="0" xfId="0" applyFont="1" applyAlignment="1">
      <alignment wrapText="1"/>
    </xf>
    <xf numFmtId="3" fontId="53" fillId="0" borderId="0" xfId="0" applyNumberFormat="1" applyFont="1"/>
    <xf numFmtId="0" fontId="52" fillId="0" borderId="0" xfId="0" applyFont="1" applyAlignment="1">
      <alignment horizontal="center" wrapText="1"/>
    </xf>
    <xf numFmtId="3" fontId="53" fillId="0" borderId="0" xfId="0" applyNumberFormat="1" applyFont="1" applyAlignment="1">
      <alignment horizontal="right"/>
    </xf>
    <xf numFmtId="0" fontId="52" fillId="0" borderId="0" xfId="0" applyFont="1"/>
    <xf numFmtId="0" fontId="53" fillId="0" borderId="0" xfId="0" applyFont="1" applyAlignment="1">
      <alignment horizontal="right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3" fontId="52" fillId="0" borderId="0" xfId="0" applyNumberFormat="1" applyFont="1" applyAlignment="1">
      <alignment horizontal="center" vertical="center"/>
    </xf>
    <xf numFmtId="3" fontId="52" fillId="0" borderId="0" xfId="0" applyNumberFormat="1" applyFont="1" applyAlignment="1">
      <alignment horizontal="right" vertical="center"/>
    </xf>
    <xf numFmtId="0" fontId="53" fillId="0" borderId="0" xfId="0" applyFont="1" applyFill="1" applyAlignment="1">
      <alignment horizontal="center"/>
    </xf>
    <xf numFmtId="0" fontId="53" fillId="0" borderId="0" xfId="0" applyFont="1" applyFill="1" applyAlignment="1">
      <alignment wrapText="1"/>
    </xf>
    <xf numFmtId="3" fontId="53" fillId="0" borderId="0" xfId="0" applyNumberFormat="1" applyFont="1" applyFill="1"/>
    <xf numFmtId="0" fontId="53" fillId="0" borderId="0" xfId="0" applyFont="1" applyFill="1"/>
    <xf numFmtId="3" fontId="52" fillId="0" borderId="0" xfId="0" applyNumberFormat="1" applyFont="1" applyFill="1"/>
    <xf numFmtId="0" fontId="27" fillId="0" borderId="0" xfId="0" applyFont="1" applyFill="1" applyBorder="1" applyAlignment="1">
      <alignment wrapText="1"/>
    </xf>
    <xf numFmtId="0" fontId="52" fillId="0" borderId="0" xfId="0" applyFont="1" applyFill="1" applyAlignment="1">
      <alignment horizontal="right" wrapText="1"/>
    </xf>
    <xf numFmtId="0" fontId="52" fillId="0" borderId="0" xfId="0" applyFont="1" applyFill="1"/>
    <xf numFmtId="0" fontId="53" fillId="0" borderId="0" xfId="0" applyFont="1" applyFill="1" applyAlignment="1">
      <alignment horizontal="right"/>
    </xf>
    <xf numFmtId="0" fontId="52" fillId="0" borderId="0" xfId="0" applyFont="1" applyFill="1" applyAlignment="1">
      <alignment horizontal="center" vertical="center"/>
    </xf>
    <xf numFmtId="0" fontId="52" fillId="0" borderId="0" xfId="0" applyFont="1" applyFill="1" applyAlignment="1">
      <alignment horizontal="center" vertical="center" wrapText="1"/>
    </xf>
    <xf numFmtId="3" fontId="52" fillId="0" borderId="0" xfId="0" applyNumberFormat="1" applyFont="1" applyFill="1" applyAlignment="1">
      <alignment horizontal="center" vertical="center"/>
    </xf>
    <xf numFmtId="3" fontId="52" fillId="0" borderId="0" xfId="0" applyNumberFormat="1" applyFont="1" applyFill="1" applyAlignment="1">
      <alignment horizontal="right" vertical="center"/>
    </xf>
    <xf numFmtId="3" fontId="60" fillId="0" borderId="0" xfId="0" applyNumberFormat="1" applyFont="1" applyFill="1"/>
    <xf numFmtId="3" fontId="53" fillId="0" borderId="0" xfId="0" applyNumberFormat="1" applyFont="1" applyFill="1" applyAlignment="1">
      <alignment wrapText="1"/>
    </xf>
    <xf numFmtId="0" fontId="53" fillId="0" borderId="0" xfId="49" applyFont="1"/>
    <xf numFmtId="0" fontId="4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8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left"/>
    </xf>
    <xf numFmtId="0" fontId="26" fillId="0" borderId="42" xfId="0" applyFont="1" applyBorder="1" applyAlignment="1">
      <alignment wrapText="1"/>
    </xf>
    <xf numFmtId="0" fontId="26" fillId="0" borderId="13" xfId="0" applyFont="1" applyBorder="1" applyAlignment="1">
      <alignment wrapText="1"/>
    </xf>
    <xf numFmtId="0" fontId="26" fillId="0" borderId="10" xfId="0" applyFont="1" applyBorder="1" applyAlignment="1">
      <alignment horizontal="left" wrapText="1"/>
    </xf>
    <xf numFmtId="0" fontId="26" fillId="0" borderId="42" xfId="0" applyFont="1" applyBorder="1" applyAlignment="1"/>
    <xf numFmtId="0" fontId="26" fillId="0" borderId="10" xfId="0" applyFont="1" applyBorder="1"/>
    <xf numFmtId="0" fontId="26" fillId="0" borderId="0" xfId="0" applyFont="1" applyBorder="1" applyAlignment="1"/>
    <xf numFmtId="0" fontId="26" fillId="0" borderId="0" xfId="0" applyFont="1" applyBorder="1"/>
    <xf numFmtId="0" fontId="26" fillId="0" borderId="0" xfId="0" applyFont="1" applyBorder="1" applyAlignment="1">
      <alignment horizontal="left"/>
    </xf>
    <xf numFmtId="3" fontId="26" fillId="0" borderId="0" xfId="0" applyNumberFormat="1" applyFont="1" applyBorder="1" applyAlignment="1"/>
    <xf numFmtId="0" fontId="61" fillId="0" borderId="0" xfId="0" applyFont="1"/>
    <xf numFmtId="3" fontId="27" fillId="0" borderId="0" xfId="47" applyNumberFormat="1" applyFont="1" applyAlignment="1">
      <alignment horizontal="right"/>
    </xf>
    <xf numFmtId="3" fontId="27" fillId="0" borderId="0" xfId="47" applyNumberFormat="1" applyFont="1"/>
    <xf numFmtId="0" fontId="30" fillId="0" borderId="30" xfId="47" applyFont="1" applyBorder="1" applyAlignment="1">
      <alignment horizontal="center"/>
    </xf>
    <xf numFmtId="0" fontId="30" fillId="0" borderId="31" xfId="47" applyFont="1" applyBorder="1" applyAlignment="1">
      <alignment horizontal="center" wrapText="1"/>
    </xf>
    <xf numFmtId="0" fontId="27" fillId="0" borderId="10" xfId="47" applyFont="1" applyBorder="1" applyAlignment="1">
      <alignment horizontal="center"/>
    </xf>
    <xf numFmtId="0" fontId="27" fillId="0" borderId="10" xfId="47" applyFont="1" applyBorder="1" applyAlignment="1">
      <alignment wrapText="1"/>
    </xf>
    <xf numFmtId="49" fontId="27" fillId="0" borderId="10" xfId="47" applyNumberFormat="1" applyFont="1" applyBorder="1" applyAlignment="1">
      <alignment wrapText="1"/>
    </xf>
    <xf numFmtId="14" fontId="27" fillId="0" borderId="10" xfId="47" applyNumberFormat="1" applyFont="1" applyBorder="1" applyAlignment="1">
      <alignment horizontal="center"/>
    </xf>
    <xf numFmtId="41" fontId="27" fillId="0" borderId="45" xfId="47" applyNumberFormat="1" applyFont="1" applyBorder="1" applyAlignment="1">
      <alignment horizontal="right" wrapText="1"/>
    </xf>
    <xf numFmtId="3" fontId="27" fillId="0" borderId="46" xfId="47" applyNumberFormat="1" applyFont="1" applyBorder="1"/>
    <xf numFmtId="14" fontId="27" fillId="0" borderId="47" xfId="47" applyNumberFormat="1" applyFont="1" applyBorder="1" applyAlignment="1">
      <alignment horizontal="center"/>
    </xf>
    <xf numFmtId="41" fontId="27" fillId="0" borderId="10" xfId="47" applyNumberFormat="1" applyFont="1" applyBorder="1" applyAlignment="1">
      <alignment horizontal="right" wrapText="1"/>
    </xf>
    <xf numFmtId="3" fontId="27" fillId="0" borderId="20" xfId="47" applyNumberFormat="1" applyFont="1" applyBorder="1"/>
    <xf numFmtId="3" fontId="27" fillId="0" borderId="10" xfId="47" applyNumberFormat="1" applyFont="1" applyBorder="1"/>
    <xf numFmtId="3" fontId="27" fillId="0" borderId="37" xfId="47" applyNumberFormat="1" applyFont="1" applyBorder="1"/>
    <xf numFmtId="0" fontId="27" fillId="0" borderId="10" xfId="0" applyFont="1" applyBorder="1" applyAlignment="1">
      <alignment wrapText="1"/>
    </xf>
    <xf numFmtId="49" fontId="27" fillId="0" borderId="10" xfId="0" applyNumberFormat="1" applyFont="1" applyBorder="1" applyAlignment="1">
      <alignment wrapText="1"/>
    </xf>
    <xf numFmtId="0" fontId="27" fillId="0" borderId="10" xfId="47" applyFont="1" applyFill="1" applyBorder="1" applyAlignment="1">
      <alignment horizontal="left"/>
    </xf>
    <xf numFmtId="0" fontId="27" fillId="0" borderId="10" xfId="47" applyFont="1" applyFill="1" applyBorder="1" applyAlignment="1">
      <alignment horizontal="left" wrapText="1"/>
    </xf>
    <xf numFmtId="14" fontId="27" fillId="0" borderId="10" xfId="47" applyNumberFormat="1" applyFont="1" applyFill="1" applyBorder="1" applyAlignment="1">
      <alignment horizontal="center"/>
    </xf>
    <xf numFmtId="41" fontId="27" fillId="0" borderId="10" xfId="47" applyNumberFormat="1" applyFont="1" applyFill="1" applyBorder="1" applyAlignment="1">
      <alignment horizontal="right" wrapText="1"/>
    </xf>
    <xf numFmtId="3" fontId="27" fillId="0" borderId="20" xfId="47" applyNumberFormat="1" applyFont="1" applyFill="1" applyBorder="1"/>
    <xf numFmtId="0" fontId="27" fillId="0" borderId="39" xfId="47" applyFont="1" applyBorder="1" applyAlignment="1">
      <alignment wrapText="1"/>
    </xf>
    <xf numFmtId="49" fontId="27" fillId="0" borderId="39" xfId="47" applyNumberFormat="1" applyFont="1" applyBorder="1" applyAlignment="1">
      <alignment wrapText="1"/>
    </xf>
    <xf numFmtId="3" fontId="27" fillId="0" borderId="17" xfId="47" applyNumberFormat="1" applyFont="1" applyBorder="1"/>
    <xf numFmtId="0" fontId="27" fillId="0" borderId="0" xfId="47" applyFont="1" applyBorder="1" applyAlignment="1">
      <alignment wrapText="1"/>
    </xf>
    <xf numFmtId="49" fontId="27" fillId="0" borderId="0" xfId="47" applyNumberFormat="1" applyFont="1" applyBorder="1" applyAlignment="1">
      <alignment wrapText="1"/>
    </xf>
    <xf numFmtId="14" fontId="27" fillId="0" borderId="0" xfId="47" applyNumberFormat="1" applyFont="1" applyBorder="1" applyAlignment="1">
      <alignment horizontal="center"/>
    </xf>
    <xf numFmtId="3" fontId="27" fillId="0" borderId="0" xfId="47" applyNumberFormat="1" applyFont="1" applyBorder="1" applyAlignment="1">
      <alignment horizontal="right"/>
    </xf>
    <xf numFmtId="0" fontId="27" fillId="0" borderId="39" xfId="47" applyFont="1" applyBorder="1" applyAlignment="1">
      <alignment horizontal="center"/>
    </xf>
    <xf numFmtId="0" fontId="27" fillId="0" borderId="0" xfId="47" applyFont="1"/>
    <xf numFmtId="0" fontId="27" fillId="0" borderId="10" xfId="47" applyFont="1" applyFill="1" applyBorder="1" applyAlignment="1">
      <alignment wrapText="1"/>
    </xf>
    <xf numFmtId="49" fontId="27" fillId="0" borderId="10" xfId="47" applyNumberFormat="1" applyFont="1" applyFill="1" applyBorder="1" applyAlignment="1">
      <alignment wrapText="1"/>
    </xf>
    <xf numFmtId="0" fontId="27" fillId="0" borderId="10" xfId="47" applyFont="1" applyFill="1" applyBorder="1" applyAlignment="1">
      <alignment horizontal="center"/>
    </xf>
    <xf numFmtId="3" fontId="27" fillId="0" borderId="0" xfId="47" applyNumberFormat="1" applyFont="1" applyFill="1"/>
    <xf numFmtId="0" fontId="27" fillId="0" borderId="10" xfId="47" applyFont="1" applyBorder="1" applyAlignment="1">
      <alignment horizontal="center" wrapText="1"/>
    </xf>
    <xf numFmtId="0" fontId="27" fillId="0" borderId="0" xfId="47" applyFont="1" applyFill="1"/>
    <xf numFmtId="3" fontId="27" fillId="0" borderId="10" xfId="47" applyNumberFormat="1" applyFont="1" applyFill="1" applyBorder="1"/>
    <xf numFmtId="0" fontId="27" fillId="0" borderId="10" xfId="0" applyFont="1" applyFill="1" applyBorder="1" applyAlignment="1">
      <alignment wrapText="1"/>
    </xf>
    <xf numFmtId="49" fontId="27" fillId="0" borderId="10" xfId="0" applyNumberFormat="1" applyFont="1" applyFill="1" applyBorder="1" applyAlignment="1">
      <alignment wrapText="1"/>
    </xf>
    <xf numFmtId="14" fontId="27" fillId="0" borderId="10" xfId="0" applyNumberFormat="1" applyFont="1" applyFill="1" applyBorder="1" applyAlignment="1">
      <alignment horizontal="center"/>
    </xf>
    <xf numFmtId="49" fontId="27" fillId="0" borderId="10" xfId="47" applyNumberFormat="1" applyFont="1" applyFill="1" applyBorder="1" applyAlignment="1">
      <alignment horizontal="left" wrapText="1"/>
    </xf>
    <xf numFmtId="167" fontId="27" fillId="0" borderId="10" xfId="47" applyNumberFormat="1" applyFont="1" applyFill="1" applyBorder="1" applyAlignment="1">
      <alignment horizontal="right" wrapText="1"/>
    </xf>
    <xf numFmtId="41" fontId="27" fillId="0" borderId="45" xfId="47" applyNumberFormat="1" applyFont="1" applyFill="1" applyBorder="1" applyAlignment="1">
      <alignment horizontal="right" wrapText="1"/>
    </xf>
    <xf numFmtId="3" fontId="27" fillId="0" borderId="46" xfId="47" applyNumberFormat="1" applyFont="1" applyFill="1" applyBorder="1"/>
    <xf numFmtId="49" fontId="27" fillId="0" borderId="10" xfId="47" applyNumberFormat="1" applyFont="1" applyBorder="1" applyAlignment="1">
      <alignment horizontal="left" wrapText="1"/>
    </xf>
    <xf numFmtId="0" fontId="27" fillId="0" borderId="0" xfId="47" applyFont="1" applyAlignment="1"/>
    <xf numFmtId="14" fontId="27" fillId="0" borderId="48" xfId="47" applyNumberFormat="1" applyFont="1" applyBorder="1" applyAlignment="1">
      <alignment horizontal="center"/>
    </xf>
    <xf numFmtId="0" fontId="27" fillId="0" borderId="0" xfId="47" applyFont="1" applyAlignment="1">
      <alignment wrapText="1"/>
    </xf>
    <xf numFmtId="49" fontId="27" fillId="0" borderId="0" xfId="47" applyNumberFormat="1" applyFont="1" applyAlignment="1">
      <alignment wrapText="1"/>
    </xf>
    <xf numFmtId="0" fontId="27" fillId="0" borderId="0" xfId="47" applyFont="1" applyAlignment="1">
      <alignment horizontal="center"/>
    </xf>
    <xf numFmtId="14" fontId="27" fillId="0" borderId="10" xfId="47" applyNumberFormat="1" applyFont="1" applyBorder="1" applyAlignment="1">
      <alignment horizontal="center" wrapText="1"/>
    </xf>
    <xf numFmtId="41" fontId="30" fillId="0" borderId="24" xfId="47" applyNumberFormat="1" applyFont="1" applyBorder="1" applyAlignment="1">
      <alignment horizontal="right" wrapText="1"/>
    </xf>
    <xf numFmtId="41" fontId="30" fillId="0" borderId="25" xfId="47" applyNumberFormat="1" applyFont="1" applyBorder="1" applyAlignment="1">
      <alignment horizontal="right" wrapText="1"/>
    </xf>
    <xf numFmtId="41" fontId="27" fillId="0" borderId="40" xfId="47" applyNumberFormat="1" applyFont="1" applyFill="1" applyBorder="1" applyAlignment="1">
      <alignment horizontal="right" wrapText="1"/>
    </xf>
    <xf numFmtId="0" fontId="68" fillId="0" borderId="0" xfId="46" applyFont="1"/>
    <xf numFmtId="0" fontId="67" fillId="0" borderId="0" xfId="46" applyFont="1"/>
    <xf numFmtId="0" fontId="51" fillId="0" borderId="49" xfId="46" applyBorder="1"/>
    <xf numFmtId="0" fontId="51" fillId="0" borderId="50" xfId="46" applyBorder="1"/>
    <xf numFmtId="0" fontId="51" fillId="0" borderId="51" xfId="46" applyBorder="1"/>
    <xf numFmtId="0" fontId="51" fillId="0" borderId="52" xfId="46" applyBorder="1" applyAlignment="1">
      <alignment wrapText="1"/>
    </xf>
    <xf numFmtId="0" fontId="51" fillId="0" borderId="52" xfId="46" applyFont="1" applyBorder="1" applyAlignment="1">
      <alignment wrapText="1"/>
    </xf>
    <xf numFmtId="0" fontId="52" fillId="0" borderId="53" xfId="46" applyFont="1" applyBorder="1"/>
    <xf numFmtId="0" fontId="51" fillId="0" borderId="54" xfId="46" applyBorder="1" applyAlignment="1">
      <alignment wrapText="1"/>
    </xf>
    <xf numFmtId="0" fontId="51" fillId="0" borderId="52" xfId="46" applyFont="1" applyBorder="1" applyAlignment="1">
      <alignment horizontal="center" wrapText="1"/>
    </xf>
    <xf numFmtId="0" fontId="51" fillId="0" borderId="52" xfId="46" applyBorder="1"/>
    <xf numFmtId="0" fontId="51" fillId="0" borderId="55" xfId="46" applyFont="1" applyBorder="1"/>
    <xf numFmtId="0" fontId="69" fillId="0" borderId="56" xfId="46" applyFont="1" applyFill="1" applyBorder="1"/>
    <xf numFmtId="0" fontId="69" fillId="0" borderId="34" xfId="46" applyFont="1" applyFill="1" applyBorder="1"/>
    <xf numFmtId="0" fontId="69" fillId="0" borderId="13" xfId="46" applyFont="1" applyFill="1" applyBorder="1"/>
    <xf numFmtId="3" fontId="70" fillId="0" borderId="10" xfId="46" applyNumberFormat="1" applyFont="1" applyFill="1" applyBorder="1"/>
    <xf numFmtId="41" fontId="27" fillId="0" borderId="57" xfId="47" applyNumberFormat="1" applyFont="1" applyFill="1" applyBorder="1" applyAlignment="1">
      <alignment horizontal="right" wrapText="1"/>
    </xf>
    <xf numFmtId="3" fontId="70" fillId="0" borderId="42" xfId="46" applyNumberFormat="1" applyFont="1" applyFill="1" applyBorder="1"/>
    <xf numFmtId="3" fontId="70" fillId="0" borderId="19" xfId="46" applyNumberFormat="1" applyFont="1" applyFill="1" applyBorder="1"/>
    <xf numFmtId="3" fontId="70" fillId="0" borderId="58" xfId="46" applyNumberFormat="1" applyFont="1" applyFill="1" applyBorder="1"/>
    <xf numFmtId="0" fontId="70" fillId="0" borderId="0" xfId="46" applyFont="1"/>
    <xf numFmtId="0" fontId="71" fillId="0" borderId="56" xfId="46" applyFont="1" applyFill="1" applyBorder="1"/>
    <xf numFmtId="0" fontId="71" fillId="0" borderId="34" xfId="46" applyFont="1" applyFill="1" applyBorder="1"/>
    <xf numFmtId="0" fontId="71" fillId="0" borderId="13" xfId="46" applyFont="1" applyFill="1" applyBorder="1"/>
    <xf numFmtId="3" fontId="51" fillId="0" borderId="42" xfId="46" applyNumberFormat="1" applyFont="1" applyFill="1" applyBorder="1"/>
    <xf numFmtId="3" fontId="51" fillId="0" borderId="19" xfId="46" applyNumberFormat="1" applyFont="1" applyFill="1" applyBorder="1"/>
    <xf numFmtId="3" fontId="51" fillId="0" borderId="58" xfId="46" applyNumberFormat="1" applyFont="1" applyFill="1" applyBorder="1"/>
    <xf numFmtId="3" fontId="34" fillId="0" borderId="59" xfId="43" applyNumberFormat="1" applyFont="1" applyFill="1" applyBorder="1"/>
    <xf numFmtId="3" fontId="70" fillId="0" borderId="0" xfId="46" applyNumberFormat="1" applyFont="1"/>
    <xf numFmtId="3" fontId="72" fillId="0" borderId="0" xfId="46" applyNumberFormat="1" applyFont="1" applyFill="1"/>
    <xf numFmtId="0" fontId="72" fillId="0" borderId="0" xfId="46" applyFont="1" applyFill="1"/>
    <xf numFmtId="0" fontId="71" fillId="0" borderId="60" xfId="46" applyFont="1" applyFill="1" applyBorder="1"/>
    <xf numFmtId="0" fontId="71" fillId="0" borderId="61" xfId="46" applyFont="1" applyFill="1" applyBorder="1"/>
    <xf numFmtId="0" fontId="71" fillId="0" borderId="62" xfId="46" applyFont="1" applyFill="1" applyBorder="1"/>
    <xf numFmtId="3" fontId="51" fillId="0" borderId="63" xfId="46" applyNumberFormat="1" applyFont="1" applyFill="1" applyBorder="1"/>
    <xf numFmtId="3" fontId="51" fillId="0" borderId="64" xfId="46" applyNumberFormat="1" applyFont="1" applyFill="1" applyBorder="1"/>
    <xf numFmtId="3" fontId="51" fillId="0" borderId="65" xfId="46" applyNumberFormat="1" applyFont="1" applyFill="1" applyBorder="1"/>
    <xf numFmtId="3" fontId="51" fillId="0" borderId="66" xfId="46" applyNumberFormat="1" applyFont="1" applyFill="1" applyBorder="1"/>
    <xf numFmtId="3" fontId="51" fillId="0" borderId="67" xfId="46" applyNumberFormat="1" applyFont="1" applyBorder="1"/>
    <xf numFmtId="3" fontId="51" fillId="0" borderId="68" xfId="46" applyNumberFormat="1" applyFont="1" applyBorder="1"/>
    <xf numFmtId="3" fontId="51" fillId="0" borderId="69" xfId="46" applyNumberFormat="1" applyFont="1" applyBorder="1"/>
    <xf numFmtId="0" fontId="73" fillId="0" borderId="0" xfId="46" applyFont="1" applyFill="1" applyBorder="1"/>
    <xf numFmtId="0" fontId="60" fillId="0" borderId="0" xfId="46" applyFont="1" applyBorder="1"/>
    <xf numFmtId="3" fontId="51" fillId="0" borderId="0" xfId="46" applyNumberFormat="1" applyFont="1" applyBorder="1"/>
    <xf numFmtId="0" fontId="27" fillId="0" borderId="0" xfId="47" applyFont="1" applyFill="1" applyAlignment="1"/>
    <xf numFmtId="0" fontId="27" fillId="0" borderId="0" xfId="47" applyFont="1" applyFill="1" applyAlignment="1">
      <alignment wrapText="1"/>
    </xf>
    <xf numFmtId="49" fontId="27" fillId="0" borderId="0" xfId="47" applyNumberFormat="1" applyFont="1" applyFill="1" applyAlignment="1">
      <alignment wrapText="1"/>
    </xf>
    <xf numFmtId="0" fontId="27" fillId="0" borderId="0" xfId="47" applyFont="1" applyFill="1" applyAlignment="1">
      <alignment horizontal="center"/>
    </xf>
    <xf numFmtId="3" fontId="27" fillId="0" borderId="0" xfId="47" applyNumberFormat="1" applyFont="1" applyFill="1" applyAlignment="1">
      <alignment horizontal="right"/>
    </xf>
    <xf numFmtId="0" fontId="27" fillId="0" borderId="0" xfId="47" applyFont="1" applyFill="1" applyAlignment="1">
      <alignment horizontal="center" wrapText="1"/>
    </xf>
    <xf numFmtId="3" fontId="27" fillId="0" borderId="0" xfId="47" applyNumberFormat="1" applyFont="1" applyFill="1" applyAlignment="1">
      <alignment horizontal="center"/>
    </xf>
    <xf numFmtId="166" fontId="27" fillId="0" borderId="0" xfId="47" applyNumberFormat="1" applyFont="1" applyFill="1" applyAlignment="1">
      <alignment horizontal="center" vertical="center"/>
    </xf>
    <xf numFmtId="3" fontId="27" fillId="0" borderId="0" xfId="47" applyNumberFormat="1" applyFont="1" applyFill="1" applyAlignment="1">
      <alignment horizontal="center" vertical="center"/>
    </xf>
    <xf numFmtId="0" fontId="27" fillId="0" borderId="0" xfId="47" applyFont="1" applyFill="1" applyAlignment="1">
      <alignment horizontal="center" vertical="center"/>
    </xf>
    <xf numFmtId="0" fontId="30" fillId="0" borderId="30" xfId="47" applyFont="1" applyFill="1" applyBorder="1" applyAlignment="1">
      <alignment horizontal="center"/>
    </xf>
    <xf numFmtId="0" fontId="30" fillId="0" borderId="31" xfId="47" applyFont="1" applyFill="1" applyBorder="1" applyAlignment="1">
      <alignment horizontal="center" wrapText="1"/>
    </xf>
    <xf numFmtId="3" fontId="27" fillId="0" borderId="70" xfId="47" applyNumberFormat="1" applyFont="1" applyFill="1" applyBorder="1" applyAlignment="1">
      <alignment horizontal="right" vertical="center" wrapText="1"/>
    </xf>
    <xf numFmtId="3" fontId="27" fillId="0" borderId="71" xfId="47" applyNumberFormat="1" applyFont="1" applyFill="1" applyBorder="1" applyAlignment="1">
      <alignment horizontal="right" vertical="center" wrapText="1"/>
    </xf>
    <xf numFmtId="0" fontId="27" fillId="0" borderId="72" xfId="47" applyFont="1" applyFill="1" applyBorder="1" applyAlignment="1">
      <alignment horizontal="left" wrapText="1"/>
    </xf>
    <xf numFmtId="14" fontId="27" fillId="0" borderId="72" xfId="47" applyNumberFormat="1" applyFont="1" applyFill="1" applyBorder="1" applyAlignment="1">
      <alignment horizontal="center"/>
    </xf>
    <xf numFmtId="3" fontId="27" fillId="0" borderId="73" xfId="47" applyNumberFormat="1" applyFont="1" applyFill="1" applyBorder="1" applyAlignment="1">
      <alignment horizontal="right" vertical="center" wrapText="1"/>
    </xf>
    <xf numFmtId="3" fontId="27" fillId="0" borderId="74" xfId="47" applyNumberFormat="1" applyFont="1" applyFill="1" applyBorder="1" applyAlignment="1">
      <alignment horizontal="right" vertical="center" wrapText="1"/>
    </xf>
    <xf numFmtId="3" fontId="30" fillId="0" borderId="75" xfId="47" applyNumberFormat="1" applyFont="1" applyFill="1" applyBorder="1" applyAlignment="1">
      <alignment horizontal="right" vertical="center" wrapText="1"/>
    </xf>
    <xf numFmtId="3" fontId="30" fillId="0" borderId="76" xfId="47" applyNumberFormat="1" applyFont="1" applyFill="1" applyBorder="1" applyAlignment="1">
      <alignment horizontal="right" vertical="center" wrapText="1"/>
    </xf>
    <xf numFmtId="0" fontId="62" fillId="0" borderId="77" xfId="47" applyFont="1" applyFill="1" applyBorder="1" applyAlignment="1">
      <alignment horizontal="center" vertical="center" textRotation="90" wrapText="1"/>
    </xf>
    <xf numFmtId="0" fontId="28" fillId="0" borderId="78" xfId="47" applyFont="1" applyFill="1" applyBorder="1" applyAlignment="1"/>
    <xf numFmtId="41" fontId="27" fillId="0" borderId="12" xfId="47" applyNumberFormat="1" applyFont="1" applyFill="1" applyBorder="1" applyAlignment="1">
      <alignment horizontal="right" wrapText="1"/>
    </xf>
    <xf numFmtId="3" fontId="27" fillId="0" borderId="27" xfId="47" applyNumberFormat="1" applyFont="1" applyFill="1" applyBorder="1"/>
    <xf numFmtId="0" fontId="1" fillId="0" borderId="79" xfId="0" applyFont="1" applyFill="1" applyBorder="1" applyAlignment="1">
      <alignment horizontal="center" vertical="center" textRotation="90" wrapText="1"/>
    </xf>
    <xf numFmtId="0" fontId="28" fillId="0" borderId="80" xfId="47" applyFont="1" applyFill="1" applyBorder="1" applyAlignment="1"/>
    <xf numFmtId="0" fontId="27" fillId="0" borderId="45" xfId="47" applyFont="1" applyFill="1" applyBorder="1" applyAlignment="1">
      <alignment wrapText="1"/>
    </xf>
    <xf numFmtId="49" fontId="27" fillId="0" borderId="45" xfId="47" applyNumberFormat="1" applyFont="1" applyFill="1" applyBorder="1" applyAlignment="1">
      <alignment wrapText="1"/>
    </xf>
    <xf numFmtId="14" fontId="27" fillId="0" borderId="45" xfId="47" applyNumberFormat="1" applyFont="1" applyFill="1" applyBorder="1" applyAlignment="1">
      <alignment horizontal="center"/>
    </xf>
    <xf numFmtId="41" fontId="30" fillId="0" borderId="75" xfId="47" applyNumberFormat="1" applyFont="1" applyFill="1" applyBorder="1" applyAlignment="1">
      <alignment horizontal="right" wrapText="1"/>
    </xf>
    <xf numFmtId="41" fontId="30" fillId="0" borderId="76" xfId="47" applyNumberFormat="1" applyFont="1" applyFill="1" applyBorder="1" applyAlignment="1">
      <alignment horizontal="right" wrapText="1"/>
    </xf>
    <xf numFmtId="3" fontId="30" fillId="0" borderId="0" xfId="47" applyNumberFormat="1" applyFont="1" applyFill="1"/>
    <xf numFmtId="0" fontId="30" fillId="0" borderId="0" xfId="47" applyFont="1" applyFill="1"/>
    <xf numFmtId="0" fontId="27" fillId="0" borderId="39" xfId="47" applyFont="1" applyFill="1" applyBorder="1" applyAlignment="1">
      <alignment horizontal="left"/>
    </xf>
    <xf numFmtId="0" fontId="27" fillId="0" borderId="39" xfId="0" applyFont="1" applyFill="1" applyBorder="1" applyAlignment="1">
      <alignment horizontal="left"/>
    </xf>
    <xf numFmtId="0" fontId="27" fillId="0" borderId="39" xfId="0" applyFont="1" applyFill="1" applyBorder="1" applyAlignment="1">
      <alignment horizontal="center"/>
    </xf>
    <xf numFmtId="41" fontId="27" fillId="0" borderId="70" xfId="47" applyNumberFormat="1" applyFont="1" applyFill="1" applyBorder="1" applyAlignment="1">
      <alignment horizontal="right" wrapText="1"/>
    </xf>
    <xf numFmtId="167" fontId="27" fillId="0" borderId="71" xfId="47" applyNumberFormat="1" applyFont="1" applyFill="1" applyBorder="1" applyAlignment="1">
      <alignment horizontal="right" wrapText="1"/>
    </xf>
    <xf numFmtId="3" fontId="27" fillId="0" borderId="37" xfId="47" applyNumberFormat="1" applyFont="1" applyFill="1" applyBorder="1"/>
    <xf numFmtId="14" fontId="27" fillId="0" borderId="47" xfId="47" applyNumberFormat="1" applyFont="1" applyFill="1" applyBorder="1" applyAlignment="1">
      <alignment horizontal="center"/>
    </xf>
    <xf numFmtId="0" fontId="27" fillId="0" borderId="39" xfId="47" applyFont="1" applyFill="1" applyBorder="1" applyAlignment="1">
      <alignment horizontal="left" wrapText="1"/>
    </xf>
    <xf numFmtId="14" fontId="27" fillId="0" borderId="39" xfId="47" applyNumberFormat="1" applyFont="1" applyFill="1" applyBorder="1" applyAlignment="1">
      <alignment horizontal="center"/>
    </xf>
    <xf numFmtId="41" fontId="27" fillId="0" borderId="39" xfId="47" applyNumberFormat="1" applyFont="1" applyFill="1" applyBorder="1" applyAlignment="1">
      <alignment horizontal="right" wrapText="1"/>
    </xf>
    <xf numFmtId="41" fontId="27" fillId="0" borderId="17" xfId="47" applyNumberFormat="1" applyFont="1" applyFill="1" applyBorder="1" applyAlignment="1">
      <alignment horizontal="right" wrapText="1"/>
    </xf>
    <xf numFmtId="0" fontId="27" fillId="0" borderId="70" xfId="47" applyFont="1" applyFill="1" applyBorder="1" applyAlignment="1">
      <alignment horizontal="left" wrapText="1"/>
    </xf>
    <xf numFmtId="0" fontId="27" fillId="0" borderId="45" xfId="47" applyFont="1" applyFill="1" applyBorder="1" applyAlignment="1">
      <alignment horizontal="left" wrapText="1"/>
    </xf>
    <xf numFmtId="41" fontId="27" fillId="0" borderId="46" xfId="47" applyNumberFormat="1" applyFont="1" applyFill="1" applyBorder="1" applyAlignment="1">
      <alignment horizontal="right" wrapText="1"/>
    </xf>
    <xf numFmtId="0" fontId="27" fillId="0" borderId="45" xfId="47" applyFont="1" applyFill="1" applyBorder="1" applyAlignment="1">
      <alignment horizontal="left"/>
    </xf>
    <xf numFmtId="0" fontId="27" fillId="0" borderId="45" xfId="0" applyFont="1" applyFill="1" applyBorder="1" applyAlignment="1">
      <alignment horizontal="left"/>
    </xf>
    <xf numFmtId="14" fontId="27" fillId="0" borderId="45" xfId="0" applyNumberFormat="1" applyFont="1" applyFill="1" applyBorder="1" applyAlignment="1">
      <alignment horizontal="center"/>
    </xf>
    <xf numFmtId="167" fontId="27" fillId="0" borderId="46" xfId="47" applyNumberFormat="1" applyFont="1" applyFill="1" applyBorder="1" applyAlignment="1">
      <alignment horizontal="right" wrapText="1"/>
    </xf>
    <xf numFmtId="167" fontId="30" fillId="0" borderId="76" xfId="47" applyNumberFormat="1" applyFont="1" applyFill="1" applyBorder="1" applyAlignment="1">
      <alignment horizontal="right" wrapText="1"/>
    </xf>
    <xf numFmtId="14" fontId="27" fillId="0" borderId="40" xfId="0" applyNumberFormat="1" applyFont="1" applyFill="1" applyBorder="1" applyAlignment="1">
      <alignment horizontal="center"/>
    </xf>
    <xf numFmtId="0" fontId="30" fillId="0" borderId="0" xfId="47" applyNumberFormat="1" applyFont="1" applyFill="1" applyBorder="1" applyAlignment="1">
      <alignment horizontal="right" wrapText="1"/>
    </xf>
    <xf numFmtId="14" fontId="27" fillId="0" borderId="70" xfId="47" applyNumberFormat="1" applyFont="1" applyFill="1" applyBorder="1" applyAlignment="1">
      <alignment horizontal="center"/>
    </xf>
    <xf numFmtId="0" fontId="27" fillId="0" borderId="40" xfId="47" applyFont="1" applyFill="1" applyBorder="1" applyAlignment="1">
      <alignment wrapText="1"/>
    </xf>
    <xf numFmtId="0" fontId="27" fillId="0" borderId="40" xfId="47" applyFont="1" applyFill="1" applyBorder="1" applyAlignment="1">
      <alignment horizontal="left" wrapText="1"/>
    </xf>
    <xf numFmtId="14" fontId="27" fillId="0" borderId="40" xfId="47" applyNumberFormat="1" applyFont="1" applyFill="1" applyBorder="1" applyAlignment="1">
      <alignment horizontal="center"/>
    </xf>
    <xf numFmtId="0" fontId="62" fillId="0" borderId="79" xfId="47" applyFont="1" applyFill="1" applyBorder="1" applyAlignment="1">
      <alignment horizontal="center" vertical="center" textRotation="90" wrapText="1"/>
    </xf>
    <xf numFmtId="0" fontId="27" fillId="0" borderId="12" xfId="47" applyFont="1" applyFill="1" applyBorder="1" applyAlignment="1">
      <alignment wrapText="1"/>
    </xf>
    <xf numFmtId="49" fontId="27" fillId="0" borderId="12" xfId="47" applyNumberFormat="1" applyFont="1" applyFill="1" applyBorder="1" applyAlignment="1">
      <alignment wrapText="1"/>
    </xf>
    <xf numFmtId="14" fontId="27" fillId="0" borderId="12" xfId="47" applyNumberFormat="1" applyFont="1" applyFill="1" applyBorder="1" applyAlignment="1">
      <alignment horizontal="center"/>
    </xf>
    <xf numFmtId="3" fontId="27" fillId="0" borderId="27" xfId="47" applyNumberFormat="1" applyFont="1" applyFill="1" applyBorder="1" applyAlignment="1">
      <alignment wrapText="1"/>
    </xf>
    <xf numFmtId="3" fontId="27" fillId="0" borderId="0" xfId="47" applyNumberFormat="1" applyFont="1" applyFill="1" applyBorder="1" applyAlignment="1">
      <alignment horizontal="center"/>
    </xf>
    <xf numFmtId="3" fontId="27" fillId="0" borderId="46" xfId="47" applyNumberFormat="1" applyFont="1" applyFill="1" applyBorder="1" applyAlignment="1">
      <alignment wrapText="1"/>
    </xf>
    <xf numFmtId="0" fontId="27" fillId="0" borderId="40" xfId="47" applyFont="1" applyFill="1" applyBorder="1" applyAlignment="1">
      <alignment horizontal="left"/>
    </xf>
    <xf numFmtId="0" fontId="27" fillId="0" borderId="40" xfId="47" applyFont="1" applyFill="1" applyBorder="1" applyAlignment="1">
      <alignment horizontal="center"/>
    </xf>
    <xf numFmtId="3" fontId="27" fillId="0" borderId="20" xfId="47" applyNumberFormat="1" applyFont="1" applyFill="1" applyBorder="1" applyAlignment="1">
      <alignment wrapText="1"/>
    </xf>
    <xf numFmtId="0" fontId="45" fillId="0" borderId="10" xfId="47" applyFont="1" applyFill="1" applyBorder="1" applyAlignment="1">
      <alignment wrapText="1"/>
    </xf>
    <xf numFmtId="49" fontId="45" fillId="0" borderId="10" xfId="47" applyNumberFormat="1" applyFont="1" applyFill="1" applyBorder="1" applyAlignment="1">
      <alignment wrapText="1"/>
    </xf>
    <xf numFmtId="14" fontId="45" fillId="0" borderId="10" xfId="47" applyNumberFormat="1" applyFont="1" applyFill="1" applyBorder="1" applyAlignment="1">
      <alignment horizontal="center"/>
    </xf>
    <xf numFmtId="41" fontId="45" fillId="0" borderId="10" xfId="47" applyNumberFormat="1" applyFont="1" applyFill="1" applyBorder="1" applyAlignment="1">
      <alignment horizontal="right" wrapText="1"/>
    </xf>
    <xf numFmtId="3" fontId="45" fillId="0" borderId="20" xfId="47" applyNumberFormat="1" applyFont="1" applyFill="1" applyBorder="1" applyAlignment="1">
      <alignment wrapText="1"/>
    </xf>
    <xf numFmtId="3" fontId="30" fillId="0" borderId="0" xfId="47" applyNumberFormat="1" applyFont="1" applyFill="1" applyBorder="1" applyAlignment="1">
      <alignment horizontal="center"/>
    </xf>
    <xf numFmtId="3" fontId="28" fillId="0" borderId="0" xfId="47" applyNumberFormat="1" applyFont="1" applyFill="1"/>
    <xf numFmtId="0" fontId="29" fillId="0" borderId="0" xfId="47" applyNumberFormat="1" applyFont="1" applyFill="1" applyBorder="1" applyAlignment="1">
      <alignment horizontal="right" wrapText="1"/>
    </xf>
    <xf numFmtId="0" fontId="28" fillId="0" borderId="0" xfId="47" applyFont="1" applyFill="1"/>
    <xf numFmtId="0" fontId="27" fillId="0" borderId="0" xfId="47" applyNumberFormat="1" applyFont="1" applyFill="1" applyBorder="1" applyAlignment="1">
      <alignment horizontal="left" wrapText="1"/>
    </xf>
    <xf numFmtId="49" fontId="27" fillId="0" borderId="40" xfId="47" applyNumberFormat="1" applyFont="1" applyFill="1" applyBorder="1" applyAlignment="1">
      <alignment wrapText="1"/>
    </xf>
    <xf numFmtId="3" fontId="27" fillId="0" borderId="57" xfId="47" applyNumberFormat="1" applyFont="1" applyFill="1" applyBorder="1"/>
    <xf numFmtId="0" fontId="27" fillId="0" borderId="39" xfId="47" applyFont="1" applyFill="1" applyBorder="1" applyAlignment="1">
      <alignment wrapText="1"/>
    </xf>
    <xf numFmtId="49" fontId="27" fillId="0" borderId="39" xfId="47" applyNumberFormat="1" applyFont="1" applyFill="1" applyBorder="1" applyAlignment="1">
      <alignment wrapText="1"/>
    </xf>
    <xf numFmtId="3" fontId="27" fillId="0" borderId="17" xfId="47" applyNumberFormat="1" applyFont="1" applyFill="1" applyBorder="1"/>
    <xf numFmtId="3" fontId="27" fillId="0" borderId="43" xfId="47" applyNumberFormat="1" applyFont="1" applyFill="1" applyBorder="1"/>
    <xf numFmtId="3" fontId="27" fillId="0" borderId="12" xfId="47" applyNumberFormat="1" applyFont="1" applyFill="1" applyBorder="1"/>
    <xf numFmtId="49" fontId="27" fillId="0" borderId="45" xfId="47" applyNumberFormat="1" applyFont="1" applyFill="1" applyBorder="1" applyAlignment="1">
      <alignment horizontal="left" vertical="center" wrapText="1"/>
    </xf>
    <xf numFmtId="3" fontId="27" fillId="0" borderId="46" xfId="0" applyNumberFormat="1" applyFont="1" applyFill="1" applyBorder="1"/>
    <xf numFmtId="167" fontId="30" fillId="0" borderId="75" xfId="47" applyNumberFormat="1" applyFont="1" applyFill="1" applyBorder="1" applyAlignment="1">
      <alignment horizontal="right" vertical="center"/>
    </xf>
    <xf numFmtId="0" fontId="27" fillId="0" borderId="40" xfId="0" applyFont="1" applyFill="1" applyBorder="1" applyAlignment="1">
      <alignment horizontal="left"/>
    </xf>
    <xf numFmtId="167" fontId="27" fillId="0" borderId="40" xfId="47" applyNumberFormat="1" applyFont="1" applyFill="1" applyBorder="1" applyAlignment="1">
      <alignment horizontal="right"/>
    </xf>
    <xf numFmtId="14" fontId="27" fillId="0" borderId="14" xfId="47" applyNumberFormat="1" applyFont="1" applyFill="1" applyBorder="1" applyAlignment="1">
      <alignment horizontal="center"/>
    </xf>
    <xf numFmtId="14" fontId="27" fillId="0" borderId="13" xfId="47" applyNumberFormat="1" applyFont="1" applyFill="1" applyBorder="1" applyAlignment="1">
      <alignment horizontal="center"/>
    </xf>
    <xf numFmtId="14" fontId="27" fillId="0" borderId="13" xfId="0" applyNumberFormat="1" applyFont="1" applyFill="1" applyBorder="1" applyAlignment="1">
      <alignment horizontal="center"/>
    </xf>
    <xf numFmtId="0" fontId="27" fillId="0" borderId="73" xfId="47" applyFont="1" applyFill="1" applyBorder="1" applyAlignment="1">
      <alignment wrapText="1"/>
    </xf>
    <xf numFmtId="0" fontId="27" fillId="0" borderId="73" xfId="47" applyFont="1" applyFill="1" applyBorder="1" applyAlignment="1">
      <alignment horizontal="left" wrapText="1"/>
    </xf>
    <xf numFmtId="14" fontId="27" fillId="0" borderId="73" xfId="47" applyNumberFormat="1" applyFont="1" applyFill="1" applyBorder="1" applyAlignment="1">
      <alignment horizontal="center"/>
    </xf>
    <xf numFmtId="41" fontId="27" fillId="0" borderId="73" xfId="47" applyNumberFormat="1" applyFont="1" applyFill="1" applyBorder="1" applyAlignment="1">
      <alignment horizontal="right" wrapText="1"/>
    </xf>
    <xf numFmtId="3" fontId="27" fillId="0" borderId="74" xfId="47" applyNumberFormat="1" applyFont="1" applyFill="1" applyBorder="1" applyAlignment="1">
      <alignment horizontal="right"/>
    </xf>
    <xf numFmtId="14" fontId="27" fillId="0" borderId="81" xfId="47" applyNumberFormat="1" applyFont="1" applyFill="1" applyBorder="1" applyAlignment="1">
      <alignment horizontal="center"/>
    </xf>
    <xf numFmtId="0" fontId="27" fillId="0" borderId="45" xfId="0" applyFont="1" applyFill="1" applyBorder="1" applyAlignment="1">
      <alignment horizontal="left" wrapText="1"/>
    </xf>
    <xf numFmtId="3" fontId="27" fillId="0" borderId="45" xfId="0" applyNumberFormat="1" applyFont="1" applyFill="1" applyBorder="1" applyAlignment="1">
      <alignment horizontal="right" wrapText="1"/>
    </xf>
    <xf numFmtId="3" fontId="27" fillId="0" borderId="46" xfId="0" applyNumberFormat="1" applyFont="1" applyFill="1" applyBorder="1" applyAlignment="1"/>
    <xf numFmtId="14" fontId="27" fillId="0" borderId="38" xfId="47" applyNumberFormat="1" applyFont="1" applyFill="1" applyBorder="1" applyAlignment="1">
      <alignment horizontal="center"/>
    </xf>
    <xf numFmtId="3" fontId="27" fillId="0" borderId="17" xfId="47" applyNumberFormat="1" applyFont="1" applyFill="1" applyBorder="1" applyAlignment="1">
      <alignment horizontal="right"/>
    </xf>
    <xf numFmtId="0" fontId="27" fillId="0" borderId="0" xfId="47" applyFont="1" applyFill="1" applyBorder="1" applyAlignment="1">
      <alignment wrapText="1"/>
    </xf>
    <xf numFmtId="49" fontId="27" fillId="0" borderId="0" xfId="47" applyNumberFormat="1" applyFont="1" applyFill="1" applyBorder="1" applyAlignment="1">
      <alignment wrapText="1"/>
    </xf>
    <xf numFmtId="14" fontId="27" fillId="0" borderId="0" xfId="47" applyNumberFormat="1" applyFont="1" applyFill="1" applyBorder="1" applyAlignment="1">
      <alignment horizontal="center"/>
    </xf>
    <xf numFmtId="41" fontId="27" fillId="0" borderId="0" xfId="47" applyNumberFormat="1" applyFont="1" applyFill="1" applyBorder="1" applyAlignment="1">
      <alignment horizontal="right" wrapText="1"/>
    </xf>
    <xf numFmtId="3" fontId="27" fillId="0" borderId="0" xfId="47" applyNumberFormat="1" applyFont="1" applyFill="1" applyBorder="1"/>
    <xf numFmtId="0" fontId="27" fillId="0" borderId="0" xfId="47" applyFont="1" applyFill="1" applyBorder="1"/>
    <xf numFmtId="0" fontId="1" fillId="0" borderId="80" xfId="0" applyFont="1" applyFill="1" applyBorder="1" applyAlignment="1"/>
    <xf numFmtId="0" fontId="27" fillId="0" borderId="70" xfId="47" applyFont="1" applyFill="1" applyBorder="1" applyAlignment="1">
      <alignment wrapText="1"/>
    </xf>
    <xf numFmtId="49" fontId="27" fillId="0" borderId="70" xfId="47" applyNumberFormat="1" applyFont="1" applyFill="1" applyBorder="1" applyAlignment="1">
      <alignment wrapText="1"/>
    </xf>
    <xf numFmtId="3" fontId="27" fillId="0" borderId="71" xfId="47" applyNumberFormat="1" applyFont="1" applyFill="1" applyBorder="1"/>
    <xf numFmtId="0" fontId="30" fillId="0" borderId="0" xfId="47" applyFont="1" applyFill="1" applyBorder="1"/>
    <xf numFmtId="167" fontId="30" fillId="0" borderId="75" xfId="47" applyNumberFormat="1" applyFont="1" applyFill="1" applyBorder="1" applyAlignment="1">
      <alignment horizontal="right" wrapText="1"/>
    </xf>
    <xf numFmtId="3" fontId="27" fillId="0" borderId="74" xfId="47" applyNumberFormat="1" applyFont="1" applyFill="1" applyBorder="1"/>
    <xf numFmtId="14" fontId="27" fillId="0" borderId="39" xfId="0" applyNumberFormat="1" applyFont="1" applyFill="1" applyBorder="1" applyAlignment="1">
      <alignment horizontal="center"/>
    </xf>
    <xf numFmtId="14" fontId="28" fillId="0" borderId="0" xfId="47" applyNumberFormat="1" applyFont="1" applyFill="1" applyAlignment="1">
      <alignment horizontal="left"/>
    </xf>
    <xf numFmtId="0" fontId="28" fillId="0" borderId="0" xfId="47" applyFont="1" applyFill="1" applyAlignment="1">
      <alignment horizontal="left"/>
    </xf>
    <xf numFmtId="3" fontId="28" fillId="0" borderId="0" xfId="47" applyNumberFormat="1" applyFont="1" applyFill="1" applyAlignment="1">
      <alignment horizontal="left"/>
    </xf>
    <xf numFmtId="0" fontId="27" fillId="0" borderId="70" xfId="47" applyFont="1" applyFill="1" applyBorder="1" applyAlignment="1">
      <alignment horizontal="center"/>
    </xf>
    <xf numFmtId="3" fontId="30" fillId="0" borderId="82" xfId="47" applyNumberFormat="1" applyFont="1" applyFill="1" applyBorder="1" applyAlignment="1">
      <alignment horizontal="right"/>
    </xf>
    <xf numFmtId="3" fontId="27" fillId="0" borderId="0" xfId="47" applyNumberFormat="1" applyFont="1" applyFill="1" applyBorder="1" applyAlignment="1">
      <alignment horizontal="right"/>
    </xf>
    <xf numFmtId="14" fontId="27" fillId="0" borderId="48" xfId="47" applyNumberFormat="1" applyFont="1" applyFill="1" applyBorder="1" applyAlignment="1">
      <alignment horizontal="center"/>
    </xf>
    <xf numFmtId="3" fontId="27" fillId="0" borderId="0" xfId="47" applyNumberFormat="1" applyFont="1" applyFill="1" applyBorder="1" applyAlignment="1">
      <alignment wrapText="1"/>
    </xf>
    <xf numFmtId="3" fontId="29" fillId="0" borderId="0" xfId="47" applyNumberFormat="1" applyFont="1" applyFill="1"/>
    <xf numFmtId="3" fontId="29" fillId="0" borderId="0" xfId="47" applyNumberFormat="1" applyFont="1" applyFill="1" applyAlignment="1">
      <alignment horizontal="right"/>
    </xf>
    <xf numFmtId="3" fontId="30" fillId="0" borderId="0" xfId="47" applyNumberFormat="1" applyFont="1" applyFill="1" applyAlignment="1">
      <alignment horizontal="right"/>
    </xf>
    <xf numFmtId="3" fontId="30" fillId="0" borderId="0" xfId="47" applyNumberFormat="1" applyFont="1" applyFill="1" applyAlignment="1">
      <alignment horizontal="center"/>
    </xf>
    <xf numFmtId="49" fontId="27" fillId="0" borderId="0" xfId="47" applyNumberFormat="1" applyFont="1" applyFill="1" applyAlignment="1">
      <alignment horizontal="center" wrapText="1"/>
    </xf>
    <xf numFmtId="3" fontId="27" fillId="0" borderId="0" xfId="47" applyNumberFormat="1" applyFont="1" applyFill="1" applyAlignment="1">
      <alignment wrapText="1"/>
    </xf>
    <xf numFmtId="3" fontId="30" fillId="0" borderId="0" xfId="47" applyNumberFormat="1" applyFont="1" applyFill="1" applyAlignment="1">
      <alignment wrapText="1"/>
    </xf>
    <xf numFmtId="3" fontId="27" fillId="0" borderId="0" xfId="47" applyNumberFormat="1" applyFont="1" applyFill="1" applyAlignment="1">
      <alignment horizontal="center" wrapText="1"/>
    </xf>
    <xf numFmtId="3" fontId="27" fillId="0" borderId="0" xfId="47" applyNumberFormat="1" applyFont="1" applyFill="1" applyAlignment="1">
      <alignment horizontal="right" wrapText="1"/>
    </xf>
    <xf numFmtId="3" fontId="30" fillId="0" borderId="0" xfId="47" applyNumberFormat="1" applyFont="1" applyFill="1" applyAlignment="1">
      <alignment horizontal="right" wrapText="1"/>
    </xf>
    <xf numFmtId="0" fontId="27" fillId="0" borderId="0" xfId="47" applyFont="1" applyAlignment="1">
      <alignment horizontal="center" wrapText="1"/>
    </xf>
    <xf numFmtId="3" fontId="27" fillId="0" borderId="0" xfId="47" applyNumberFormat="1" applyFont="1" applyAlignment="1">
      <alignment horizontal="center"/>
    </xf>
    <xf numFmtId="166" fontId="27" fillId="0" borderId="0" xfId="47" applyNumberFormat="1" applyFont="1" applyAlignment="1">
      <alignment horizontal="center" vertical="center"/>
    </xf>
    <xf numFmtId="3" fontId="27" fillId="0" borderId="0" xfId="47" applyNumberFormat="1" applyFont="1" applyAlignment="1">
      <alignment horizontal="center" vertical="center"/>
    </xf>
    <xf numFmtId="0" fontId="27" fillId="0" borderId="0" xfId="47" applyFont="1" applyAlignment="1">
      <alignment horizontal="center" vertical="center"/>
    </xf>
    <xf numFmtId="14" fontId="27" fillId="0" borderId="10" xfId="0" applyNumberFormat="1" applyFont="1" applyFill="1" applyBorder="1" applyAlignment="1">
      <alignment horizontal="center" wrapText="1"/>
    </xf>
    <xf numFmtId="14" fontId="27" fillId="0" borderId="10" xfId="47" applyNumberFormat="1" applyFont="1" applyFill="1" applyBorder="1" applyAlignment="1">
      <alignment horizontal="center" wrapText="1"/>
    </xf>
    <xf numFmtId="14" fontId="27" fillId="0" borderId="0" xfId="47" applyNumberFormat="1" applyFont="1" applyFill="1" applyBorder="1" applyAlignment="1">
      <alignment horizontal="center" wrapText="1"/>
    </xf>
    <xf numFmtId="0" fontId="27" fillId="0" borderId="10" xfId="47" applyFont="1" applyFill="1" applyBorder="1"/>
    <xf numFmtId="3" fontId="30" fillId="0" borderId="0" xfId="47" applyNumberFormat="1" applyFont="1"/>
    <xf numFmtId="0" fontId="30" fillId="0" borderId="0" xfId="47" applyFont="1"/>
    <xf numFmtId="3" fontId="27" fillId="0" borderId="0" xfId="47" applyNumberFormat="1" applyFont="1" applyBorder="1" applyAlignment="1">
      <alignment horizontal="center"/>
    </xf>
    <xf numFmtId="3" fontId="27" fillId="0" borderId="0" xfId="47" applyNumberFormat="1" applyFont="1" applyAlignment="1"/>
    <xf numFmtId="3" fontId="29" fillId="0" borderId="0" xfId="47" applyNumberFormat="1" applyFont="1" applyAlignment="1"/>
    <xf numFmtId="3" fontId="29" fillId="0" borderId="0" xfId="47" applyNumberFormat="1" applyFont="1" applyAlignment="1">
      <alignment horizontal="right"/>
    </xf>
    <xf numFmtId="3" fontId="36" fillId="0" borderId="13" xfId="43" applyNumberFormat="1" applyFont="1" applyFill="1" applyBorder="1" applyAlignment="1">
      <alignment wrapText="1"/>
    </xf>
    <xf numFmtId="0" fontId="36" fillId="0" borderId="0" xfId="43" applyFont="1" applyFill="1" applyBorder="1" applyAlignment="1">
      <alignment horizontal="right"/>
    </xf>
    <xf numFmtId="0" fontId="37" fillId="0" borderId="0" xfId="43" applyFont="1" applyFill="1" applyBorder="1" applyAlignment="1">
      <alignment horizontal="right" wrapText="1"/>
    </xf>
    <xf numFmtId="0" fontId="27" fillId="0" borderId="0" xfId="43" applyFont="1" applyBorder="1" applyAlignment="1">
      <alignment horizontal="right"/>
    </xf>
    <xf numFmtId="0" fontId="74" fillId="0" borderId="0" xfId="0" applyFont="1" applyFill="1" applyBorder="1" applyAlignment="1">
      <alignment horizontal="right" wrapText="1"/>
    </xf>
    <xf numFmtId="0" fontId="21" fillId="0" borderId="0" xfId="43" applyFont="1" applyFill="1" applyBorder="1"/>
    <xf numFmtId="0" fontId="21" fillId="0" borderId="13" xfId="43" applyFont="1" applyBorder="1"/>
    <xf numFmtId="0" fontId="21" fillId="0" borderId="15" xfId="43" applyFont="1" applyFill="1" applyBorder="1"/>
    <xf numFmtId="0" fontId="36" fillId="0" borderId="34" xfId="43" applyFont="1" applyFill="1" applyBorder="1"/>
    <xf numFmtId="0" fontId="37" fillId="0" borderId="34" xfId="43" applyFont="1" applyFill="1" applyBorder="1"/>
    <xf numFmtId="0" fontId="38" fillId="0" borderId="34" xfId="43" applyFont="1" applyFill="1" applyBorder="1"/>
    <xf numFmtId="3" fontId="37" fillId="0" borderId="34" xfId="43" applyNumberFormat="1" applyFont="1" applyFill="1" applyBorder="1"/>
    <xf numFmtId="3" fontId="36" fillId="0" borderId="83" xfId="0" applyNumberFormat="1" applyFont="1" applyFill="1" applyBorder="1"/>
    <xf numFmtId="3" fontId="36" fillId="0" borderId="83" xfId="0" applyNumberFormat="1" applyFont="1" applyFill="1" applyBorder="1" applyAlignment="1">
      <alignment wrapText="1"/>
    </xf>
    <xf numFmtId="3" fontId="37" fillId="0" borderId="42" xfId="43" applyNumberFormat="1" applyFont="1" applyFill="1" applyBorder="1"/>
    <xf numFmtId="3" fontId="36" fillId="0" borderId="34" xfId="43" applyNumberFormat="1" applyFont="1" applyFill="1" applyBorder="1"/>
    <xf numFmtId="0" fontId="37" fillId="0" borderId="20" xfId="43" applyFont="1" applyFill="1" applyBorder="1" applyAlignment="1">
      <alignment wrapText="1"/>
    </xf>
    <xf numFmtId="16" fontId="36" fillId="0" borderId="21" xfId="43" applyNumberFormat="1" applyFont="1" applyFill="1" applyBorder="1" applyAlignment="1">
      <alignment wrapText="1"/>
    </xf>
    <xf numFmtId="0" fontId="36" fillId="0" borderId="34" xfId="43" applyFont="1" applyFill="1" applyBorder="1" applyAlignment="1">
      <alignment wrapText="1"/>
    </xf>
    <xf numFmtId="0" fontId="39" fillId="0" borderId="13" xfId="43" applyFont="1" applyFill="1" applyBorder="1"/>
    <xf numFmtId="3" fontId="37" fillId="0" borderId="34" xfId="43" applyNumberFormat="1" applyFont="1" applyFill="1" applyBorder="1" applyAlignment="1">
      <alignment wrapText="1"/>
    </xf>
    <xf numFmtId="0" fontId="36" fillId="0" borderId="84" xfId="43" applyFont="1" applyFill="1" applyBorder="1" applyAlignment="1">
      <alignment horizontal="center" wrapText="1"/>
    </xf>
    <xf numFmtId="0" fontId="38" fillId="0" borderId="11" xfId="43" applyFont="1" applyFill="1" applyBorder="1"/>
    <xf numFmtId="3" fontId="38" fillId="0" borderId="34" xfId="43" applyNumberFormat="1" applyFont="1" applyFill="1" applyBorder="1" applyAlignment="1">
      <alignment horizontal="right"/>
    </xf>
    <xf numFmtId="3" fontId="36" fillId="0" borderId="34" xfId="43" applyNumberFormat="1" applyFont="1" applyFill="1" applyBorder="1" applyAlignment="1">
      <alignment wrapText="1"/>
    </xf>
    <xf numFmtId="0" fontId="39" fillId="0" borderId="34" xfId="43" applyFont="1" applyFill="1" applyBorder="1"/>
    <xf numFmtId="3" fontId="36" fillId="0" borderId="0" xfId="0" applyNumberFormat="1" applyFont="1" applyFill="1" applyBorder="1" applyAlignment="1">
      <alignment wrapText="1"/>
    </xf>
    <xf numFmtId="0" fontId="21" fillId="0" borderId="42" xfId="43" applyFont="1" applyFill="1" applyBorder="1"/>
    <xf numFmtId="0" fontId="21" fillId="0" borderId="42" xfId="43" applyFont="1" applyFill="1" applyBorder="1" applyAlignment="1">
      <alignment wrapText="1"/>
    </xf>
    <xf numFmtId="0" fontId="21" fillId="0" borderId="34" xfId="43" applyFont="1" applyFill="1" applyBorder="1"/>
    <xf numFmtId="3" fontId="36" fillId="0" borderId="20" xfId="43" applyNumberFormat="1" applyFont="1" applyFill="1" applyBorder="1" applyAlignment="1">
      <alignment wrapText="1"/>
    </xf>
    <xf numFmtId="3" fontId="38" fillId="0" borderId="85" xfId="43" applyNumberFormat="1" applyFont="1" applyFill="1" applyBorder="1"/>
    <xf numFmtId="0" fontId="27" fillId="0" borderId="0" xfId="43" applyFont="1" applyBorder="1" applyAlignment="1"/>
    <xf numFmtId="0" fontId="30" fillId="0" borderId="0" xfId="43" applyFont="1" applyBorder="1" applyAlignment="1">
      <alignment horizontal="center"/>
    </xf>
    <xf numFmtId="0" fontId="27" fillId="0" borderId="10" xfId="43" applyFont="1" applyBorder="1" applyAlignment="1">
      <alignment horizontal="center" vertical="center" wrapText="1"/>
    </xf>
    <xf numFmtId="0" fontId="75" fillId="0" borderId="0" xfId="0" applyFont="1" applyAlignment="1">
      <alignment wrapText="1"/>
    </xf>
    <xf numFmtId="0" fontId="75" fillId="0" borderId="0" xfId="0" applyFont="1"/>
    <xf numFmtId="0" fontId="75" fillId="0" borderId="0" xfId="0" applyFont="1" applyFill="1"/>
    <xf numFmtId="0" fontId="76" fillId="0" borderId="0" xfId="0" applyFont="1"/>
    <xf numFmtId="0" fontId="77" fillId="0" borderId="0" xfId="0" applyFont="1" applyAlignment="1">
      <alignment wrapText="1"/>
    </xf>
    <xf numFmtId="0" fontId="77" fillId="0" borderId="0" xfId="0" applyFont="1"/>
    <xf numFmtId="3" fontId="77" fillId="0" borderId="0" xfId="0" applyNumberFormat="1" applyFont="1"/>
    <xf numFmtId="0" fontId="21" fillId="0" borderId="0" xfId="38" applyFont="1" applyFill="1" applyAlignment="1">
      <alignment horizontal="right"/>
    </xf>
    <xf numFmtId="0" fontId="61" fillId="0" borderId="0" xfId="38"/>
    <xf numFmtId="0" fontId="77" fillId="0" borderId="0" xfId="38" applyFont="1" applyFill="1"/>
    <xf numFmtId="0" fontId="61" fillId="0" borderId="0" xfId="38" applyFill="1"/>
    <xf numFmtId="0" fontId="21" fillId="0" borderId="10" xfId="38" applyFont="1" applyFill="1" applyBorder="1" applyAlignment="1">
      <alignment horizontal="center" vertical="center" wrapText="1"/>
    </xf>
    <xf numFmtId="0" fontId="21" fillId="0" borderId="10" xfId="38" applyFont="1" applyFill="1" applyBorder="1"/>
    <xf numFmtId="0" fontId="20" fillId="0" borderId="10" xfId="38" applyFont="1" applyFill="1" applyBorder="1"/>
    <xf numFmtId="0" fontId="77" fillId="0" borderId="0" xfId="38" applyFont="1"/>
    <xf numFmtId="0" fontId="27" fillId="0" borderId="0" xfId="0" applyFont="1" applyFill="1" applyBorder="1" applyAlignment="1">
      <alignment horizontal="right" wrapText="1"/>
    </xf>
    <xf numFmtId="0" fontId="28" fillId="0" borderId="0" xfId="43" applyFont="1" applyBorder="1" applyAlignment="1">
      <alignment horizontal="right"/>
    </xf>
    <xf numFmtId="0" fontId="27" fillId="0" borderId="0" xfId="0" applyFont="1" applyAlignment="1"/>
    <xf numFmtId="0" fontId="34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21" fillId="0" borderId="0" xfId="43" applyFont="1" applyBorder="1"/>
    <xf numFmtId="0" fontId="21" fillId="0" borderId="14" xfId="43" applyFont="1" applyBorder="1"/>
    <xf numFmtId="0" fontId="37" fillId="0" borderId="0" xfId="43" applyFont="1" applyFill="1" applyBorder="1" applyAlignment="1">
      <alignment horizontal="right"/>
    </xf>
    <xf numFmtId="3" fontId="21" fillId="0" borderId="13" xfId="43" applyNumberFormat="1" applyFont="1" applyFill="1" applyBorder="1"/>
    <xf numFmtId="3" fontId="39" fillId="0" borderId="19" xfId="43" applyNumberFormat="1" applyFont="1" applyFill="1" applyBorder="1"/>
    <xf numFmtId="3" fontId="21" fillId="0" borderId="19" xfId="43" applyNumberFormat="1" applyFont="1" applyFill="1" applyBorder="1"/>
    <xf numFmtId="3" fontId="38" fillId="0" borderId="19" xfId="43" applyNumberFormat="1" applyFont="1" applyFill="1" applyBorder="1"/>
    <xf numFmtId="0" fontId="40" fillId="0" borderId="34" xfId="43" applyFont="1" applyFill="1" applyBorder="1" applyAlignment="1"/>
    <xf numFmtId="3" fontId="38" fillId="0" borderId="19" xfId="43" applyNumberFormat="1" applyFont="1" applyFill="1" applyBorder="1" applyAlignment="1">
      <alignment horizontal="right"/>
    </xf>
    <xf numFmtId="3" fontId="38" fillId="0" borderId="99" xfId="43" applyNumberFormat="1" applyFont="1" applyFill="1" applyBorder="1"/>
    <xf numFmtId="0" fontId="27" fillId="0" borderId="0" xfId="0" applyFont="1" applyFill="1" applyAlignment="1"/>
    <xf numFmtId="0" fontId="34" fillId="0" borderId="0" xfId="0" applyFont="1" applyFill="1" applyAlignment="1">
      <alignment horizontal="right"/>
    </xf>
    <xf numFmtId="0" fontId="22" fillId="0" borderId="0" xfId="38" applyFont="1" applyFill="1" applyAlignment="1"/>
    <xf numFmtId="1" fontId="38" fillId="0" borderId="88" xfId="43" applyNumberFormat="1" applyFont="1" applyFill="1" applyBorder="1" applyAlignment="1">
      <alignment horizontal="center"/>
    </xf>
    <xf numFmtId="0" fontId="0" fillId="0" borderId="89" xfId="0" applyFill="1" applyBorder="1" applyAlignment="1">
      <alignment horizontal="center"/>
    </xf>
    <xf numFmtId="0" fontId="0" fillId="0" borderId="90" xfId="0" applyFill="1" applyBorder="1" applyAlignment="1">
      <alignment horizontal="center"/>
    </xf>
    <xf numFmtId="1" fontId="38" fillId="0" borderId="86" xfId="43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87" xfId="0" applyFill="1" applyBorder="1" applyAlignment="1">
      <alignment horizontal="center"/>
    </xf>
    <xf numFmtId="0" fontId="38" fillId="0" borderId="33" xfId="43" applyFont="1" applyFill="1" applyBorder="1" applyAlignment="1"/>
    <xf numFmtId="0" fontId="0" fillId="0" borderId="34" xfId="0" applyFill="1" applyBorder="1" applyAlignment="1"/>
    <xf numFmtId="0" fontId="0" fillId="0" borderId="37" xfId="0" applyFill="1" applyBorder="1" applyAlignment="1"/>
    <xf numFmtId="0" fontId="30" fillId="0" borderId="0" xfId="43" applyFont="1" applyBorder="1" applyAlignment="1">
      <alignment horizontal="center" wrapText="1"/>
    </xf>
    <xf numFmtId="0" fontId="27" fillId="0" borderId="42" xfId="43" applyFont="1" applyFill="1" applyBorder="1" applyAlignment="1">
      <alignment horizontal="center" vertical="center" wrapText="1"/>
    </xf>
    <xf numFmtId="0" fontId="27" fillId="0" borderId="13" xfId="43" applyFont="1" applyFill="1" applyBorder="1" applyAlignment="1">
      <alignment horizontal="center" vertical="center" wrapText="1"/>
    </xf>
    <xf numFmtId="0" fontId="29" fillId="0" borderId="42" xfId="43" applyFont="1" applyFill="1" applyBorder="1" applyAlignment="1">
      <alignment horizontal="center" vertical="center" wrapText="1"/>
    </xf>
    <xf numFmtId="0" fontId="29" fillId="0" borderId="13" xfId="43" applyFont="1" applyFill="1" applyBorder="1" applyAlignment="1">
      <alignment horizontal="center" vertical="center" wrapText="1"/>
    </xf>
    <xf numFmtId="0" fontId="28" fillId="0" borderId="0" xfId="43" applyFont="1" applyBorder="1" applyAlignment="1">
      <alignment horizontal="right"/>
    </xf>
    <xf numFmtId="0" fontId="74" fillId="0" borderId="0" xfId="0" applyFont="1" applyAlignment="1"/>
    <xf numFmtId="0" fontId="0" fillId="0" borderId="0" xfId="0" applyAlignment="1"/>
    <xf numFmtId="0" fontId="21" fillId="0" borderId="0" xfId="38" applyFont="1" applyFill="1" applyAlignment="1">
      <alignment horizontal="right"/>
    </xf>
    <xf numFmtId="0" fontId="21" fillId="0" borderId="0" xfId="44" applyFont="1" applyFill="1" applyAlignment="1">
      <alignment horizontal="center"/>
    </xf>
    <xf numFmtId="0" fontId="21" fillId="0" borderId="10" xfId="45" applyFont="1" applyFill="1" applyBorder="1" applyAlignment="1">
      <alignment horizontal="center"/>
    </xf>
    <xf numFmtId="0" fontId="20" fillId="0" borderId="10" xfId="45" applyFont="1" applyFill="1" applyBorder="1" applyAlignment="1">
      <alignment horizontal="center"/>
    </xf>
    <xf numFmtId="0" fontId="41" fillId="0" borderId="0" xfId="39" applyFont="1" applyAlignment="1">
      <alignment horizontal="center" wrapText="1"/>
    </xf>
    <xf numFmtId="0" fontId="75" fillId="0" borderId="0" xfId="0" applyFont="1" applyAlignment="1">
      <alignment horizontal="center" wrapText="1"/>
    </xf>
    <xf numFmtId="0" fontId="41" fillId="0" borderId="0" xfId="39" applyFont="1" applyAlignment="1">
      <alignment horizontal="center" vertical="center" wrapText="1"/>
    </xf>
    <xf numFmtId="0" fontId="75" fillId="0" borderId="0" xfId="0" applyFont="1" applyAlignment="1"/>
    <xf numFmtId="0" fontId="52" fillId="0" borderId="0" xfId="0" applyFont="1" applyAlignment="1">
      <alignment horizontal="center"/>
    </xf>
    <xf numFmtId="0" fontId="60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51" fillId="0" borderId="0" xfId="47" applyFont="1" applyAlignment="1">
      <alignment horizontal="right"/>
    </xf>
    <xf numFmtId="0" fontId="51" fillId="0" borderId="10" xfId="47" applyFont="1" applyFill="1" applyBorder="1" applyAlignment="1">
      <alignment vertical="center"/>
    </xf>
    <xf numFmtId="0" fontId="51" fillId="0" borderId="10" xfId="47" applyFont="1" applyFill="1" applyBorder="1" applyAlignment="1">
      <alignment vertical="center" wrapText="1"/>
    </xf>
    <xf numFmtId="0" fontId="51" fillId="0" borderId="10" xfId="47" applyFont="1" applyFill="1" applyBorder="1" applyAlignment="1">
      <alignment horizontal="center" vertical="center"/>
    </xf>
    <xf numFmtId="49" fontId="51" fillId="0" borderId="10" xfId="47" applyNumberFormat="1" applyFont="1" applyFill="1" applyBorder="1" applyAlignment="1">
      <alignment horizontal="center" vertical="center"/>
    </xf>
    <xf numFmtId="0" fontId="60" fillId="0" borderId="0" xfId="47" applyFont="1" applyAlignment="1">
      <alignment horizontal="center"/>
    </xf>
    <xf numFmtId="3" fontId="51" fillId="0" borderId="10" xfId="47" applyNumberFormat="1" applyFont="1" applyFill="1" applyBorder="1" applyAlignment="1">
      <alignment vertical="center"/>
    </xf>
    <xf numFmtId="3" fontId="27" fillId="0" borderId="10" xfId="42" applyNumberFormat="1" applyFont="1" applyFill="1" applyBorder="1" applyAlignment="1">
      <alignment vertical="center"/>
    </xf>
    <xf numFmtId="0" fontId="63" fillId="0" borderId="71" xfId="0" applyFont="1" applyFill="1" applyBorder="1" applyAlignment="1"/>
    <xf numFmtId="0" fontId="63" fillId="0" borderId="27" xfId="0" applyFont="1" applyFill="1" applyBorder="1" applyAlignment="1"/>
    <xf numFmtId="41" fontId="27" fillId="0" borderId="57" xfId="47" applyNumberFormat="1" applyFont="1" applyFill="1" applyBorder="1" applyAlignment="1">
      <alignment horizontal="right" wrapText="1"/>
    </xf>
    <xf numFmtId="0" fontId="1" fillId="0" borderId="71" xfId="0" applyFont="1" applyBorder="1" applyAlignment="1">
      <alignment horizontal="right" wrapText="1"/>
    </xf>
    <xf numFmtId="0" fontId="1" fillId="0" borderId="27" xfId="0" applyFont="1" applyBorder="1" applyAlignment="1">
      <alignment horizontal="right" wrapText="1"/>
    </xf>
    <xf numFmtId="3" fontId="27" fillId="0" borderId="40" xfId="47" applyNumberFormat="1" applyFont="1" applyFill="1" applyBorder="1" applyAlignment="1">
      <alignment horizontal="right" wrapText="1"/>
    </xf>
    <xf numFmtId="3" fontId="27" fillId="0" borderId="12" xfId="47" applyNumberFormat="1" applyFont="1" applyFill="1" applyBorder="1" applyAlignment="1">
      <alignment horizontal="right" wrapText="1"/>
    </xf>
    <xf numFmtId="41" fontId="27" fillId="0" borderId="40" xfId="47" applyNumberFormat="1" applyFont="1" applyFill="1" applyBorder="1" applyAlignment="1">
      <alignment horizontal="right" wrapText="1"/>
    </xf>
    <xf numFmtId="0" fontId="1" fillId="0" borderId="12" xfId="0" applyFont="1" applyFill="1" applyBorder="1" applyAlignment="1">
      <alignment horizontal="right" wrapText="1"/>
    </xf>
    <xf numFmtId="3" fontId="27" fillId="0" borderId="57" xfId="47" applyNumberFormat="1" applyFont="1" applyFill="1" applyBorder="1" applyAlignment="1"/>
    <xf numFmtId="0" fontId="1" fillId="0" borderId="27" xfId="0" applyFont="1" applyFill="1" applyBorder="1" applyAlignment="1"/>
    <xf numFmtId="3" fontId="27" fillId="0" borderId="46" xfId="47" applyNumberFormat="1" applyFont="1" applyFill="1" applyBorder="1" applyAlignment="1"/>
    <xf numFmtId="0" fontId="1" fillId="0" borderId="71" xfId="0" applyFont="1" applyFill="1" applyBorder="1" applyAlignment="1"/>
    <xf numFmtId="0" fontId="1" fillId="0" borderId="70" xfId="0" applyFont="1" applyFill="1" applyBorder="1" applyAlignment="1">
      <alignment horizontal="right" wrapText="1"/>
    </xf>
    <xf numFmtId="41" fontId="27" fillId="0" borderId="45" xfId="47" applyNumberFormat="1" applyFont="1" applyFill="1" applyBorder="1" applyAlignment="1">
      <alignment horizontal="right" wrapText="1"/>
    </xf>
    <xf numFmtId="41" fontId="27" fillId="0" borderId="70" xfId="47" applyNumberFormat="1" applyFont="1" applyFill="1" applyBorder="1" applyAlignment="1">
      <alignment horizontal="right" wrapText="1"/>
    </xf>
    <xf numFmtId="0" fontId="63" fillId="0" borderId="70" xfId="0" applyFont="1" applyFill="1" applyBorder="1" applyAlignment="1">
      <alignment horizontal="right" wrapText="1"/>
    </xf>
    <xf numFmtId="0" fontId="63" fillId="0" borderId="12" xfId="0" applyFont="1" applyFill="1" applyBorder="1" applyAlignment="1">
      <alignment horizontal="right" wrapText="1"/>
    </xf>
    <xf numFmtId="0" fontId="30" fillId="0" borderId="91" xfId="47" applyFont="1" applyFill="1" applyBorder="1" applyAlignment="1">
      <alignment horizontal="right"/>
    </xf>
    <xf numFmtId="0" fontId="1" fillId="0" borderId="92" xfId="0" applyFont="1" applyFill="1" applyBorder="1" applyAlignment="1">
      <alignment horizontal="right"/>
    </xf>
    <xf numFmtId="0" fontId="1" fillId="0" borderId="93" xfId="0" applyFont="1" applyFill="1" applyBorder="1" applyAlignment="1">
      <alignment horizontal="right"/>
    </xf>
    <xf numFmtId="0" fontId="27" fillId="0" borderId="45" xfId="47" applyFont="1" applyFill="1" applyBorder="1" applyAlignment="1">
      <alignment horizontal="left" wrapText="1"/>
    </xf>
    <xf numFmtId="0" fontId="27" fillId="0" borderId="70" xfId="47" applyFont="1" applyFill="1" applyBorder="1" applyAlignment="1">
      <alignment horizontal="left" wrapText="1"/>
    </xf>
    <xf numFmtId="14" fontId="27" fillId="0" borderId="45" xfId="47" applyNumberFormat="1" applyFont="1" applyFill="1" applyBorder="1" applyAlignment="1">
      <alignment horizontal="center"/>
    </xf>
    <xf numFmtId="14" fontId="27" fillId="0" borderId="70" xfId="47" applyNumberFormat="1" applyFont="1" applyFill="1" applyBorder="1" applyAlignment="1">
      <alignment horizontal="center"/>
    </xf>
    <xf numFmtId="0" fontId="30" fillId="0" borderId="92" xfId="47" applyFont="1" applyFill="1" applyBorder="1" applyAlignment="1">
      <alignment horizontal="right"/>
    </xf>
    <xf numFmtId="0" fontId="30" fillId="0" borderId="93" xfId="47" applyFont="1" applyFill="1" applyBorder="1" applyAlignment="1">
      <alignment horizontal="right"/>
    </xf>
    <xf numFmtId="0" fontId="62" fillId="0" borderId="79" xfId="47" applyFont="1" applyFill="1" applyBorder="1" applyAlignment="1">
      <alignment horizontal="center" vertical="center" textRotation="90" wrapText="1"/>
    </xf>
    <xf numFmtId="0" fontId="1" fillId="0" borderId="79" xfId="0" applyFont="1" applyFill="1" applyBorder="1" applyAlignment="1">
      <alignment horizontal="center" vertical="center" textRotation="90" wrapText="1"/>
    </xf>
    <xf numFmtId="0" fontId="1" fillId="0" borderId="94" xfId="0" applyFont="1" applyFill="1" applyBorder="1" applyAlignment="1">
      <alignment horizontal="center" vertical="center" textRotation="90" wrapText="1"/>
    </xf>
    <xf numFmtId="0" fontId="28" fillId="0" borderId="70" xfId="47" applyFont="1" applyFill="1" applyBorder="1" applyAlignment="1"/>
    <xf numFmtId="0" fontId="1" fillId="0" borderId="70" xfId="0" applyFont="1" applyFill="1" applyBorder="1" applyAlignment="1"/>
    <xf numFmtId="0" fontId="1" fillId="0" borderId="82" xfId="0" applyFont="1" applyFill="1" applyBorder="1" applyAlignment="1"/>
    <xf numFmtId="0" fontId="62" fillId="0" borderId="77" xfId="47" applyFont="1" applyFill="1" applyBorder="1" applyAlignment="1">
      <alignment horizontal="center" vertical="center" textRotation="90" wrapText="1"/>
    </xf>
    <xf numFmtId="0" fontId="62" fillId="0" borderId="94" xfId="47" applyFont="1" applyFill="1" applyBorder="1" applyAlignment="1">
      <alignment horizontal="center" vertical="center" textRotation="90" wrapText="1"/>
    </xf>
    <xf numFmtId="0" fontId="28" fillId="0" borderId="40" xfId="47" applyFont="1" applyFill="1" applyBorder="1" applyAlignment="1"/>
    <xf numFmtId="0" fontId="1" fillId="0" borderId="79" xfId="0" applyFont="1" applyFill="1" applyBorder="1" applyAlignment="1">
      <alignment horizontal="center" vertical="center" wrapText="1"/>
    </xf>
    <xf numFmtId="0" fontId="1" fillId="0" borderId="94" xfId="0" applyFont="1" applyFill="1" applyBorder="1" applyAlignment="1">
      <alignment horizontal="center" vertical="center" wrapText="1"/>
    </xf>
    <xf numFmtId="0" fontId="28" fillId="0" borderId="78" xfId="47" applyFont="1" applyFill="1" applyBorder="1" applyAlignment="1"/>
    <xf numFmtId="0" fontId="1" fillId="0" borderId="95" xfId="0" applyFont="1" applyFill="1" applyBorder="1" applyAlignment="1"/>
    <xf numFmtId="0" fontId="28" fillId="0" borderId="80" xfId="47" applyFont="1" applyFill="1" applyBorder="1" applyAlignment="1"/>
    <xf numFmtId="0" fontId="27" fillId="0" borderId="40" xfId="47" applyFont="1" applyFill="1" applyBorder="1" applyAlignment="1">
      <alignment horizontal="left"/>
    </xf>
    <xf numFmtId="0" fontId="1" fillId="0" borderId="7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27" fillId="0" borderId="92" xfId="0" applyFont="1" applyFill="1" applyBorder="1" applyAlignment="1">
      <alignment horizontal="right"/>
    </xf>
    <xf numFmtId="0" fontId="27" fillId="0" borderId="93" xfId="0" applyFont="1" applyFill="1" applyBorder="1" applyAlignment="1">
      <alignment horizontal="right"/>
    </xf>
    <xf numFmtId="0" fontId="27" fillId="0" borderId="40" xfId="47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49" fontId="27" fillId="0" borderId="40" xfId="47" applyNumberFormat="1" applyFont="1" applyFill="1" applyBorder="1" applyAlignment="1">
      <alignment wrapText="1"/>
    </xf>
    <xf numFmtId="14" fontId="27" fillId="0" borderId="40" xfId="47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70" xfId="0" applyFont="1" applyFill="1" applyBorder="1"/>
    <xf numFmtId="0" fontId="1" fillId="0" borderId="70" xfId="0" applyFont="1" applyFill="1" applyBorder="1" applyAlignment="1">
      <alignment horizontal="center"/>
    </xf>
    <xf numFmtId="0" fontId="63" fillId="0" borderId="70" xfId="0" applyFont="1" applyFill="1" applyBorder="1" applyAlignment="1">
      <alignment horizontal="center"/>
    </xf>
    <xf numFmtId="0" fontId="63" fillId="0" borderId="12" xfId="0" applyFont="1" applyFill="1" applyBorder="1" applyAlignment="1">
      <alignment horizontal="center"/>
    </xf>
    <xf numFmtId="0" fontId="28" fillId="0" borderId="40" xfId="47" applyFont="1" applyFill="1" applyBorder="1" applyAlignment="1">
      <alignment horizontal="right"/>
    </xf>
    <xf numFmtId="0" fontId="35" fillId="0" borderId="82" xfId="0" applyFont="1" applyFill="1" applyBorder="1" applyAlignment="1">
      <alignment horizontal="right"/>
    </xf>
    <xf numFmtId="0" fontId="28" fillId="0" borderId="40" xfId="0" applyFont="1" applyFill="1" applyBorder="1" applyAlignment="1"/>
    <xf numFmtId="0" fontId="28" fillId="0" borderId="82" xfId="0" applyFont="1" applyFill="1" applyBorder="1" applyAlignment="1"/>
    <xf numFmtId="0" fontId="27" fillId="0" borderId="77" xfId="47" applyFont="1" applyFill="1" applyBorder="1" applyAlignment="1">
      <alignment horizontal="center" vertical="center" textRotation="90" wrapText="1"/>
    </xf>
    <xf numFmtId="0" fontId="27" fillId="0" borderId="79" xfId="47" applyFont="1" applyFill="1" applyBorder="1" applyAlignment="1">
      <alignment horizontal="center" vertical="center" textRotation="90" wrapText="1"/>
    </xf>
    <xf numFmtId="0" fontId="28" fillId="0" borderId="40" xfId="47" applyFont="1" applyFill="1" applyBorder="1" applyAlignment="1">
      <alignment horizontal="center" wrapText="1"/>
    </xf>
    <xf numFmtId="0" fontId="28" fillId="0" borderId="70" xfId="47" applyFont="1" applyFill="1" applyBorder="1" applyAlignment="1">
      <alignment horizontal="center" wrapText="1"/>
    </xf>
    <xf numFmtId="0" fontId="1" fillId="0" borderId="82" xfId="0" applyFont="1" applyFill="1" applyBorder="1" applyAlignment="1">
      <alignment horizontal="center" wrapText="1"/>
    </xf>
    <xf numFmtId="3" fontId="27" fillId="0" borderId="27" xfId="47" applyNumberFormat="1" applyFont="1" applyFill="1" applyBorder="1" applyAlignment="1"/>
    <xf numFmtId="0" fontId="1" fillId="0" borderId="80" xfId="0" applyFont="1" applyFill="1" applyBorder="1" applyAlignment="1"/>
    <xf numFmtId="0" fontId="28" fillId="0" borderId="78" xfId="0" applyFont="1" applyFill="1" applyBorder="1" applyAlignment="1">
      <alignment horizontal="right"/>
    </xf>
    <xf numFmtId="0" fontId="28" fillId="0" borderId="80" xfId="0" applyFont="1" applyFill="1" applyBorder="1" applyAlignment="1">
      <alignment horizontal="right"/>
    </xf>
    <xf numFmtId="0" fontId="1" fillId="0" borderId="70" xfId="0" applyFont="1" applyBorder="1" applyAlignment="1">
      <alignment horizontal="right" wrapText="1"/>
    </xf>
    <xf numFmtId="0" fontId="1" fillId="0" borderId="12" xfId="0" applyFont="1" applyBorder="1" applyAlignment="1">
      <alignment horizontal="right" wrapText="1"/>
    </xf>
    <xf numFmtId="0" fontId="30" fillId="0" borderId="40" xfId="47" applyNumberFormat="1" applyFont="1" applyFill="1" applyBorder="1" applyAlignment="1">
      <alignment horizontal="center" vertical="center" wrapText="1"/>
    </xf>
    <xf numFmtId="0" fontId="30" fillId="0" borderId="82" xfId="47" applyNumberFormat="1" applyFont="1" applyFill="1" applyBorder="1" applyAlignment="1">
      <alignment horizontal="center" vertical="center" wrapText="1"/>
    </xf>
    <xf numFmtId="0" fontId="30" fillId="0" borderId="57" xfId="47" applyNumberFormat="1" applyFont="1" applyFill="1" applyBorder="1" applyAlignment="1">
      <alignment horizontal="center" vertical="center" wrapText="1"/>
    </xf>
    <xf numFmtId="0" fontId="30" fillId="0" borderId="96" xfId="47" applyNumberFormat="1" applyFont="1" applyFill="1" applyBorder="1" applyAlignment="1">
      <alignment horizontal="center" vertical="center" wrapText="1"/>
    </xf>
    <xf numFmtId="0" fontId="30" fillId="0" borderId="88" xfId="47" applyFont="1" applyFill="1" applyBorder="1" applyAlignment="1">
      <alignment horizontal="center" wrapText="1"/>
    </xf>
    <xf numFmtId="0" fontId="30" fillId="0" borderId="97" xfId="47" applyFont="1" applyFill="1" applyBorder="1" applyAlignment="1">
      <alignment horizontal="center" wrapText="1"/>
    </xf>
    <xf numFmtId="0" fontId="30" fillId="0" borderId="40" xfId="47" applyFont="1" applyFill="1" applyBorder="1" applyAlignment="1">
      <alignment horizontal="center" vertical="center" wrapText="1"/>
    </xf>
    <xf numFmtId="0" fontId="30" fillId="0" borderId="82" xfId="47" applyFont="1" applyFill="1" applyBorder="1" applyAlignment="1">
      <alignment horizontal="center" vertical="center" wrapText="1"/>
    </xf>
    <xf numFmtId="49" fontId="30" fillId="0" borderId="40" xfId="47" applyNumberFormat="1" applyFont="1" applyFill="1" applyBorder="1" applyAlignment="1">
      <alignment horizontal="center" vertical="center" wrapText="1"/>
    </xf>
    <xf numFmtId="49" fontId="30" fillId="0" borderId="82" xfId="47" applyNumberFormat="1" applyFont="1" applyFill="1" applyBorder="1" applyAlignment="1">
      <alignment horizontal="center" vertical="center" wrapText="1"/>
    </xf>
    <xf numFmtId="0" fontId="30" fillId="0" borderId="40" xfId="47" applyFont="1" applyFill="1" applyBorder="1" applyAlignment="1">
      <alignment horizontal="center" wrapText="1"/>
    </xf>
    <xf numFmtId="0" fontId="30" fillId="0" borderId="82" xfId="47" applyFont="1" applyFill="1" applyBorder="1" applyAlignment="1">
      <alignment horizontal="center" wrapText="1"/>
    </xf>
    <xf numFmtId="0" fontId="35" fillId="0" borderId="95" xfId="0" applyFont="1" applyFill="1" applyBorder="1" applyAlignment="1"/>
    <xf numFmtId="0" fontId="28" fillId="0" borderId="78" xfId="0" applyFont="1" applyFill="1" applyBorder="1" applyAlignment="1"/>
    <xf numFmtId="0" fontId="28" fillId="0" borderId="80" xfId="0" applyFont="1" applyFill="1" applyBorder="1" applyAlignment="1"/>
    <xf numFmtId="0" fontId="27" fillId="0" borderId="77" xfId="0" applyFont="1" applyFill="1" applyBorder="1" applyAlignment="1">
      <alignment horizontal="center" vertical="center" textRotation="90" wrapText="1"/>
    </xf>
    <xf numFmtId="0" fontId="27" fillId="0" borderId="79" xfId="0" applyFont="1" applyFill="1" applyBorder="1" applyAlignment="1">
      <alignment horizontal="center" vertical="center" textRotation="90" wrapText="1"/>
    </xf>
    <xf numFmtId="0" fontId="27" fillId="0" borderId="94" xfId="0" applyFont="1" applyFill="1" applyBorder="1" applyAlignment="1">
      <alignment horizontal="center" vertical="center" textRotation="90" wrapText="1"/>
    </xf>
    <xf numFmtId="0" fontId="64" fillId="0" borderId="77" xfId="47" applyFont="1" applyFill="1" applyBorder="1" applyAlignment="1">
      <alignment horizontal="center" vertical="center" textRotation="90" wrapText="1"/>
    </xf>
    <xf numFmtId="0" fontId="62" fillId="0" borderId="77" xfId="0" applyFont="1" applyFill="1" applyBorder="1" applyAlignment="1">
      <alignment horizontal="center" vertical="center" textRotation="90" wrapText="1"/>
    </xf>
    <xf numFmtId="0" fontId="0" fillId="0" borderId="94" xfId="0" applyBorder="1" applyAlignment="1">
      <alignment horizontal="center" vertical="center" textRotation="90" wrapText="1"/>
    </xf>
    <xf numFmtId="0" fontId="30" fillId="0" borderId="88" xfId="47" applyFont="1" applyFill="1" applyBorder="1" applyAlignment="1">
      <alignment horizontal="right"/>
    </xf>
    <xf numFmtId="0" fontId="30" fillId="0" borderId="89" xfId="47" applyFont="1" applyFill="1" applyBorder="1" applyAlignment="1">
      <alignment horizontal="right"/>
    </xf>
    <xf numFmtId="0" fontId="30" fillId="0" borderId="97" xfId="47" applyFont="1" applyFill="1" applyBorder="1" applyAlignment="1">
      <alignment horizontal="right"/>
    </xf>
    <xf numFmtId="0" fontId="0" fillId="0" borderId="70" xfId="0" applyBorder="1" applyAlignment="1"/>
    <xf numFmtId="0" fontId="0" fillId="0" borderId="82" xfId="0" applyBorder="1" applyAlignment="1"/>
    <xf numFmtId="0" fontId="0" fillId="0" borderId="79" xfId="0" applyBorder="1" applyAlignment="1">
      <alignment horizontal="center" vertical="center" textRotation="90" wrapText="1"/>
    </xf>
    <xf numFmtId="0" fontId="28" fillId="0" borderId="40" xfId="47" applyFont="1" applyFill="1" applyBorder="1" applyAlignment="1">
      <alignment horizontal="center"/>
    </xf>
    <xf numFmtId="0" fontId="27" fillId="0" borderId="12" xfId="47" applyFont="1" applyFill="1" applyBorder="1" applyAlignment="1">
      <alignment horizontal="left"/>
    </xf>
    <xf numFmtId="0" fontId="63" fillId="0" borderId="70" xfId="0" applyFont="1" applyFill="1" applyBorder="1" applyAlignment="1">
      <alignment wrapText="1"/>
    </xf>
    <xf numFmtId="0" fontId="63" fillId="0" borderId="12" xfId="0" applyFont="1" applyFill="1" applyBorder="1" applyAlignment="1">
      <alignment wrapText="1"/>
    </xf>
    <xf numFmtId="0" fontId="27" fillId="0" borderId="40" xfId="47" applyFont="1" applyFill="1" applyBorder="1" applyAlignment="1">
      <alignment horizontal="left" wrapText="1"/>
    </xf>
    <xf numFmtId="0" fontId="27" fillId="0" borderId="12" xfId="47" applyFont="1" applyFill="1" applyBorder="1" applyAlignment="1">
      <alignment horizontal="left" wrapText="1"/>
    </xf>
    <xf numFmtId="0" fontId="27" fillId="0" borderId="40" xfId="47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7" fillId="0" borderId="45" xfId="47" applyFont="1" applyFill="1" applyBorder="1" applyAlignment="1">
      <alignment wrapText="1"/>
    </xf>
    <xf numFmtId="0" fontId="1" fillId="0" borderId="70" xfId="0" applyFont="1" applyFill="1" applyBorder="1" applyAlignment="1">
      <alignment wrapText="1"/>
    </xf>
    <xf numFmtId="0" fontId="27" fillId="0" borderId="40" xfId="0" applyFont="1" applyFill="1" applyBorder="1" applyAlignment="1">
      <alignment wrapText="1"/>
    </xf>
    <xf numFmtId="0" fontId="1" fillId="0" borderId="12" xfId="0" applyFont="1" applyFill="1" applyBorder="1" applyAlignment="1"/>
    <xf numFmtId="49" fontId="27" fillId="0" borderId="40" xfId="0" applyNumberFormat="1" applyFont="1" applyFill="1" applyBorder="1" applyAlignment="1">
      <alignment wrapText="1"/>
    </xf>
    <xf numFmtId="14" fontId="27" fillId="0" borderId="40" xfId="0" applyNumberFormat="1" applyFont="1" applyFill="1" applyBorder="1" applyAlignment="1">
      <alignment horizontal="center"/>
    </xf>
    <xf numFmtId="0" fontId="1" fillId="0" borderId="70" xfId="0" applyFont="1" applyFill="1" applyBorder="1" applyAlignment="1">
      <alignment horizontal="left" wrapText="1"/>
    </xf>
    <xf numFmtId="14" fontId="27" fillId="0" borderId="12" xfId="47" applyNumberFormat="1" applyFont="1" applyFill="1" applyBorder="1" applyAlignment="1">
      <alignment horizontal="center"/>
    </xf>
    <xf numFmtId="0" fontId="28" fillId="0" borderId="78" xfId="47" applyFont="1" applyFill="1" applyBorder="1" applyAlignment="1">
      <alignment horizontal="right"/>
    </xf>
    <xf numFmtId="0" fontId="1" fillId="0" borderId="95" xfId="0" applyFont="1" applyFill="1" applyBorder="1" applyAlignment="1">
      <alignment horizontal="right"/>
    </xf>
    <xf numFmtId="0" fontId="27" fillId="0" borderId="94" xfId="47" applyFont="1" applyFill="1" applyBorder="1" applyAlignment="1">
      <alignment horizontal="center" vertical="center" textRotation="90" wrapText="1"/>
    </xf>
    <xf numFmtId="0" fontId="30" fillId="0" borderId="75" xfId="47" applyFont="1" applyFill="1" applyBorder="1" applyAlignment="1">
      <alignment horizontal="right"/>
    </xf>
    <xf numFmtId="0" fontId="27" fillId="0" borderId="75" xfId="0" applyFont="1" applyFill="1" applyBorder="1" applyAlignment="1">
      <alignment horizontal="right"/>
    </xf>
    <xf numFmtId="0" fontId="27" fillId="0" borderId="16" xfId="47" applyFont="1" applyFill="1" applyBorder="1" applyAlignment="1">
      <alignment horizontal="center" vertical="center" textRotation="90" wrapText="1"/>
    </xf>
    <xf numFmtId="0" fontId="27" fillId="0" borderId="22" xfId="47" applyFont="1" applyFill="1" applyBorder="1" applyAlignment="1">
      <alignment horizontal="center" vertical="center" textRotation="90" wrapText="1"/>
    </xf>
    <xf numFmtId="0" fontId="28" fillId="0" borderId="39" xfId="0" applyFont="1" applyFill="1" applyBorder="1" applyAlignment="1">
      <alignment horizontal="right"/>
    </xf>
    <xf numFmtId="0" fontId="28" fillId="0" borderId="24" xfId="0" applyFont="1" applyFill="1" applyBorder="1" applyAlignment="1">
      <alignment horizontal="right"/>
    </xf>
    <xf numFmtId="0" fontId="30" fillId="0" borderId="98" xfId="47" applyFont="1" applyBorder="1" applyAlignment="1">
      <alignment horizontal="right"/>
    </xf>
    <xf numFmtId="0" fontId="30" fillId="0" borderId="99" xfId="47" applyFont="1" applyBorder="1" applyAlignment="1">
      <alignment horizontal="right"/>
    </xf>
    <xf numFmtId="0" fontId="62" fillId="0" borderId="77" xfId="47" applyFont="1" applyBorder="1" applyAlignment="1">
      <alignment horizontal="center" vertical="center" textRotation="90" wrapText="1"/>
    </xf>
    <xf numFmtId="0" fontId="62" fillId="0" borderId="79" xfId="47" applyFont="1" applyBorder="1" applyAlignment="1">
      <alignment horizontal="center" vertical="center" textRotation="90" wrapText="1"/>
    </xf>
    <xf numFmtId="0" fontId="62" fillId="0" borderId="94" xfId="47" applyFont="1" applyBorder="1" applyAlignment="1">
      <alignment horizontal="center" vertical="center" textRotation="90" wrapText="1"/>
    </xf>
    <xf numFmtId="0" fontId="30" fillId="0" borderId="40" xfId="47" applyNumberFormat="1" applyFont="1" applyBorder="1" applyAlignment="1">
      <alignment horizontal="center" vertical="center" wrapText="1"/>
    </xf>
    <xf numFmtId="0" fontId="30" fillId="0" borderId="82" xfId="47" applyNumberFormat="1" applyFont="1" applyBorder="1" applyAlignment="1">
      <alignment horizontal="center" vertical="center" wrapText="1"/>
    </xf>
    <xf numFmtId="0" fontId="28" fillId="0" borderId="78" xfId="47" applyFont="1" applyBorder="1" applyAlignment="1"/>
    <xf numFmtId="0" fontId="28" fillId="0" borderId="80" xfId="47" applyFont="1" applyBorder="1" applyAlignment="1"/>
    <xf numFmtId="0" fontId="35" fillId="0" borderId="80" xfId="0" applyFont="1" applyBorder="1" applyAlignment="1"/>
    <xf numFmtId="0" fontId="1" fillId="0" borderId="64" xfId="0" applyFont="1" applyBorder="1" applyAlignment="1"/>
    <xf numFmtId="0" fontId="30" fillId="0" borderId="57" xfId="47" applyNumberFormat="1" applyFont="1" applyBorder="1" applyAlignment="1">
      <alignment horizontal="center" vertical="center" wrapText="1"/>
    </xf>
    <xf numFmtId="0" fontId="30" fillId="0" borderId="96" xfId="47" applyNumberFormat="1" applyFont="1" applyBorder="1" applyAlignment="1">
      <alignment horizontal="center" vertical="center" wrapText="1"/>
    </xf>
    <xf numFmtId="0" fontId="30" fillId="0" borderId="88" xfId="47" applyFont="1" applyBorder="1" applyAlignment="1">
      <alignment horizontal="center" wrapText="1"/>
    </xf>
    <xf numFmtId="0" fontId="30" fillId="0" borderId="97" xfId="47" applyFont="1" applyBorder="1" applyAlignment="1">
      <alignment horizontal="center" wrapText="1"/>
    </xf>
    <xf numFmtId="0" fontId="30" fillId="0" borderId="40" xfId="47" applyFont="1" applyBorder="1" applyAlignment="1">
      <alignment horizontal="center" vertical="center" wrapText="1"/>
    </xf>
    <xf numFmtId="0" fontId="30" fillId="0" borderId="82" xfId="47" applyFont="1" applyBorder="1" applyAlignment="1">
      <alignment horizontal="center" vertical="center" wrapText="1"/>
    </xf>
    <xf numFmtId="49" fontId="30" fillId="0" borderId="40" xfId="47" applyNumberFormat="1" applyFont="1" applyBorder="1" applyAlignment="1">
      <alignment horizontal="center" vertical="center" wrapText="1"/>
    </xf>
    <xf numFmtId="49" fontId="30" fillId="0" borderId="82" xfId="47" applyNumberFormat="1" applyFont="1" applyBorder="1" applyAlignment="1">
      <alignment horizontal="center" vertical="center" wrapText="1"/>
    </xf>
    <xf numFmtId="0" fontId="30" fillId="0" borderId="40" xfId="47" applyFont="1" applyBorder="1" applyAlignment="1">
      <alignment horizontal="center" wrapText="1"/>
    </xf>
    <xf numFmtId="0" fontId="30" fillId="0" borderId="82" xfId="47" applyFont="1" applyBorder="1" applyAlignment="1">
      <alignment horizontal="center" wrapText="1"/>
    </xf>
    <xf numFmtId="0" fontId="55" fillId="0" borderId="0" xfId="40" applyFont="1" applyAlignment="1">
      <alignment horizontal="center"/>
    </xf>
    <xf numFmtId="3" fontId="55" fillId="0" borderId="0" xfId="40" applyNumberFormat="1" applyFont="1" applyAlignment="1">
      <alignment horizontal="right"/>
    </xf>
    <xf numFmtId="0" fontId="26" fillId="0" borderId="10" xfId="0" applyFont="1" applyBorder="1" applyAlignment="1"/>
    <xf numFmtId="3" fontId="26" fillId="0" borderId="42" xfId="0" applyNumberFormat="1" applyFont="1" applyBorder="1" applyAlignment="1">
      <alignment horizontal="right" wrapText="1"/>
    </xf>
    <xf numFmtId="3" fontId="26" fillId="0" borderId="13" xfId="0" applyNumberFormat="1" applyFont="1" applyBorder="1" applyAlignment="1">
      <alignment horizontal="right" wrapText="1"/>
    </xf>
    <xf numFmtId="3" fontId="26" fillId="0" borderId="42" xfId="0" applyNumberFormat="1" applyFont="1" applyBorder="1" applyAlignment="1"/>
    <xf numFmtId="3" fontId="26" fillId="0" borderId="13" xfId="0" applyNumberFormat="1" applyFont="1" applyBorder="1" applyAlignment="1"/>
    <xf numFmtId="3" fontId="26" fillId="0" borderId="42" xfId="0" applyNumberFormat="1" applyFont="1" applyBorder="1" applyAlignment="1">
      <alignment wrapText="1"/>
    </xf>
    <xf numFmtId="3" fontId="26" fillId="0" borderId="13" xfId="0" applyNumberFormat="1" applyFont="1" applyBorder="1" applyAlignment="1">
      <alignment wrapText="1"/>
    </xf>
    <xf numFmtId="0" fontId="0" fillId="0" borderId="0" xfId="0" applyAlignment="1">
      <alignment horizontal="right"/>
    </xf>
    <xf numFmtId="0" fontId="48" fillId="0" borderId="0" xfId="0" applyFont="1" applyAlignment="1">
      <alignment horizontal="center"/>
    </xf>
    <xf numFmtId="0" fontId="48" fillId="0" borderId="42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48" fillId="0" borderId="10" xfId="0" applyFont="1" applyBorder="1" applyAlignment="1"/>
    <xf numFmtId="0" fontId="52" fillId="0" borderId="0" xfId="46" applyFont="1" applyAlignment="1">
      <alignment horizontal="center"/>
    </xf>
    <xf numFmtId="0" fontId="51" fillId="0" borderId="0" xfId="46" applyFont="1" applyAlignment="1">
      <alignment horizontal="right"/>
    </xf>
    <xf numFmtId="0" fontId="51" fillId="0" borderId="0" xfId="46" applyAlignment="1">
      <alignment horizontal="right"/>
    </xf>
    <xf numFmtId="0" fontId="60" fillId="0" borderId="100" xfId="46" applyFont="1" applyBorder="1"/>
    <xf numFmtId="0" fontId="60" fillId="0" borderId="101" xfId="46" applyFont="1" applyBorder="1"/>
    <xf numFmtId="0" fontId="60" fillId="0" borderId="69" xfId="46" applyFont="1" applyBorder="1"/>
    <xf numFmtId="0" fontId="67" fillId="0" borderId="0" xfId="46" applyFont="1" applyAlignment="1">
      <alignment horizontal="center"/>
    </xf>
    <xf numFmtId="0" fontId="26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0" fontId="34" fillId="0" borderId="0" xfId="0" applyFont="1" applyAlignment="1"/>
    <xf numFmtId="0" fontId="32" fillId="0" borderId="0" xfId="0" applyFont="1" applyAlignment="1"/>
    <xf numFmtId="0" fontId="33" fillId="0" borderId="0" xfId="0" applyFont="1" applyAlignment="1">
      <alignment horizontal="right"/>
    </xf>
    <xf numFmtId="0" fontId="48" fillId="0" borderId="0" xfId="41" applyFont="1" applyBorder="1" applyAlignment="1">
      <alignment horizontal="right"/>
    </xf>
    <xf numFmtId="0" fontId="48" fillId="0" borderId="0" xfId="41" applyFont="1" applyFill="1" applyBorder="1" applyAlignment="1">
      <alignment horizontal="center"/>
    </xf>
    <xf numFmtId="0" fontId="29" fillId="0" borderId="0" xfId="41" applyFont="1" applyBorder="1" applyAlignment="1">
      <alignment horizontal="center"/>
    </xf>
    <xf numFmtId="0" fontId="48" fillId="0" borderId="0" xfId="41" applyFont="1" applyBorder="1" applyAlignment="1">
      <alignment horizontal="center"/>
    </xf>
    <xf numFmtId="0" fontId="29" fillId="0" borderId="0" xfId="41" applyFont="1" applyBorder="1" applyAlignment="1">
      <alignment horizontal="right"/>
    </xf>
  </cellXfs>
  <cellStyles count="55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38"/>
    <cellStyle name="Normál_2005. 4. számú melléklet" xfId="39"/>
    <cellStyle name="Normál_2005. 6.számú melléklet" xfId="40"/>
    <cellStyle name="Normál_2005.11.sz.melléklet_10.sz.mell-2012 évi ktgvetés-12.01.24 Bea" xfId="41"/>
    <cellStyle name="Normál_2006 Zárszámadási rendelet 1,2,3,4,5,6,8,9,10,11,12,13,14,15 sz. mellékletei" xfId="42"/>
    <cellStyle name="Normál_2009. ktv.rendelet" xfId="43"/>
    <cellStyle name="Normál_3. sz. melléklet létszám" xfId="44"/>
    <cellStyle name="Normál_koltsegvetes_melleklet" xfId="45"/>
    <cellStyle name="Normál_költségvetési rendelet 3 4 5 5b 5c 6 9 9a 11 16a 16b mellékletei" xfId="46"/>
    <cellStyle name="Normál_költségvetési rendelet 3,4,5,5b,5c,6,9,9a,11,16a,16b mellékletei-2008-3" xfId="47"/>
    <cellStyle name="Normal_KTRSZJ" xfId="48"/>
    <cellStyle name="Normál_Leltár-2008-I" xfId="49"/>
    <cellStyle name="Összesen" xfId="50" builtinId="25" customBuiltin="1"/>
    <cellStyle name="Rossz" xfId="51" builtinId="27" customBuiltin="1"/>
    <cellStyle name="Semleges" xfId="52" builtinId="28" customBuiltin="1"/>
    <cellStyle name="Számítás" xfId="53" builtinId="22" customBuiltin="1"/>
    <cellStyle name="Százalék" xfId="5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abati/Local%20Settings/Temporary%20Internet%20Files/Content.IE5/YYDIZ5MZ/08._Koltsegvetes_melleklet_1._14.10.29.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 1.sz."/>
      <sheetName val="kiadás 2.sz. "/>
      <sheetName val="2.a Gyermekvilág Óvoda"/>
      <sheetName val="2.b KÖH"/>
      <sheetName val="3. sz. létszám"/>
      <sheetName val="4. melléklet"/>
    </sheetNames>
    <sheetDataSet>
      <sheetData sheetId="0">
        <row r="15">
          <cell r="D15">
            <v>0</v>
          </cell>
          <cell r="H15">
            <v>0</v>
          </cell>
        </row>
        <row r="19">
          <cell r="H19">
            <v>167</v>
          </cell>
        </row>
        <row r="26">
          <cell r="D26">
            <v>6600</v>
          </cell>
          <cell r="H26">
            <v>6600</v>
          </cell>
        </row>
        <row r="30">
          <cell r="H30">
            <v>167</v>
          </cell>
        </row>
        <row r="34">
          <cell r="D34">
            <v>80959</v>
          </cell>
          <cell r="H34">
            <v>80959</v>
          </cell>
        </row>
        <row r="37">
          <cell r="H37">
            <v>398</v>
          </cell>
        </row>
        <row r="42">
          <cell r="D42">
            <v>2000</v>
          </cell>
          <cell r="H42">
            <v>2000</v>
          </cell>
        </row>
        <row r="47">
          <cell r="H47">
            <v>4226</v>
          </cell>
        </row>
        <row r="56">
          <cell r="D56">
            <v>2000</v>
          </cell>
          <cell r="H56">
            <v>2000</v>
          </cell>
        </row>
        <row r="62">
          <cell r="D62">
            <v>20739</v>
          </cell>
          <cell r="H62">
            <v>24907</v>
          </cell>
        </row>
        <row r="71">
          <cell r="D71">
            <v>9000</v>
          </cell>
          <cell r="H71">
            <v>9000</v>
          </cell>
        </row>
        <row r="88">
          <cell r="D88">
            <v>726500</v>
          </cell>
          <cell r="H88">
            <v>679743</v>
          </cell>
        </row>
        <row r="107">
          <cell r="H107">
            <v>352</v>
          </cell>
        </row>
        <row r="108">
          <cell r="H108">
            <v>540</v>
          </cell>
        </row>
        <row r="109">
          <cell r="H109">
            <v>345352</v>
          </cell>
        </row>
        <row r="125">
          <cell r="D125">
            <v>1219688</v>
          </cell>
          <cell r="H125">
            <v>2084584</v>
          </cell>
        </row>
        <row r="132">
          <cell r="D132">
            <v>188445</v>
          </cell>
          <cell r="H132">
            <v>188445</v>
          </cell>
        </row>
        <row r="156">
          <cell r="D156">
            <v>106669</v>
          </cell>
          <cell r="H156">
            <v>133390</v>
          </cell>
        </row>
        <row r="163">
          <cell r="D163">
            <v>149559</v>
          </cell>
          <cell r="H163">
            <v>149559</v>
          </cell>
        </row>
        <row r="170">
          <cell r="H170">
            <v>5930</v>
          </cell>
        </row>
        <row r="178">
          <cell r="D178">
            <v>1417</v>
          </cell>
          <cell r="H178">
            <v>4582</v>
          </cell>
        </row>
        <row r="184">
          <cell r="D184">
            <v>140653</v>
          </cell>
          <cell r="H184">
            <v>140653</v>
          </cell>
        </row>
        <row r="188">
          <cell r="D188">
            <v>198696</v>
          </cell>
          <cell r="H188">
            <v>198696</v>
          </cell>
        </row>
        <row r="205">
          <cell r="D205">
            <v>46259</v>
          </cell>
          <cell r="H205">
            <v>46259</v>
          </cell>
        </row>
        <row r="216">
          <cell r="D216">
            <v>267244</v>
          </cell>
          <cell r="H216">
            <v>267244</v>
          </cell>
        </row>
      </sheetData>
      <sheetData sheetId="1">
        <row r="10">
          <cell r="H10">
            <v>74268</v>
          </cell>
        </row>
        <row r="11">
          <cell r="H11">
            <v>19979</v>
          </cell>
        </row>
        <row r="12">
          <cell r="H12">
            <v>6970</v>
          </cell>
        </row>
        <row r="15">
          <cell r="H15">
            <v>775</v>
          </cell>
        </row>
        <row r="18">
          <cell r="H18">
            <v>2100</v>
          </cell>
        </row>
        <row r="22">
          <cell r="H22">
            <v>156007</v>
          </cell>
        </row>
        <row r="23">
          <cell r="H23">
            <v>41789</v>
          </cell>
        </row>
        <row r="24">
          <cell r="H24">
            <v>28149</v>
          </cell>
        </row>
        <row r="27">
          <cell r="H27">
            <v>650</v>
          </cell>
        </row>
        <row r="32">
          <cell r="H32">
            <v>18146</v>
          </cell>
        </row>
        <row r="36">
          <cell r="H36">
            <v>129737</v>
          </cell>
        </row>
        <row r="37">
          <cell r="H37">
            <v>34776</v>
          </cell>
        </row>
        <row r="38">
          <cell r="H38">
            <v>131941</v>
          </cell>
        </row>
        <row r="44">
          <cell r="H44">
            <v>4290</v>
          </cell>
        </row>
        <row r="47">
          <cell r="H47">
            <v>500</v>
          </cell>
        </row>
        <row r="51">
          <cell r="H51">
            <v>16426</v>
          </cell>
        </row>
        <row r="52">
          <cell r="H52">
            <v>4440</v>
          </cell>
        </row>
        <row r="53">
          <cell r="H53">
            <v>14562</v>
          </cell>
        </row>
        <row r="56">
          <cell r="H56">
            <v>500</v>
          </cell>
        </row>
        <row r="62">
          <cell r="H62">
            <v>201113</v>
          </cell>
        </row>
        <row r="63">
          <cell r="H63">
            <v>53863</v>
          </cell>
        </row>
        <row r="67">
          <cell r="H67">
            <v>85500</v>
          </cell>
        </row>
        <row r="73">
          <cell r="H73">
            <v>12200</v>
          </cell>
        </row>
        <row r="84">
          <cell r="H84">
            <v>53750</v>
          </cell>
        </row>
        <row r="93">
          <cell r="H93">
            <v>13831</v>
          </cell>
        </row>
        <row r="118">
          <cell r="H118">
            <v>8000</v>
          </cell>
        </row>
        <row r="119">
          <cell r="H119">
            <v>3548</v>
          </cell>
        </row>
        <row r="152">
          <cell r="H152">
            <v>700997</v>
          </cell>
        </row>
        <row r="168">
          <cell r="H168">
            <v>191507</v>
          </cell>
        </row>
        <row r="178">
          <cell r="H178">
            <v>372526</v>
          </cell>
        </row>
        <row r="195">
          <cell r="H195">
            <v>81413</v>
          </cell>
        </row>
        <row r="199">
          <cell r="H199">
            <v>2000</v>
          </cell>
        </row>
        <row r="200">
          <cell r="H200">
            <v>0</v>
          </cell>
        </row>
        <row r="201">
          <cell r="H201">
            <v>0</v>
          </cell>
        </row>
        <row r="202">
          <cell r="H202">
            <v>0</v>
          </cell>
        </row>
        <row r="203">
          <cell r="H203">
            <v>1500</v>
          </cell>
        </row>
        <row r="204">
          <cell r="H204">
            <v>0</v>
          </cell>
        </row>
        <row r="205">
          <cell r="H205">
            <v>0</v>
          </cell>
        </row>
        <row r="207">
          <cell r="H207">
            <v>100</v>
          </cell>
        </row>
        <row r="208">
          <cell r="H208">
            <v>0</v>
          </cell>
        </row>
        <row r="209">
          <cell r="H209">
            <v>126531</v>
          </cell>
        </row>
        <row r="210">
          <cell r="H210">
            <v>35000</v>
          </cell>
        </row>
        <row r="211">
          <cell r="H211">
            <v>0</v>
          </cell>
        </row>
        <row r="244">
          <cell r="H244">
            <v>270841</v>
          </cell>
        </row>
        <row r="280">
          <cell r="H280">
            <v>253651</v>
          </cell>
        </row>
        <row r="294">
          <cell r="H294">
            <v>360136</v>
          </cell>
        </row>
        <row r="299">
          <cell r="H299">
            <v>77797</v>
          </cell>
        </row>
        <row r="300">
          <cell r="H300">
            <v>115436</v>
          </cell>
        </row>
        <row r="301">
          <cell r="H301">
            <v>191684</v>
          </cell>
        </row>
        <row r="302">
          <cell r="H302">
            <v>1475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9"/>
  <sheetViews>
    <sheetView tabSelected="1" view="pageBreakPreview" zoomScale="85" zoomScaleNormal="75" zoomScaleSheetLayoutView="85" workbookViewId="0">
      <pane ySplit="7" topLeftCell="A8" activePane="bottomLeft" state="frozen"/>
      <selection activeCell="C1" sqref="C1"/>
      <selection pane="bottomLeft"/>
    </sheetView>
  </sheetViews>
  <sheetFormatPr defaultRowHeight="16.5"/>
  <cols>
    <col min="1" max="1" width="5.42578125" style="9" customWidth="1"/>
    <col min="2" max="2" width="7.28515625" style="10" customWidth="1"/>
    <col min="3" max="3" width="60.5703125" style="44" customWidth="1"/>
    <col min="4" max="4" width="9.28515625" style="44" customWidth="1"/>
    <col min="5" max="5" width="8.85546875" style="44" customWidth="1"/>
    <col min="6" max="6" width="12.140625" style="44" bestFit="1" customWidth="1"/>
    <col min="7" max="7" width="8.7109375" style="44" customWidth="1"/>
    <col min="8" max="8" width="11.42578125" style="11" bestFit="1" customWidth="1"/>
    <col min="9" max="9" width="11.85546875" style="11" bestFit="1" customWidth="1"/>
    <col min="10" max="10" width="9.140625" style="11"/>
    <col min="11" max="12" width="9.140625" style="11" customWidth="1"/>
    <col min="13" max="16384" width="9.140625" style="11"/>
  </cols>
  <sheetData>
    <row r="1" spans="1:12" s="8" customFormat="1">
      <c r="A1" s="664"/>
      <c r="B1" s="666"/>
      <c r="C1" s="666"/>
      <c r="D1" s="666"/>
      <c r="E1" s="666"/>
      <c r="F1" s="712"/>
      <c r="G1" s="712"/>
      <c r="H1" s="717"/>
      <c r="I1" s="717"/>
      <c r="J1" s="717"/>
      <c r="K1" s="663" t="s">
        <v>114</v>
      </c>
      <c r="L1" s="718"/>
    </row>
    <row r="2" spans="1:12">
      <c r="A2" s="664"/>
      <c r="B2" s="666"/>
      <c r="C2" s="666"/>
      <c r="D2" s="666"/>
      <c r="E2" s="666"/>
      <c r="F2" s="31"/>
      <c r="G2" s="31"/>
      <c r="H2" s="717"/>
      <c r="I2" s="717"/>
      <c r="J2" s="717"/>
      <c r="K2" s="719"/>
      <c r="L2" s="668"/>
    </row>
    <row r="3" spans="1:12">
      <c r="A3" s="32"/>
      <c r="B3" s="32"/>
      <c r="C3" s="32" t="s">
        <v>423</v>
      </c>
      <c r="D3" s="32"/>
      <c r="E3" s="32"/>
      <c r="F3" s="32"/>
      <c r="G3" s="32"/>
      <c r="H3" s="717"/>
      <c r="I3" s="717"/>
      <c r="J3" s="717"/>
      <c r="K3" s="717"/>
      <c r="L3" s="668"/>
    </row>
    <row r="4" spans="1:12" ht="17.25" thickBot="1">
      <c r="A4" s="33"/>
      <c r="B4" s="33"/>
      <c r="C4" s="33" t="s">
        <v>594</v>
      </c>
      <c r="D4" s="33"/>
      <c r="E4" s="33"/>
      <c r="F4" s="33"/>
      <c r="G4" s="33"/>
      <c r="H4" s="669"/>
      <c r="I4" s="669"/>
      <c r="J4" s="669"/>
      <c r="K4" s="669"/>
      <c r="L4" s="668"/>
    </row>
    <row r="5" spans="1:12" ht="17.25" thickBot="1">
      <c r="A5" s="34"/>
      <c r="B5" s="35"/>
      <c r="C5" s="36"/>
      <c r="D5" s="730" t="s">
        <v>409</v>
      </c>
      <c r="E5" s="731"/>
      <c r="F5" s="731"/>
      <c r="G5" s="732"/>
      <c r="H5" s="733" t="s">
        <v>21</v>
      </c>
      <c r="I5" s="734"/>
      <c r="J5" s="734"/>
      <c r="K5" s="735"/>
    </row>
    <row r="6" spans="1:12" ht="45.75" thickBot="1">
      <c r="A6" s="66"/>
      <c r="B6" s="102"/>
      <c r="C6" s="103"/>
      <c r="D6" s="104" t="s">
        <v>484</v>
      </c>
      <c r="E6" s="105" t="s">
        <v>562</v>
      </c>
      <c r="F6" s="106" t="s">
        <v>563</v>
      </c>
      <c r="G6" s="107" t="s">
        <v>564</v>
      </c>
      <c r="H6" s="104" t="s">
        <v>484</v>
      </c>
      <c r="I6" s="105" t="s">
        <v>562</v>
      </c>
      <c r="J6" s="106" t="s">
        <v>563</v>
      </c>
      <c r="K6" s="107" t="s">
        <v>564</v>
      </c>
    </row>
    <row r="7" spans="1:12">
      <c r="A7" s="99" t="s">
        <v>424</v>
      </c>
      <c r="B7" s="100" t="s">
        <v>425</v>
      </c>
      <c r="C7" s="101" t="s">
        <v>426</v>
      </c>
      <c r="D7" s="210"/>
      <c r="E7" s="230"/>
      <c r="F7" s="229"/>
      <c r="G7" s="244"/>
      <c r="H7" s="210"/>
      <c r="I7" s="230"/>
      <c r="J7" s="229"/>
      <c r="K7" s="244"/>
    </row>
    <row r="8" spans="1:12" s="12" customFormat="1">
      <c r="A8" s="37"/>
      <c r="B8" s="38"/>
      <c r="C8" s="39"/>
      <c r="D8" s="211"/>
      <c r="E8" s="44"/>
      <c r="F8" s="44"/>
      <c r="G8" s="245"/>
      <c r="H8" s="211"/>
      <c r="I8" s="44"/>
      <c r="J8" s="44"/>
      <c r="K8" s="245"/>
    </row>
    <row r="9" spans="1:12" s="12" customFormat="1">
      <c r="A9" s="40">
        <v>101</v>
      </c>
      <c r="B9" s="38"/>
      <c r="C9" s="42" t="s">
        <v>595</v>
      </c>
      <c r="D9" s="212"/>
      <c r="E9" s="47"/>
      <c r="F9" s="47"/>
      <c r="G9" s="246"/>
      <c r="H9" s="212"/>
      <c r="I9" s="47"/>
      <c r="J9" s="47"/>
      <c r="K9" s="246"/>
    </row>
    <row r="10" spans="1:12" s="12" customFormat="1">
      <c r="A10" s="40"/>
      <c r="B10" s="38" t="s">
        <v>427</v>
      </c>
      <c r="C10" s="39" t="s">
        <v>428</v>
      </c>
      <c r="D10" s="211"/>
      <c r="E10" s="44"/>
      <c r="F10" s="44"/>
      <c r="G10" s="245"/>
      <c r="H10" s="211"/>
      <c r="I10" s="44"/>
      <c r="J10" s="44"/>
      <c r="K10" s="245"/>
    </row>
    <row r="11" spans="1:12" s="12" customFormat="1">
      <c r="A11" s="37"/>
      <c r="B11" s="38"/>
      <c r="C11" s="39" t="s">
        <v>598</v>
      </c>
      <c r="D11" s="211">
        <v>0</v>
      </c>
      <c r="E11" s="44"/>
      <c r="F11" s="44"/>
      <c r="G11" s="245"/>
      <c r="H11" s="211">
        <v>0</v>
      </c>
      <c r="I11" s="44"/>
      <c r="J11" s="44"/>
      <c r="K11" s="245"/>
    </row>
    <row r="12" spans="1:12" s="12" customFormat="1">
      <c r="A12" s="37"/>
      <c r="B12" s="38"/>
      <c r="C12" s="39" t="s">
        <v>566</v>
      </c>
      <c r="D12" s="211">
        <v>0</v>
      </c>
      <c r="E12" s="44"/>
      <c r="F12" s="44"/>
      <c r="G12" s="245"/>
      <c r="H12" s="211">
        <v>0</v>
      </c>
      <c r="I12" s="44"/>
      <c r="J12" s="44"/>
      <c r="K12" s="245"/>
    </row>
    <row r="13" spans="1:12" s="12" customFormat="1">
      <c r="A13" s="37"/>
      <c r="B13" s="38"/>
      <c r="C13" s="39" t="s">
        <v>599</v>
      </c>
      <c r="D13" s="211">
        <v>0</v>
      </c>
      <c r="E13" s="44"/>
      <c r="F13" s="44"/>
      <c r="G13" s="245"/>
      <c r="H13" s="211">
        <v>0</v>
      </c>
      <c r="I13" s="44"/>
      <c r="J13" s="44"/>
      <c r="K13" s="245"/>
    </row>
    <row r="14" spans="1:12" s="12" customFormat="1">
      <c r="A14" s="37"/>
      <c r="B14" s="38"/>
      <c r="C14" s="39" t="s">
        <v>600</v>
      </c>
      <c r="D14" s="211">
        <v>0</v>
      </c>
      <c r="E14" s="44"/>
      <c r="F14" s="44"/>
      <c r="G14" s="245"/>
      <c r="H14" s="211">
        <v>0</v>
      </c>
      <c r="I14" s="44"/>
      <c r="J14" s="44"/>
      <c r="K14" s="245"/>
    </row>
    <row r="15" spans="1:12" s="12" customFormat="1">
      <c r="A15" s="37"/>
      <c r="B15" s="38"/>
      <c r="C15" s="52" t="s">
        <v>485</v>
      </c>
      <c r="D15" s="213">
        <f t="shared" ref="D15:K15" si="0">SUM(D11:D14)</f>
        <v>0</v>
      </c>
      <c r="E15" s="64">
        <f t="shared" si="0"/>
        <v>0</v>
      </c>
      <c r="F15" s="64">
        <f t="shared" si="0"/>
        <v>0</v>
      </c>
      <c r="G15" s="247">
        <f t="shared" si="0"/>
        <v>0</v>
      </c>
      <c r="H15" s="213">
        <f t="shared" si="0"/>
        <v>0</v>
      </c>
      <c r="I15" s="64">
        <f t="shared" si="0"/>
        <v>0</v>
      </c>
      <c r="J15" s="64">
        <f t="shared" si="0"/>
        <v>0</v>
      </c>
      <c r="K15" s="247">
        <f t="shared" si="0"/>
        <v>0</v>
      </c>
    </row>
    <row r="16" spans="1:12" s="12" customFormat="1">
      <c r="A16" s="37"/>
      <c r="B16" s="38" t="s">
        <v>565</v>
      </c>
      <c r="C16" s="39" t="s">
        <v>543</v>
      </c>
      <c r="D16" s="213"/>
      <c r="E16" s="64"/>
      <c r="F16" s="64"/>
      <c r="G16" s="247"/>
      <c r="H16" s="213"/>
      <c r="I16" s="64"/>
      <c r="J16" s="64"/>
      <c r="K16" s="247"/>
    </row>
    <row r="17" spans="1:11" s="12" customFormat="1">
      <c r="A17" s="37"/>
      <c r="B17" s="38"/>
      <c r="C17" s="39" t="s">
        <v>635</v>
      </c>
      <c r="D17" s="213"/>
      <c r="E17" s="64"/>
      <c r="F17" s="64"/>
      <c r="G17" s="247"/>
      <c r="H17" s="213"/>
      <c r="I17" s="64"/>
      <c r="J17" s="64"/>
      <c r="K17" s="247"/>
    </row>
    <row r="18" spans="1:11" s="12" customFormat="1">
      <c r="A18" s="37"/>
      <c r="B18" s="38"/>
      <c r="C18" s="39" t="s">
        <v>22</v>
      </c>
      <c r="D18" s="213"/>
      <c r="E18" s="64"/>
      <c r="F18" s="64"/>
      <c r="G18" s="247"/>
      <c r="H18" s="211">
        <v>167</v>
      </c>
      <c r="I18" s="44">
        <v>167</v>
      </c>
      <c r="J18" s="44"/>
      <c r="K18" s="670"/>
    </row>
    <row r="19" spans="1:11" s="12" customFormat="1">
      <c r="A19" s="37"/>
      <c r="B19" s="38"/>
      <c r="C19" s="52" t="s">
        <v>485</v>
      </c>
      <c r="D19" s="213"/>
      <c r="E19" s="64"/>
      <c r="F19" s="64"/>
      <c r="G19" s="247"/>
      <c r="H19" s="213">
        <f>SUM(H18)</f>
        <v>167</v>
      </c>
      <c r="I19" s="64">
        <f>SUM(I18)</f>
        <v>167</v>
      </c>
      <c r="J19" s="64">
        <f>SUM(J18)</f>
        <v>0</v>
      </c>
      <c r="K19" s="671">
        <f>SUM(K18)</f>
        <v>0</v>
      </c>
    </row>
    <row r="20" spans="1:11" s="12" customFormat="1">
      <c r="A20" s="37"/>
      <c r="B20" s="38"/>
      <c r="C20" s="42" t="s">
        <v>430</v>
      </c>
      <c r="D20" s="212">
        <f>SUM(D15)</f>
        <v>0</v>
      </c>
      <c r="E20" s="47">
        <f>SUM(E15)</f>
        <v>0</v>
      </c>
      <c r="F20" s="47">
        <f>SUM(F15)</f>
        <v>0</v>
      </c>
      <c r="G20" s="246">
        <f>SUM(G15)</f>
        <v>0</v>
      </c>
      <c r="H20" s="212">
        <f>H15+H19</f>
        <v>167</v>
      </c>
      <c r="I20" s="47">
        <f>I15+I19</f>
        <v>167</v>
      </c>
      <c r="J20" s="47">
        <f>J15+J19</f>
        <v>0</v>
      </c>
      <c r="K20" s="672">
        <f>K15+K19</f>
        <v>0</v>
      </c>
    </row>
    <row r="21" spans="1:11" s="28" customFormat="1">
      <c r="A21" s="37"/>
      <c r="B21" s="41"/>
      <c r="C21" s="39"/>
      <c r="D21" s="211"/>
      <c r="E21" s="44"/>
      <c r="F21" s="44"/>
      <c r="G21" s="245"/>
      <c r="H21" s="211"/>
      <c r="I21" s="44"/>
      <c r="J21" s="44"/>
      <c r="K21" s="245"/>
    </row>
    <row r="22" spans="1:11" s="12" customFormat="1">
      <c r="A22" s="40">
        <v>102</v>
      </c>
      <c r="B22" s="38"/>
      <c r="C22" s="42" t="s">
        <v>596</v>
      </c>
      <c r="D22" s="212"/>
      <c r="E22" s="47"/>
      <c r="F22" s="47"/>
      <c r="G22" s="246"/>
      <c r="H22" s="212"/>
      <c r="I22" s="47"/>
      <c r="J22" s="47"/>
      <c r="K22" s="246"/>
    </row>
    <row r="23" spans="1:11" s="12" customFormat="1">
      <c r="A23" s="40"/>
      <c r="B23" s="38" t="s">
        <v>427</v>
      </c>
      <c r="C23" s="39" t="s">
        <v>428</v>
      </c>
      <c r="D23" s="209"/>
      <c r="E23" s="43"/>
      <c r="F23" s="43"/>
      <c r="G23" s="248"/>
      <c r="H23" s="209"/>
      <c r="I23" s="43"/>
      <c r="J23" s="43"/>
      <c r="K23" s="248"/>
    </row>
    <row r="24" spans="1:11" s="12" customFormat="1">
      <c r="A24" s="40"/>
      <c r="B24" s="38"/>
      <c r="C24" s="39" t="s">
        <v>412</v>
      </c>
      <c r="D24" s="209">
        <v>2000</v>
      </c>
      <c r="E24" s="43">
        <v>2000</v>
      </c>
      <c r="F24" s="43"/>
      <c r="G24" s="248"/>
      <c r="H24" s="209">
        <v>2000</v>
      </c>
      <c r="I24" s="43">
        <v>2000</v>
      </c>
      <c r="J24" s="43"/>
      <c r="K24" s="248"/>
    </row>
    <row r="25" spans="1:11" s="12" customFormat="1">
      <c r="A25" s="40"/>
      <c r="B25" s="38"/>
      <c r="C25" s="39" t="s">
        <v>414</v>
      </c>
      <c r="D25" s="209">
        <v>4600</v>
      </c>
      <c r="E25" s="43">
        <v>700</v>
      </c>
      <c r="F25" s="43">
        <v>3900</v>
      </c>
      <c r="G25" s="248"/>
      <c r="H25" s="209">
        <v>4600</v>
      </c>
      <c r="I25" s="43">
        <v>700</v>
      </c>
      <c r="J25" s="43">
        <v>3900</v>
      </c>
      <c r="K25" s="248"/>
    </row>
    <row r="26" spans="1:11" s="12" customFormat="1">
      <c r="A26" s="40"/>
      <c r="B26" s="38"/>
      <c r="C26" s="52" t="s">
        <v>485</v>
      </c>
      <c r="D26" s="149">
        <f t="shared" ref="D26:K26" si="1">SUM(D24:D25)</f>
        <v>6600</v>
      </c>
      <c r="E26" s="54">
        <f t="shared" si="1"/>
        <v>2700</v>
      </c>
      <c r="F26" s="54">
        <f t="shared" si="1"/>
        <v>3900</v>
      </c>
      <c r="G26" s="249">
        <f t="shared" si="1"/>
        <v>0</v>
      </c>
      <c r="H26" s="149">
        <f t="shared" si="1"/>
        <v>6600</v>
      </c>
      <c r="I26" s="54">
        <f t="shared" si="1"/>
        <v>2700</v>
      </c>
      <c r="J26" s="54">
        <f t="shared" si="1"/>
        <v>3900</v>
      </c>
      <c r="K26" s="249">
        <f t="shared" si="1"/>
        <v>0</v>
      </c>
    </row>
    <row r="27" spans="1:11" s="12" customFormat="1">
      <c r="A27" s="40"/>
      <c r="B27" s="38" t="s">
        <v>565</v>
      </c>
      <c r="C27" s="39" t="s">
        <v>543</v>
      </c>
      <c r="D27" s="149"/>
      <c r="E27" s="54"/>
      <c r="F27" s="54"/>
      <c r="G27" s="249"/>
      <c r="H27" s="149"/>
      <c r="I27" s="54"/>
      <c r="J27" s="54"/>
      <c r="K27" s="249"/>
    </row>
    <row r="28" spans="1:11" s="12" customFormat="1">
      <c r="A28" s="40"/>
      <c r="B28" s="38"/>
      <c r="C28" s="39" t="s">
        <v>635</v>
      </c>
      <c r="D28" s="149"/>
      <c r="E28" s="54"/>
      <c r="F28" s="54"/>
      <c r="G28" s="249"/>
      <c r="H28" s="149"/>
      <c r="I28" s="54"/>
      <c r="J28" s="54"/>
      <c r="K28" s="249"/>
    </row>
    <row r="29" spans="1:11" s="12" customFormat="1">
      <c r="A29" s="40"/>
      <c r="B29" s="38"/>
      <c r="C29" s="39" t="s">
        <v>22</v>
      </c>
      <c r="D29" s="149"/>
      <c r="E29" s="54"/>
      <c r="F29" s="54"/>
      <c r="G29" s="249"/>
      <c r="H29" s="211">
        <v>167</v>
      </c>
      <c r="I29" s="44">
        <v>167</v>
      </c>
      <c r="J29" s="44"/>
      <c r="K29" s="670"/>
    </row>
    <row r="30" spans="1:11" s="12" customFormat="1">
      <c r="A30" s="40"/>
      <c r="B30" s="38"/>
      <c r="C30" s="52" t="s">
        <v>485</v>
      </c>
      <c r="D30" s="149"/>
      <c r="E30" s="54"/>
      <c r="F30" s="54"/>
      <c r="G30" s="249"/>
      <c r="H30" s="213">
        <f>SUM(H29)</f>
        <v>167</v>
      </c>
      <c r="I30" s="64">
        <f>SUM(I29)</f>
        <v>167</v>
      </c>
      <c r="J30" s="64">
        <f>SUM(J29)</f>
        <v>0</v>
      </c>
      <c r="K30" s="671">
        <f>SUM(K29)</f>
        <v>0</v>
      </c>
    </row>
    <row r="31" spans="1:11" s="12" customFormat="1">
      <c r="A31" s="37"/>
      <c r="B31" s="38"/>
      <c r="C31" s="42" t="s">
        <v>495</v>
      </c>
      <c r="D31" s="208">
        <f>SUM(D26)</f>
        <v>6600</v>
      </c>
      <c r="E31" s="46">
        <f>SUM(E26)</f>
        <v>2700</v>
      </c>
      <c r="F31" s="46">
        <f>SUM(F26)</f>
        <v>3900</v>
      </c>
      <c r="G31" s="228">
        <f>SUM(G26)</f>
        <v>0</v>
      </c>
      <c r="H31" s="208">
        <f>H26+H30</f>
        <v>6767</v>
      </c>
      <c r="I31" s="46">
        <f>I26+I30</f>
        <v>2867</v>
      </c>
      <c r="J31" s="46">
        <f>J26+J30</f>
        <v>3900</v>
      </c>
      <c r="K31" s="217">
        <f>K26+K30</f>
        <v>0</v>
      </c>
    </row>
    <row r="32" spans="1:11" s="28" customFormat="1">
      <c r="A32" s="40"/>
      <c r="B32" s="41"/>
      <c r="C32" s="39"/>
      <c r="D32" s="211"/>
      <c r="E32" s="44"/>
      <c r="F32" s="44"/>
      <c r="G32" s="245"/>
      <c r="H32" s="211"/>
      <c r="I32" s="44"/>
      <c r="J32" s="44"/>
      <c r="K32" s="245"/>
    </row>
    <row r="33" spans="1:11" s="12" customFormat="1">
      <c r="A33" s="40">
        <v>103</v>
      </c>
      <c r="B33" s="38"/>
      <c r="C33" s="42" t="s">
        <v>602</v>
      </c>
      <c r="D33" s="212"/>
      <c r="E33" s="47"/>
      <c r="F33" s="47"/>
      <c r="G33" s="246"/>
      <c r="H33" s="212"/>
      <c r="I33" s="47"/>
      <c r="J33" s="47"/>
      <c r="K33" s="246"/>
    </row>
    <row r="34" spans="1:11" s="12" customFormat="1">
      <c r="A34" s="40"/>
      <c r="B34" s="38" t="s">
        <v>427</v>
      </c>
      <c r="C34" s="39" t="s">
        <v>428</v>
      </c>
      <c r="D34" s="209">
        <v>80959</v>
      </c>
      <c r="E34" s="43">
        <v>80959</v>
      </c>
      <c r="F34" s="43"/>
      <c r="G34" s="248"/>
      <c r="H34" s="209">
        <v>80959</v>
      </c>
      <c r="I34" s="43">
        <v>80959</v>
      </c>
      <c r="J34" s="43"/>
      <c r="K34" s="248"/>
    </row>
    <row r="35" spans="1:11" s="12" customFormat="1">
      <c r="A35" s="40"/>
      <c r="B35" s="38" t="s">
        <v>565</v>
      </c>
      <c r="C35" s="39" t="s">
        <v>543</v>
      </c>
      <c r="D35" s="209"/>
      <c r="E35" s="43"/>
      <c r="F35" s="43"/>
      <c r="G35" s="248"/>
      <c r="H35" s="209"/>
      <c r="I35" s="43"/>
      <c r="J35" s="43"/>
      <c r="K35" s="248"/>
    </row>
    <row r="36" spans="1:11" s="12" customFormat="1">
      <c r="A36" s="40"/>
      <c r="B36" s="38"/>
      <c r="C36" s="39" t="s">
        <v>635</v>
      </c>
      <c r="D36" s="209"/>
      <c r="E36" s="43"/>
      <c r="F36" s="43"/>
      <c r="G36" s="248"/>
      <c r="H36" s="209"/>
      <c r="I36" s="43"/>
      <c r="J36" s="43"/>
      <c r="K36" s="248"/>
    </row>
    <row r="37" spans="1:11" s="12" customFormat="1">
      <c r="A37" s="40"/>
      <c r="B37" s="38"/>
      <c r="C37" s="39" t="s">
        <v>22</v>
      </c>
      <c r="D37" s="209"/>
      <c r="E37" s="43"/>
      <c r="F37" s="43"/>
      <c r="G37" s="248"/>
      <c r="H37" s="209">
        <v>398</v>
      </c>
      <c r="I37" s="43">
        <v>398</v>
      </c>
      <c r="J37" s="43"/>
      <c r="K37" s="248"/>
    </row>
    <row r="38" spans="1:11" s="12" customFormat="1">
      <c r="A38" s="40"/>
      <c r="B38" s="38"/>
      <c r="C38" s="52" t="s">
        <v>485</v>
      </c>
      <c r="D38" s="149"/>
      <c r="E38" s="54"/>
      <c r="F38" s="54"/>
      <c r="G38" s="249"/>
      <c r="H38" s="149">
        <f>SUM(H37)</f>
        <v>398</v>
      </c>
      <c r="I38" s="54">
        <f>SUM(I37)</f>
        <v>398</v>
      </c>
      <c r="J38" s="54"/>
      <c r="K38" s="249"/>
    </row>
    <row r="39" spans="1:11" s="12" customFormat="1">
      <c r="A39" s="37"/>
      <c r="B39" s="38"/>
      <c r="C39" s="42" t="s">
        <v>446</v>
      </c>
      <c r="D39" s="208">
        <f>SUM(D34)</f>
        <v>80959</v>
      </c>
      <c r="E39" s="46">
        <f>SUM(E34)</f>
        <v>80959</v>
      </c>
      <c r="F39" s="46">
        <f>SUM(F34)</f>
        <v>0</v>
      </c>
      <c r="G39" s="228">
        <f>SUM(G34)</f>
        <v>0</v>
      </c>
      <c r="H39" s="208">
        <f>H34+H38</f>
        <v>81357</v>
      </c>
      <c r="I39" s="46">
        <f>I34+I38</f>
        <v>81357</v>
      </c>
      <c r="J39" s="46">
        <f>SUM(J34)</f>
        <v>0</v>
      </c>
      <c r="K39" s="228">
        <f>SUM(K34)</f>
        <v>0</v>
      </c>
    </row>
    <row r="40" spans="1:11" s="28" customFormat="1">
      <c r="A40" s="37"/>
      <c r="B40" s="41"/>
      <c r="C40" s="39" t="s">
        <v>422</v>
      </c>
      <c r="D40" s="211"/>
      <c r="E40" s="44"/>
      <c r="F40" s="44"/>
      <c r="G40" s="245"/>
      <c r="H40" s="211"/>
      <c r="I40" s="44"/>
      <c r="J40" s="44"/>
      <c r="K40" s="245"/>
    </row>
    <row r="41" spans="1:11" s="12" customFormat="1">
      <c r="A41" s="40">
        <v>104</v>
      </c>
      <c r="B41" s="38"/>
      <c r="C41" s="42" t="s">
        <v>597</v>
      </c>
      <c r="D41" s="212"/>
      <c r="E41" s="47"/>
      <c r="F41" s="47"/>
      <c r="G41" s="246"/>
      <c r="H41" s="212"/>
      <c r="I41" s="47"/>
      <c r="J41" s="47"/>
      <c r="K41" s="246"/>
    </row>
    <row r="42" spans="1:11" s="12" customFormat="1">
      <c r="A42" s="37"/>
      <c r="B42" s="38" t="s">
        <v>427</v>
      </c>
      <c r="C42" s="39" t="s">
        <v>490</v>
      </c>
      <c r="D42" s="209">
        <v>2000</v>
      </c>
      <c r="E42" s="43">
        <v>2000</v>
      </c>
      <c r="F42" s="43"/>
      <c r="G42" s="248"/>
      <c r="H42" s="209">
        <v>2000</v>
      </c>
      <c r="I42" s="43">
        <v>2000</v>
      </c>
      <c r="J42" s="43"/>
      <c r="K42" s="248"/>
    </row>
    <row r="43" spans="1:11" s="12" customFormat="1">
      <c r="A43" s="37"/>
      <c r="B43" s="38" t="s">
        <v>565</v>
      </c>
      <c r="C43" s="39" t="s">
        <v>543</v>
      </c>
      <c r="D43" s="209"/>
      <c r="E43" s="43"/>
      <c r="F43" s="43"/>
      <c r="G43" s="248"/>
      <c r="H43" s="209"/>
      <c r="I43" s="43"/>
      <c r="J43" s="43"/>
      <c r="K43" s="248"/>
    </row>
    <row r="44" spans="1:11" s="12" customFormat="1">
      <c r="A44" s="37"/>
      <c r="B44" s="38"/>
      <c r="C44" s="39" t="s">
        <v>635</v>
      </c>
      <c r="D44" s="209"/>
      <c r="E44" s="43"/>
      <c r="F44" s="43"/>
      <c r="G44" s="248"/>
      <c r="H44" s="209"/>
      <c r="I44" s="43"/>
      <c r="J44" s="43"/>
      <c r="K44" s="248"/>
    </row>
    <row r="45" spans="1:11" s="12" customFormat="1">
      <c r="A45" s="37"/>
      <c r="B45" s="38"/>
      <c r="C45" s="39" t="s">
        <v>22</v>
      </c>
      <c r="D45" s="209"/>
      <c r="E45" s="43"/>
      <c r="F45" s="43"/>
      <c r="G45" s="248"/>
      <c r="H45" s="209">
        <v>818</v>
      </c>
      <c r="I45" s="43">
        <v>818</v>
      </c>
      <c r="J45" s="43"/>
      <c r="K45" s="248"/>
    </row>
    <row r="46" spans="1:11" s="12" customFormat="1">
      <c r="A46" s="37"/>
      <c r="B46" s="38"/>
      <c r="C46" s="39" t="s">
        <v>23</v>
      </c>
      <c r="D46" s="209"/>
      <c r="E46" s="43"/>
      <c r="F46" s="43"/>
      <c r="G46" s="248"/>
      <c r="H46" s="209">
        <v>3408</v>
      </c>
      <c r="I46" s="43">
        <v>3408</v>
      </c>
      <c r="J46" s="43"/>
      <c r="K46" s="248"/>
    </row>
    <row r="47" spans="1:11" s="12" customFormat="1">
      <c r="A47" s="37"/>
      <c r="B47" s="38"/>
      <c r="C47" s="52" t="s">
        <v>485</v>
      </c>
      <c r="D47" s="209"/>
      <c r="E47" s="43"/>
      <c r="F47" s="43"/>
      <c r="G47" s="248"/>
      <c r="H47" s="149">
        <f>SUM(H45:H46)</f>
        <v>4226</v>
      </c>
      <c r="I47" s="54">
        <f>SUM(I45:I46)</f>
        <v>4226</v>
      </c>
      <c r="J47" s="43"/>
      <c r="K47" s="248"/>
    </row>
    <row r="48" spans="1:11" s="12" customFormat="1">
      <c r="A48" s="37"/>
      <c r="B48" s="38"/>
      <c r="C48" s="42" t="s">
        <v>431</v>
      </c>
      <c r="D48" s="208">
        <f>SUM(D42)</f>
        <v>2000</v>
      </c>
      <c r="E48" s="46">
        <f>SUM(E42)</f>
        <v>2000</v>
      </c>
      <c r="F48" s="46">
        <f>SUM(F42)</f>
        <v>0</v>
      </c>
      <c r="G48" s="228">
        <f>SUM(G42)</f>
        <v>0</v>
      </c>
      <c r="H48" s="208">
        <f>H42+H47</f>
        <v>6226</v>
      </c>
      <c r="I48" s="46">
        <f>I42+I47</f>
        <v>6226</v>
      </c>
      <c r="J48" s="46">
        <f>J42+J47</f>
        <v>0</v>
      </c>
      <c r="K48" s="217">
        <f>K42+K47</f>
        <v>0</v>
      </c>
    </row>
    <row r="49" spans="1:11" s="12" customFormat="1" ht="17.25" customHeight="1">
      <c r="A49" s="37"/>
      <c r="B49" s="38"/>
      <c r="C49" s="39"/>
      <c r="D49" s="211"/>
      <c r="E49" s="44"/>
      <c r="F49" s="44"/>
      <c r="G49" s="245"/>
      <c r="H49" s="211"/>
      <c r="I49" s="44"/>
      <c r="J49" s="44"/>
      <c r="K49" s="245"/>
    </row>
    <row r="50" spans="1:11" s="12" customFormat="1" ht="29.25" customHeight="1">
      <c r="A50" s="40"/>
      <c r="B50" s="41"/>
      <c r="C50" s="42" t="s">
        <v>601</v>
      </c>
      <c r="D50" s="208">
        <f t="shared" ref="D50:K50" si="2">D20+D31+D39+D48</f>
        <v>89559</v>
      </c>
      <c r="E50" s="46">
        <f t="shared" si="2"/>
        <v>85659</v>
      </c>
      <c r="F50" s="46">
        <f t="shared" si="2"/>
        <v>3900</v>
      </c>
      <c r="G50" s="228">
        <f t="shared" si="2"/>
        <v>0</v>
      </c>
      <c r="H50" s="208">
        <f t="shared" si="2"/>
        <v>94517</v>
      </c>
      <c r="I50" s="46">
        <f t="shared" si="2"/>
        <v>90617</v>
      </c>
      <c r="J50" s="46">
        <f t="shared" si="2"/>
        <v>3900</v>
      </c>
      <c r="K50" s="228">
        <f t="shared" si="2"/>
        <v>0</v>
      </c>
    </row>
    <row r="51" spans="1:11" s="12" customFormat="1">
      <c r="A51" s="37"/>
      <c r="B51" s="38"/>
      <c r="C51" s="39"/>
      <c r="D51" s="211"/>
      <c r="E51" s="44"/>
      <c r="F51" s="44"/>
      <c r="G51" s="245"/>
      <c r="H51" s="211"/>
      <c r="I51" s="44"/>
      <c r="J51" s="44"/>
      <c r="K51" s="245"/>
    </row>
    <row r="52" spans="1:11" s="12" customFormat="1">
      <c r="A52" s="57">
        <v>105</v>
      </c>
      <c r="B52" s="58"/>
      <c r="C52" s="42" t="s">
        <v>603</v>
      </c>
      <c r="D52" s="208"/>
      <c r="E52" s="46"/>
      <c r="F52" s="46"/>
      <c r="G52" s="228"/>
      <c r="H52" s="208"/>
      <c r="I52" s="46"/>
      <c r="J52" s="46"/>
      <c r="K52" s="228"/>
    </row>
    <row r="53" spans="1:11" s="12" customFormat="1">
      <c r="A53" s="40"/>
      <c r="B53" s="38" t="s">
        <v>427</v>
      </c>
      <c r="C53" s="39" t="s">
        <v>490</v>
      </c>
      <c r="D53" s="209"/>
      <c r="E53" s="43"/>
      <c r="F53" s="43"/>
      <c r="G53" s="248"/>
      <c r="H53" s="209"/>
      <c r="I53" s="43"/>
      <c r="J53" s="43"/>
      <c r="K53" s="248"/>
    </row>
    <row r="54" spans="1:11" s="12" customFormat="1">
      <c r="A54" s="40"/>
      <c r="B54" s="38"/>
      <c r="C54" s="39" t="s">
        <v>504</v>
      </c>
      <c r="D54" s="209">
        <v>2000</v>
      </c>
      <c r="E54" s="43">
        <v>2000</v>
      </c>
      <c r="F54" s="43"/>
      <c r="G54" s="248"/>
      <c r="H54" s="209">
        <v>2000</v>
      </c>
      <c r="I54" s="43">
        <v>2000</v>
      </c>
      <c r="J54" s="43"/>
      <c r="K54" s="248"/>
    </row>
    <row r="55" spans="1:11" s="12" customFormat="1">
      <c r="A55" s="40"/>
      <c r="B55" s="38"/>
      <c r="C55" s="39" t="s">
        <v>561</v>
      </c>
      <c r="D55" s="209"/>
      <c r="E55" s="43"/>
      <c r="F55" s="43"/>
      <c r="G55" s="248"/>
      <c r="H55" s="209"/>
      <c r="I55" s="43"/>
      <c r="J55" s="43"/>
      <c r="K55" s="248"/>
    </row>
    <row r="56" spans="1:11" s="29" customFormat="1">
      <c r="A56" s="50"/>
      <c r="B56" s="51"/>
      <c r="C56" s="52" t="s">
        <v>485</v>
      </c>
      <c r="D56" s="149">
        <f t="shared" ref="D56:K56" si="3">SUM(D54:D55)</f>
        <v>2000</v>
      </c>
      <c r="E56" s="54">
        <f t="shared" si="3"/>
        <v>2000</v>
      </c>
      <c r="F56" s="54">
        <f t="shared" si="3"/>
        <v>0</v>
      </c>
      <c r="G56" s="249">
        <f t="shared" si="3"/>
        <v>0</v>
      </c>
      <c r="H56" s="149">
        <f t="shared" si="3"/>
        <v>2000</v>
      </c>
      <c r="I56" s="54">
        <f t="shared" si="3"/>
        <v>2000</v>
      </c>
      <c r="J56" s="54">
        <f t="shared" si="3"/>
        <v>0</v>
      </c>
      <c r="K56" s="249">
        <f t="shared" si="3"/>
        <v>0</v>
      </c>
    </row>
    <row r="57" spans="1:11" s="12" customFormat="1">
      <c r="A57" s="40"/>
      <c r="B57" s="38" t="s">
        <v>565</v>
      </c>
      <c r="C57" s="39" t="s">
        <v>543</v>
      </c>
      <c r="D57" s="209"/>
      <c r="E57" s="43"/>
      <c r="F57" s="43"/>
      <c r="G57" s="248"/>
      <c r="H57" s="209"/>
      <c r="I57" s="43"/>
      <c r="J57" s="43"/>
      <c r="K57" s="248"/>
    </row>
    <row r="58" spans="1:11" s="12" customFormat="1">
      <c r="A58" s="40"/>
      <c r="B58" s="38"/>
      <c r="C58" s="39" t="s">
        <v>635</v>
      </c>
      <c r="D58" s="209"/>
      <c r="E58" s="43"/>
      <c r="F58" s="43"/>
      <c r="G58" s="248"/>
      <c r="H58" s="209"/>
      <c r="I58" s="43"/>
      <c r="J58" s="43"/>
      <c r="K58" s="248"/>
    </row>
    <row r="59" spans="1:11" s="12" customFormat="1">
      <c r="A59" s="40"/>
      <c r="B59" s="38"/>
      <c r="C59" s="39" t="s">
        <v>722</v>
      </c>
      <c r="D59" s="209">
        <v>11579</v>
      </c>
      <c r="E59" s="43">
        <v>11579</v>
      </c>
      <c r="F59" s="43"/>
      <c r="G59" s="248"/>
      <c r="H59" s="209">
        <v>11579</v>
      </c>
      <c r="I59" s="43">
        <v>11579</v>
      </c>
      <c r="J59" s="43"/>
      <c r="K59" s="248"/>
    </row>
    <row r="60" spans="1:11" s="12" customFormat="1">
      <c r="A60" s="40"/>
      <c r="B60" s="38"/>
      <c r="C60" s="39" t="s">
        <v>723</v>
      </c>
      <c r="D60" s="209">
        <v>9160</v>
      </c>
      <c r="E60" s="43">
        <v>9160</v>
      </c>
      <c r="F60" s="43"/>
      <c r="G60" s="248"/>
      <c r="H60" s="209">
        <v>9160</v>
      </c>
      <c r="I60" s="43">
        <v>9160</v>
      </c>
      <c r="J60" s="43"/>
      <c r="K60" s="248"/>
    </row>
    <row r="61" spans="1:11" s="12" customFormat="1">
      <c r="A61" s="40"/>
      <c r="B61" s="38"/>
      <c r="C61" s="39" t="s">
        <v>24</v>
      </c>
      <c r="D61" s="209"/>
      <c r="E61" s="43"/>
      <c r="F61" s="43"/>
      <c r="G61" s="248"/>
      <c r="H61" s="209">
        <v>4168</v>
      </c>
      <c r="I61" s="43">
        <v>4168</v>
      </c>
      <c r="J61" s="43"/>
      <c r="K61" s="248"/>
    </row>
    <row r="62" spans="1:11" s="29" customFormat="1">
      <c r="A62" s="50"/>
      <c r="B62" s="51"/>
      <c r="C62" s="52" t="s">
        <v>485</v>
      </c>
      <c r="D62" s="149">
        <f>SUM(D59:D60)</f>
        <v>20739</v>
      </c>
      <c r="E62" s="54">
        <f>SUM(E59:E60)</f>
        <v>20739</v>
      </c>
      <c r="F62" s="54">
        <f>SUM(F59:F60)</f>
        <v>0</v>
      </c>
      <c r="G62" s="249">
        <f>SUM(G59:G60)</f>
        <v>0</v>
      </c>
      <c r="H62" s="149">
        <f>SUM(H59:H61)</f>
        <v>24907</v>
      </c>
      <c r="I62" s="54">
        <f>SUM(I59:I61)</f>
        <v>24907</v>
      </c>
      <c r="J62" s="54">
        <f>SUM(J59:J61)</f>
        <v>0</v>
      </c>
      <c r="K62" s="673">
        <f>SUM(K59:K61)</f>
        <v>0</v>
      </c>
    </row>
    <row r="63" spans="1:11" s="12" customFormat="1">
      <c r="A63" s="40"/>
      <c r="B63" s="38"/>
      <c r="C63" s="42" t="s">
        <v>415</v>
      </c>
      <c r="D63" s="208">
        <f t="shared" ref="D63:K63" si="4">D56+D62</f>
        <v>22739</v>
      </c>
      <c r="E63" s="46">
        <f t="shared" si="4"/>
        <v>22739</v>
      </c>
      <c r="F63" s="46">
        <f t="shared" si="4"/>
        <v>0</v>
      </c>
      <c r="G63" s="228">
        <f t="shared" si="4"/>
        <v>0</v>
      </c>
      <c r="H63" s="208">
        <f t="shared" si="4"/>
        <v>26907</v>
      </c>
      <c r="I63" s="46">
        <f t="shared" si="4"/>
        <v>26907</v>
      </c>
      <c r="J63" s="46">
        <f t="shared" si="4"/>
        <v>0</v>
      </c>
      <c r="K63" s="228">
        <f t="shared" si="4"/>
        <v>0</v>
      </c>
    </row>
    <row r="64" spans="1:11" s="12" customFormat="1">
      <c r="A64" s="37"/>
      <c r="B64" s="38"/>
      <c r="C64" s="39"/>
      <c r="D64" s="211"/>
      <c r="E64" s="44"/>
      <c r="F64" s="44"/>
      <c r="G64" s="245"/>
      <c r="H64" s="211"/>
      <c r="I64" s="44"/>
      <c r="J64" s="44"/>
      <c r="K64" s="245"/>
    </row>
    <row r="65" spans="1:11" s="28" customFormat="1">
      <c r="A65" s="40">
        <v>106</v>
      </c>
      <c r="B65" s="41"/>
      <c r="C65" s="112" t="s">
        <v>503</v>
      </c>
      <c r="D65" s="214"/>
      <c r="E65" s="224"/>
      <c r="F65" s="224"/>
      <c r="G65" s="250"/>
      <c r="H65" s="214"/>
      <c r="I65" s="224"/>
      <c r="J65" s="224"/>
      <c r="K65" s="250"/>
    </row>
    <row r="66" spans="1:11" s="12" customFormat="1">
      <c r="A66" s="37"/>
      <c r="B66" s="38" t="s">
        <v>427</v>
      </c>
      <c r="C66" s="62" t="s">
        <v>434</v>
      </c>
      <c r="D66" s="227"/>
      <c r="E66" s="91"/>
      <c r="F66" s="91"/>
      <c r="G66" s="255"/>
      <c r="H66" s="227"/>
      <c r="I66" s="91"/>
      <c r="J66" s="91"/>
      <c r="K66" s="255"/>
    </row>
    <row r="67" spans="1:11" s="12" customFormat="1">
      <c r="A67" s="37"/>
      <c r="B67" s="38"/>
      <c r="C67" s="62" t="s">
        <v>544</v>
      </c>
      <c r="D67" s="227">
        <v>5000</v>
      </c>
      <c r="E67" s="91">
        <v>5000</v>
      </c>
      <c r="F67" s="91"/>
      <c r="G67" s="255"/>
      <c r="H67" s="227">
        <v>5000</v>
      </c>
      <c r="I67" s="91">
        <v>5000</v>
      </c>
      <c r="J67" s="91"/>
      <c r="K67" s="255"/>
    </row>
    <row r="68" spans="1:11" s="12" customFormat="1">
      <c r="A68" s="37"/>
      <c r="B68" s="38"/>
      <c r="C68" s="62" t="s">
        <v>545</v>
      </c>
      <c r="D68" s="227">
        <v>2000</v>
      </c>
      <c r="E68" s="91">
        <v>2000</v>
      </c>
      <c r="F68" s="91"/>
      <c r="G68" s="255"/>
      <c r="H68" s="227">
        <v>2000</v>
      </c>
      <c r="I68" s="91">
        <v>2000</v>
      </c>
      <c r="J68" s="91"/>
      <c r="K68" s="255"/>
    </row>
    <row r="69" spans="1:11" s="12" customFormat="1">
      <c r="A69" s="37"/>
      <c r="B69" s="38"/>
      <c r="C69" s="62" t="s">
        <v>546</v>
      </c>
      <c r="D69" s="227">
        <v>2000</v>
      </c>
      <c r="E69" s="91">
        <v>2000</v>
      </c>
      <c r="F69" s="91"/>
      <c r="G69" s="255"/>
      <c r="H69" s="227">
        <v>2000</v>
      </c>
      <c r="I69" s="91">
        <v>2000</v>
      </c>
      <c r="J69" s="91"/>
      <c r="K69" s="255"/>
    </row>
    <row r="70" spans="1:11" s="29" customFormat="1">
      <c r="A70" s="37"/>
      <c r="B70" s="51"/>
      <c r="C70" s="62" t="s">
        <v>568</v>
      </c>
      <c r="D70" s="227"/>
      <c r="E70" s="91"/>
      <c r="F70" s="91"/>
      <c r="G70" s="255"/>
      <c r="H70" s="227"/>
      <c r="I70" s="91"/>
      <c r="J70" s="91"/>
      <c r="K70" s="255"/>
    </row>
    <row r="71" spans="1:11" s="12" customFormat="1">
      <c r="A71" s="37"/>
      <c r="B71" s="38"/>
      <c r="C71" s="113" t="s">
        <v>435</v>
      </c>
      <c r="D71" s="231">
        <f t="shared" ref="D71:K71" si="5">SUM(D67:D70)</f>
        <v>9000</v>
      </c>
      <c r="E71" s="232">
        <f t="shared" si="5"/>
        <v>9000</v>
      </c>
      <c r="F71" s="232">
        <f t="shared" si="5"/>
        <v>0</v>
      </c>
      <c r="G71" s="256">
        <f t="shared" si="5"/>
        <v>0</v>
      </c>
      <c r="H71" s="231">
        <f t="shared" si="5"/>
        <v>9000</v>
      </c>
      <c r="I71" s="232">
        <f t="shared" si="5"/>
        <v>9000</v>
      </c>
      <c r="J71" s="232">
        <f t="shared" si="5"/>
        <v>0</v>
      </c>
      <c r="K71" s="256">
        <f t="shared" si="5"/>
        <v>0</v>
      </c>
    </row>
    <row r="72" spans="1:11" s="12" customFormat="1">
      <c r="A72" s="37"/>
      <c r="B72" s="38"/>
      <c r="C72" s="62"/>
      <c r="D72" s="111"/>
      <c r="E72" s="222"/>
      <c r="F72" s="222"/>
      <c r="G72" s="251"/>
      <c r="H72" s="111"/>
      <c r="I72" s="222"/>
      <c r="J72" s="222"/>
      <c r="K72" s="251"/>
    </row>
    <row r="73" spans="1:11" s="12" customFormat="1">
      <c r="A73" s="37"/>
      <c r="B73" s="38"/>
      <c r="C73" s="62" t="s">
        <v>724</v>
      </c>
      <c r="D73" s="111"/>
      <c r="E73" s="222"/>
      <c r="F73" s="222"/>
      <c r="G73" s="251"/>
      <c r="H73" s="111"/>
      <c r="I73" s="222"/>
      <c r="J73" s="222"/>
      <c r="K73" s="251"/>
    </row>
    <row r="74" spans="1:11" s="12" customFormat="1">
      <c r="A74" s="37"/>
      <c r="B74" s="38"/>
      <c r="C74" s="62" t="s">
        <v>436</v>
      </c>
      <c r="D74" s="227"/>
      <c r="E74" s="91"/>
      <c r="F74" s="91"/>
      <c r="G74" s="255"/>
      <c r="H74" s="227"/>
      <c r="I74" s="91"/>
      <c r="J74" s="91"/>
      <c r="K74" s="255"/>
    </row>
    <row r="75" spans="1:11" s="12" customFormat="1">
      <c r="A75" s="37"/>
      <c r="B75" s="38"/>
      <c r="C75" s="62" t="s">
        <v>505</v>
      </c>
      <c r="D75" s="227">
        <v>58000</v>
      </c>
      <c r="E75" s="91">
        <v>58000</v>
      </c>
      <c r="F75" s="91"/>
      <c r="G75" s="255"/>
      <c r="H75" s="227">
        <v>58000</v>
      </c>
      <c r="I75" s="91">
        <v>58000</v>
      </c>
      <c r="J75" s="91"/>
      <c r="K75" s="255"/>
    </row>
    <row r="76" spans="1:11" s="12" customFormat="1">
      <c r="A76" s="37"/>
      <c r="B76" s="38"/>
      <c r="C76" s="62" t="s">
        <v>506</v>
      </c>
      <c r="D76" s="227">
        <v>33000</v>
      </c>
      <c r="E76" s="91">
        <v>33000</v>
      </c>
      <c r="F76" s="91"/>
      <c r="G76" s="255"/>
      <c r="H76" s="227">
        <v>33000</v>
      </c>
      <c r="I76" s="91">
        <v>33000</v>
      </c>
      <c r="J76" s="91"/>
      <c r="K76" s="255"/>
    </row>
    <row r="77" spans="1:11" s="12" customFormat="1">
      <c r="A77" s="50"/>
      <c r="B77" s="38"/>
      <c r="C77" s="62" t="s">
        <v>507</v>
      </c>
      <c r="D77" s="227">
        <v>13500</v>
      </c>
      <c r="E77" s="91">
        <v>13500</v>
      </c>
      <c r="F77" s="91"/>
      <c r="G77" s="255"/>
      <c r="H77" s="227">
        <v>13500</v>
      </c>
      <c r="I77" s="91">
        <v>13500</v>
      </c>
      <c r="J77" s="91"/>
      <c r="K77" s="255"/>
    </row>
    <row r="78" spans="1:11" s="29" customFormat="1">
      <c r="A78" s="37"/>
      <c r="B78" s="51"/>
      <c r="C78" s="62" t="s">
        <v>508</v>
      </c>
      <c r="D78" s="227">
        <v>550000</v>
      </c>
      <c r="E78" s="91">
        <v>550000</v>
      </c>
      <c r="F78" s="91"/>
      <c r="G78" s="255"/>
      <c r="H78" s="227">
        <v>503243</v>
      </c>
      <c r="I78" s="91">
        <v>503243</v>
      </c>
      <c r="J78" s="91"/>
      <c r="K78" s="255"/>
    </row>
    <row r="79" spans="1:11" s="12" customFormat="1">
      <c r="A79" s="37"/>
      <c r="B79" s="38"/>
      <c r="C79" s="113" t="s">
        <v>485</v>
      </c>
      <c r="D79" s="231">
        <f t="shared" ref="D79:K79" si="6">SUM(D75:D78)</f>
        <v>654500</v>
      </c>
      <c r="E79" s="232">
        <f t="shared" si="6"/>
        <v>654500</v>
      </c>
      <c r="F79" s="232">
        <f t="shared" si="6"/>
        <v>0</v>
      </c>
      <c r="G79" s="256">
        <f t="shared" si="6"/>
        <v>0</v>
      </c>
      <c r="H79" s="231">
        <f t="shared" si="6"/>
        <v>607743</v>
      </c>
      <c r="I79" s="232">
        <f t="shared" si="6"/>
        <v>607743</v>
      </c>
      <c r="J79" s="232">
        <f t="shared" si="6"/>
        <v>0</v>
      </c>
      <c r="K79" s="256">
        <f t="shared" si="6"/>
        <v>0</v>
      </c>
    </row>
    <row r="80" spans="1:11" s="12" customFormat="1">
      <c r="A80" s="37"/>
      <c r="B80" s="38"/>
      <c r="C80" s="62" t="s">
        <v>509</v>
      </c>
      <c r="D80" s="227"/>
      <c r="E80" s="91"/>
      <c r="F80" s="91"/>
      <c r="G80" s="255"/>
      <c r="H80" s="227"/>
      <c r="I80" s="91"/>
      <c r="J80" s="91"/>
      <c r="K80" s="255"/>
    </row>
    <row r="81" spans="1:11" s="12" customFormat="1">
      <c r="A81" s="50"/>
      <c r="B81" s="38"/>
      <c r="C81" s="62" t="s">
        <v>407</v>
      </c>
      <c r="D81" s="227">
        <v>45000</v>
      </c>
      <c r="E81" s="91">
        <v>45000</v>
      </c>
      <c r="F81" s="91"/>
      <c r="G81" s="255"/>
      <c r="H81" s="227">
        <v>45000</v>
      </c>
      <c r="I81" s="91">
        <v>45000</v>
      </c>
      <c r="J81" s="91"/>
      <c r="K81" s="255"/>
    </row>
    <row r="82" spans="1:11" s="29" customFormat="1">
      <c r="A82" s="37"/>
      <c r="B82" s="51"/>
      <c r="C82" s="62" t="s">
        <v>408</v>
      </c>
      <c r="D82" s="227">
        <v>2000</v>
      </c>
      <c r="E82" s="91">
        <v>2000</v>
      </c>
      <c r="F82" s="91"/>
      <c r="G82" s="255"/>
      <c r="H82" s="227">
        <v>2000</v>
      </c>
      <c r="I82" s="91">
        <v>2000</v>
      </c>
      <c r="J82" s="91"/>
      <c r="K82" s="255"/>
    </row>
    <row r="83" spans="1:11" s="12" customFormat="1">
      <c r="A83" s="37"/>
      <c r="B83" s="38"/>
      <c r="C83" s="113" t="s">
        <v>485</v>
      </c>
      <c r="D83" s="231">
        <f t="shared" ref="D83:K83" si="7">SUM(D81:D82)</f>
        <v>47000</v>
      </c>
      <c r="E83" s="232">
        <f t="shared" si="7"/>
        <v>47000</v>
      </c>
      <c r="F83" s="232">
        <f t="shared" si="7"/>
        <v>0</v>
      </c>
      <c r="G83" s="256">
        <f t="shared" si="7"/>
        <v>0</v>
      </c>
      <c r="H83" s="231">
        <f t="shared" si="7"/>
        <v>47000</v>
      </c>
      <c r="I83" s="232">
        <f t="shared" si="7"/>
        <v>47000</v>
      </c>
      <c r="J83" s="232">
        <f t="shared" si="7"/>
        <v>0</v>
      </c>
      <c r="K83" s="256">
        <f t="shared" si="7"/>
        <v>0</v>
      </c>
    </row>
    <row r="84" spans="1:11" s="12" customFormat="1">
      <c r="A84" s="37"/>
      <c r="B84" s="38"/>
      <c r="C84" s="62" t="s">
        <v>734</v>
      </c>
      <c r="D84" s="111"/>
      <c r="E84" s="222"/>
      <c r="F84" s="222"/>
      <c r="G84" s="251"/>
      <c r="H84" s="111"/>
      <c r="I84" s="222"/>
      <c r="J84" s="222"/>
      <c r="K84" s="251"/>
    </row>
    <row r="85" spans="1:11" s="12" customFormat="1">
      <c r="A85" s="50"/>
      <c r="B85" s="38"/>
      <c r="C85" s="62" t="s">
        <v>510</v>
      </c>
      <c r="D85" s="227">
        <v>15000</v>
      </c>
      <c r="E85" s="91">
        <v>15000</v>
      </c>
      <c r="F85" s="91"/>
      <c r="G85" s="255"/>
      <c r="H85" s="227">
        <v>15000</v>
      </c>
      <c r="I85" s="91">
        <v>15000</v>
      </c>
      <c r="J85" s="91"/>
      <c r="K85" s="255"/>
    </row>
    <row r="86" spans="1:11" s="29" customFormat="1">
      <c r="A86" s="50"/>
      <c r="B86" s="51"/>
      <c r="C86" s="62" t="s">
        <v>511</v>
      </c>
      <c r="D86" s="227">
        <v>10000</v>
      </c>
      <c r="E86" s="91">
        <v>10000</v>
      </c>
      <c r="F86" s="91"/>
      <c r="G86" s="255"/>
      <c r="H86" s="227">
        <v>10000</v>
      </c>
      <c r="I86" s="91">
        <v>10000</v>
      </c>
      <c r="J86" s="91"/>
      <c r="K86" s="255"/>
    </row>
    <row r="87" spans="1:11" s="29" customFormat="1">
      <c r="A87" s="56"/>
      <c r="B87" s="51"/>
      <c r="C87" s="113" t="s">
        <v>485</v>
      </c>
      <c r="D87" s="231">
        <f t="shared" ref="D87:K87" si="8">SUM(D85:D86)</f>
        <v>25000</v>
      </c>
      <c r="E87" s="232">
        <f t="shared" si="8"/>
        <v>25000</v>
      </c>
      <c r="F87" s="232">
        <f t="shared" si="8"/>
        <v>0</v>
      </c>
      <c r="G87" s="256">
        <f t="shared" si="8"/>
        <v>0</v>
      </c>
      <c r="H87" s="231">
        <f t="shared" si="8"/>
        <v>25000</v>
      </c>
      <c r="I87" s="232">
        <f t="shared" si="8"/>
        <v>25000</v>
      </c>
      <c r="J87" s="232">
        <f t="shared" si="8"/>
        <v>0</v>
      </c>
      <c r="K87" s="256">
        <f t="shared" si="8"/>
        <v>0</v>
      </c>
    </row>
    <row r="88" spans="1:11" s="30" customFormat="1" ht="17.25">
      <c r="A88" s="37"/>
      <c r="B88" s="59"/>
      <c r="C88" s="113" t="s">
        <v>731</v>
      </c>
      <c r="D88" s="231">
        <f t="shared" ref="D88:K88" si="9">D79+D83+D87</f>
        <v>726500</v>
      </c>
      <c r="E88" s="232">
        <f t="shared" si="9"/>
        <v>726500</v>
      </c>
      <c r="F88" s="232">
        <f t="shared" si="9"/>
        <v>0</v>
      </c>
      <c r="G88" s="256">
        <f t="shared" si="9"/>
        <v>0</v>
      </c>
      <c r="H88" s="231">
        <f t="shared" si="9"/>
        <v>679743</v>
      </c>
      <c r="I88" s="232">
        <f t="shared" si="9"/>
        <v>679743</v>
      </c>
      <c r="J88" s="232">
        <f t="shared" si="9"/>
        <v>0</v>
      </c>
      <c r="K88" s="256">
        <f t="shared" si="9"/>
        <v>0</v>
      </c>
    </row>
    <row r="89" spans="1:11" s="12" customFormat="1">
      <c r="A89" s="37"/>
      <c r="B89" s="38"/>
      <c r="C89" s="114" t="s">
        <v>547</v>
      </c>
      <c r="D89" s="235">
        <f t="shared" ref="D89:K89" si="10">D71+D88</f>
        <v>735500</v>
      </c>
      <c r="E89" s="237">
        <f t="shared" si="10"/>
        <v>735500</v>
      </c>
      <c r="F89" s="237">
        <f t="shared" si="10"/>
        <v>0</v>
      </c>
      <c r="G89" s="254">
        <f t="shared" si="10"/>
        <v>0</v>
      </c>
      <c r="H89" s="235">
        <f t="shared" si="10"/>
        <v>688743</v>
      </c>
      <c r="I89" s="237">
        <f t="shared" si="10"/>
        <v>688743</v>
      </c>
      <c r="J89" s="237">
        <f t="shared" si="10"/>
        <v>0</v>
      </c>
      <c r="K89" s="254">
        <f t="shared" si="10"/>
        <v>0</v>
      </c>
    </row>
    <row r="90" spans="1:11" s="12" customFormat="1">
      <c r="A90" s="37"/>
      <c r="B90" s="10"/>
      <c r="C90" s="62"/>
      <c r="D90" s="111"/>
      <c r="E90" s="222"/>
      <c r="F90" s="222"/>
      <c r="G90" s="251"/>
      <c r="H90" s="111"/>
      <c r="I90" s="222"/>
      <c r="J90" s="222"/>
      <c r="K90" s="251"/>
    </row>
    <row r="91" spans="1:11" s="12" customFormat="1">
      <c r="A91" s="37"/>
      <c r="B91" s="38" t="s">
        <v>438</v>
      </c>
      <c r="C91" s="62" t="s">
        <v>491</v>
      </c>
      <c r="D91" s="111"/>
      <c r="E91" s="222"/>
      <c r="F91" s="222"/>
      <c r="G91" s="251"/>
      <c r="H91" s="111"/>
      <c r="I91" s="222"/>
      <c r="J91" s="222"/>
      <c r="K91" s="251"/>
    </row>
    <row r="92" spans="1:11" s="12" customFormat="1" ht="30">
      <c r="A92" s="37"/>
      <c r="B92" s="38"/>
      <c r="C92" s="62" t="s">
        <v>542</v>
      </c>
      <c r="D92" s="48">
        <v>1049574</v>
      </c>
      <c r="E92" s="43">
        <v>893492</v>
      </c>
      <c r="F92" s="43">
        <v>156082</v>
      </c>
      <c r="G92" s="49"/>
      <c r="H92" s="48">
        <v>997207</v>
      </c>
      <c r="I92" s="43">
        <v>841125</v>
      </c>
      <c r="J92" s="43">
        <v>156082</v>
      </c>
      <c r="K92" s="49"/>
    </row>
    <row r="93" spans="1:11" s="12" customFormat="1">
      <c r="A93" s="37"/>
      <c r="B93" s="38"/>
      <c r="C93" s="62"/>
      <c r="D93" s="48"/>
      <c r="E93" s="43"/>
      <c r="F93" s="43"/>
      <c r="G93" s="49"/>
      <c r="H93" s="48"/>
      <c r="I93" s="43"/>
      <c r="J93" s="43"/>
      <c r="K93" s="49"/>
    </row>
    <row r="94" spans="1:11" s="12" customFormat="1">
      <c r="A94" s="37"/>
      <c r="B94" s="38"/>
      <c r="C94" s="62" t="s">
        <v>662</v>
      </c>
      <c r="D94" s="48"/>
      <c r="E94" s="43"/>
      <c r="F94" s="43"/>
      <c r="G94" s="49"/>
      <c r="H94" s="48"/>
      <c r="I94" s="43"/>
      <c r="J94" s="43"/>
      <c r="K94" s="49"/>
    </row>
    <row r="95" spans="1:11" s="12" customFormat="1">
      <c r="A95" s="37"/>
      <c r="B95" s="38"/>
      <c r="C95" s="62" t="s">
        <v>663</v>
      </c>
      <c r="D95" s="48">
        <v>10260</v>
      </c>
      <c r="E95" s="44"/>
      <c r="F95" s="43"/>
      <c r="G95" s="49">
        <v>10260</v>
      </c>
      <c r="H95" s="48">
        <v>10260</v>
      </c>
      <c r="I95" s="44"/>
      <c r="J95" s="43"/>
      <c r="K95" s="49">
        <v>10260</v>
      </c>
    </row>
    <row r="96" spans="1:11" s="12" customFormat="1">
      <c r="A96" s="37"/>
      <c r="B96" s="38"/>
      <c r="C96" s="62" t="s">
        <v>664</v>
      </c>
      <c r="D96" s="48">
        <v>84000</v>
      </c>
      <c r="E96" s="44"/>
      <c r="F96" s="43"/>
      <c r="G96" s="49">
        <v>84000</v>
      </c>
      <c r="H96" s="48">
        <v>84000</v>
      </c>
      <c r="I96" s="44"/>
      <c r="J96" s="43"/>
      <c r="K96" s="49">
        <v>84000</v>
      </c>
    </row>
    <row r="97" spans="1:11" s="12" customFormat="1">
      <c r="A97" s="37"/>
      <c r="B97" s="38"/>
      <c r="C97" s="62" t="s">
        <v>665</v>
      </c>
      <c r="D97" s="48">
        <v>40500</v>
      </c>
      <c r="E97" s="44"/>
      <c r="F97" s="43"/>
      <c r="G97" s="49">
        <v>40500</v>
      </c>
      <c r="H97" s="48">
        <v>40500</v>
      </c>
      <c r="I97" s="44"/>
      <c r="J97" s="43"/>
      <c r="K97" s="49">
        <v>40500</v>
      </c>
    </row>
    <row r="98" spans="1:11" s="29" customFormat="1">
      <c r="A98" s="50"/>
      <c r="B98" s="51"/>
      <c r="C98" s="113" t="s">
        <v>485</v>
      </c>
      <c r="D98" s="149">
        <f t="shared" ref="D98:K98" si="11">SUM(D95:D97)</f>
        <v>134760</v>
      </c>
      <c r="E98" s="54">
        <f t="shared" si="11"/>
        <v>0</v>
      </c>
      <c r="F98" s="54">
        <f t="shared" si="11"/>
        <v>0</v>
      </c>
      <c r="G98" s="249">
        <f t="shared" si="11"/>
        <v>134760</v>
      </c>
      <c r="H98" s="149">
        <f t="shared" si="11"/>
        <v>134760</v>
      </c>
      <c r="I98" s="54">
        <f t="shared" si="11"/>
        <v>0</v>
      </c>
      <c r="J98" s="54">
        <f t="shared" si="11"/>
        <v>0</v>
      </c>
      <c r="K98" s="249">
        <f t="shared" si="11"/>
        <v>134760</v>
      </c>
    </row>
    <row r="99" spans="1:11" s="29" customFormat="1">
      <c r="A99" s="56"/>
      <c r="B99" s="38"/>
      <c r="C99" s="62"/>
      <c r="D99" s="48"/>
      <c r="E99" s="43"/>
      <c r="F99" s="43"/>
      <c r="G99" s="49"/>
      <c r="H99" s="48"/>
      <c r="I99" s="43"/>
      <c r="J99" s="43"/>
      <c r="K99" s="49"/>
    </row>
    <row r="100" spans="1:11" s="29" customFormat="1">
      <c r="A100" s="56"/>
      <c r="B100" s="38"/>
      <c r="C100" s="62" t="s">
        <v>666</v>
      </c>
      <c r="D100" s="53"/>
      <c r="E100" s="54"/>
      <c r="F100" s="54"/>
      <c r="G100" s="55"/>
      <c r="H100" s="53"/>
      <c r="I100" s="54"/>
      <c r="J100" s="54"/>
      <c r="K100" s="55"/>
    </row>
    <row r="101" spans="1:11" s="29" customFormat="1">
      <c r="A101" s="56"/>
      <c r="B101" s="38"/>
      <c r="C101" s="115" t="s">
        <v>667</v>
      </c>
      <c r="D101" s="48">
        <v>20416</v>
      </c>
      <c r="E101" s="43">
        <v>20416</v>
      </c>
      <c r="F101" s="54"/>
      <c r="G101" s="55"/>
      <c r="H101" s="48">
        <v>20416</v>
      </c>
      <c r="I101" s="43">
        <v>20416</v>
      </c>
      <c r="J101" s="54"/>
      <c r="K101" s="55"/>
    </row>
    <row r="102" spans="1:11" s="29" customFormat="1">
      <c r="A102" s="56"/>
      <c r="B102" s="38"/>
      <c r="C102" s="115" t="s">
        <v>668</v>
      </c>
      <c r="D102" s="48">
        <v>406</v>
      </c>
      <c r="E102" s="43">
        <v>406</v>
      </c>
      <c r="F102" s="54"/>
      <c r="G102" s="55"/>
      <c r="H102" s="48">
        <v>406</v>
      </c>
      <c r="I102" s="43">
        <v>406</v>
      </c>
      <c r="J102" s="54"/>
      <c r="K102" s="55"/>
    </row>
    <row r="103" spans="1:11" s="12" customFormat="1" ht="30">
      <c r="A103" s="37"/>
      <c r="B103" s="38"/>
      <c r="C103" s="115" t="s">
        <v>669</v>
      </c>
      <c r="D103" s="48">
        <v>3332</v>
      </c>
      <c r="E103" s="43">
        <v>3332</v>
      </c>
      <c r="F103" s="54"/>
      <c r="G103" s="55"/>
      <c r="H103" s="48">
        <v>3332</v>
      </c>
      <c r="I103" s="43">
        <v>3332</v>
      </c>
      <c r="J103" s="54"/>
      <c r="K103" s="55"/>
    </row>
    <row r="104" spans="1:11" s="12" customFormat="1" ht="30">
      <c r="A104" s="37"/>
      <c r="B104" s="38"/>
      <c r="C104" s="115" t="s">
        <v>670</v>
      </c>
      <c r="D104" s="48">
        <v>11200</v>
      </c>
      <c r="E104" s="43">
        <v>11200</v>
      </c>
      <c r="F104" s="54"/>
      <c r="G104" s="55"/>
      <c r="H104" s="48">
        <v>11200</v>
      </c>
      <c r="I104" s="43">
        <v>11200</v>
      </c>
      <c r="J104" s="54"/>
      <c r="K104" s="55"/>
    </row>
    <row r="105" spans="1:11" s="12" customFormat="1">
      <c r="A105" s="37"/>
      <c r="B105" s="243"/>
      <c r="C105" s="115" t="s">
        <v>25</v>
      </c>
      <c r="D105" s="209"/>
      <c r="E105" s="43"/>
      <c r="F105" s="54"/>
      <c r="G105" s="55"/>
      <c r="H105" s="110">
        <v>2312</v>
      </c>
      <c r="I105" s="43">
        <v>2312</v>
      </c>
      <c r="K105" s="55"/>
    </row>
    <row r="106" spans="1:11" s="12" customFormat="1">
      <c r="A106" s="37"/>
      <c r="B106" s="243"/>
      <c r="C106" s="115" t="s">
        <v>26</v>
      </c>
      <c r="D106" s="209"/>
      <c r="E106" s="43"/>
      <c r="F106" s="54"/>
      <c r="G106" s="55"/>
      <c r="H106" s="110">
        <v>2220</v>
      </c>
      <c r="I106" s="43">
        <v>2220</v>
      </c>
      <c r="K106" s="55"/>
    </row>
    <row r="107" spans="1:11" s="12" customFormat="1">
      <c r="A107" s="37"/>
      <c r="B107" s="243"/>
      <c r="C107" s="115" t="s">
        <v>27</v>
      </c>
      <c r="D107" s="209"/>
      <c r="E107" s="43"/>
      <c r="F107" s="54"/>
      <c r="G107" s="55"/>
      <c r="H107" s="110">
        <v>352</v>
      </c>
      <c r="I107" s="43">
        <v>352</v>
      </c>
      <c r="K107" s="55"/>
    </row>
    <row r="108" spans="1:11" s="12" customFormat="1">
      <c r="A108" s="37"/>
      <c r="B108" s="38"/>
      <c r="C108" s="674" t="s">
        <v>28</v>
      </c>
      <c r="D108" s="209"/>
      <c r="E108" s="43"/>
      <c r="F108" s="54"/>
      <c r="G108" s="55"/>
      <c r="H108" s="110">
        <v>540</v>
      </c>
      <c r="I108" s="43">
        <v>540</v>
      </c>
      <c r="K108" s="55"/>
    </row>
    <row r="109" spans="1:11" s="12" customFormat="1">
      <c r="A109" s="37"/>
      <c r="B109" s="38"/>
      <c r="C109" s="675" t="s">
        <v>29</v>
      </c>
      <c r="D109" s="209"/>
      <c r="E109" s="43"/>
      <c r="F109" s="54"/>
      <c r="G109" s="55"/>
      <c r="H109" s="110">
        <v>345352</v>
      </c>
      <c r="I109" s="43">
        <v>345352</v>
      </c>
      <c r="K109" s="55"/>
    </row>
    <row r="110" spans="1:11" s="12" customFormat="1">
      <c r="A110" s="37"/>
      <c r="B110" s="38"/>
      <c r="C110" s="675" t="s">
        <v>927</v>
      </c>
      <c r="D110" s="209"/>
      <c r="E110" s="43"/>
      <c r="F110" s="54"/>
      <c r="G110" s="55"/>
      <c r="H110" s="110">
        <v>12212</v>
      </c>
      <c r="I110" s="43">
        <v>12212</v>
      </c>
      <c r="K110" s="55"/>
    </row>
    <row r="111" spans="1:11" s="12" customFormat="1">
      <c r="A111" s="37"/>
      <c r="B111" s="243"/>
      <c r="C111" s="113" t="s">
        <v>661</v>
      </c>
      <c r="D111" s="149">
        <f>SUM(D101:D104)</f>
        <v>35354</v>
      </c>
      <c r="E111" s="54">
        <f>SUM(E101:E109)</f>
        <v>35354</v>
      </c>
      <c r="F111" s="54">
        <f>SUM(F101:F104)</f>
        <v>0</v>
      </c>
      <c r="G111" s="55">
        <f>SUM(G101:G104)</f>
        <v>0</v>
      </c>
      <c r="H111" s="148">
        <f>SUM(H101:H110)</f>
        <v>398342</v>
      </c>
      <c r="I111" s="54">
        <f>SUM(I101:I110)</f>
        <v>398342</v>
      </c>
      <c r="J111" s="54">
        <f>SUM(J101:J106)</f>
        <v>0</v>
      </c>
      <c r="K111" s="55">
        <f>SUM(K101:K106)</f>
        <v>0</v>
      </c>
    </row>
    <row r="112" spans="1:11" s="12" customFormat="1">
      <c r="A112" s="37"/>
      <c r="B112" s="243"/>
      <c r="C112" s="113"/>
      <c r="D112" s="149"/>
      <c r="E112" s="54"/>
      <c r="F112" s="54"/>
      <c r="G112" s="55"/>
      <c r="H112" s="148"/>
      <c r="I112" s="54"/>
      <c r="J112" s="54"/>
      <c r="K112" s="55"/>
    </row>
    <row r="113" spans="1:11" s="12" customFormat="1">
      <c r="A113" s="37"/>
      <c r="B113" s="243"/>
      <c r="C113" s="62" t="s">
        <v>30</v>
      </c>
      <c r="D113" s="149"/>
      <c r="E113" s="54"/>
      <c r="F113" s="54"/>
      <c r="G113" s="55"/>
      <c r="H113" s="148"/>
      <c r="I113" s="54"/>
      <c r="J113" s="54"/>
      <c r="K113" s="55"/>
    </row>
    <row r="114" spans="1:11" s="12" customFormat="1">
      <c r="A114" s="37"/>
      <c r="B114" s="243"/>
      <c r="C114" s="62" t="s">
        <v>31</v>
      </c>
      <c r="D114" s="149"/>
      <c r="E114" s="54"/>
      <c r="F114" s="54"/>
      <c r="G114" s="55"/>
      <c r="H114" s="148"/>
      <c r="I114" s="54"/>
      <c r="J114" s="54"/>
      <c r="K114" s="55"/>
    </row>
    <row r="115" spans="1:11" s="12" customFormat="1" ht="30">
      <c r="A115" s="37"/>
      <c r="B115" s="243"/>
      <c r="C115" s="62" t="s">
        <v>32</v>
      </c>
      <c r="D115" s="149"/>
      <c r="E115" s="54"/>
      <c r="F115" s="54"/>
      <c r="G115" s="55"/>
      <c r="H115" s="110">
        <v>16619</v>
      </c>
      <c r="I115" s="43">
        <v>16619</v>
      </c>
      <c r="J115" s="54"/>
      <c r="K115" s="55"/>
    </row>
    <row r="116" spans="1:11" s="12" customFormat="1" ht="15.75" customHeight="1">
      <c r="A116" s="37"/>
      <c r="B116" s="243"/>
      <c r="C116" s="62" t="s">
        <v>33</v>
      </c>
      <c r="D116" s="149"/>
      <c r="E116" s="54"/>
      <c r="F116" s="54"/>
      <c r="G116" s="55"/>
      <c r="H116" s="110">
        <v>20202</v>
      </c>
      <c r="I116" s="43">
        <v>20202</v>
      </c>
      <c r="J116" s="54"/>
      <c r="K116" s="676"/>
    </row>
    <row r="117" spans="1:11" s="12" customFormat="1" ht="15.75" customHeight="1">
      <c r="A117" s="37"/>
      <c r="B117" s="243"/>
      <c r="C117" s="62" t="s">
        <v>34</v>
      </c>
      <c r="D117" s="149"/>
      <c r="E117" s="54"/>
      <c r="F117" s="54"/>
      <c r="G117" s="55"/>
      <c r="H117" s="110">
        <v>126669</v>
      </c>
      <c r="I117" s="43">
        <v>126669</v>
      </c>
      <c r="J117" s="54"/>
      <c r="K117" s="676"/>
    </row>
    <row r="118" spans="1:11" s="12" customFormat="1" ht="15.75" customHeight="1">
      <c r="A118" s="37"/>
      <c r="B118" s="243"/>
      <c r="C118" s="62" t="s">
        <v>928</v>
      </c>
      <c r="D118" s="149"/>
      <c r="E118" s="54"/>
      <c r="F118" s="54"/>
      <c r="G118" s="55"/>
      <c r="H118" s="110">
        <v>845</v>
      </c>
      <c r="I118" s="110">
        <v>845</v>
      </c>
      <c r="J118" s="148"/>
      <c r="K118" s="673"/>
    </row>
    <row r="119" spans="1:11" s="12" customFormat="1">
      <c r="A119" s="37"/>
      <c r="B119" s="243"/>
      <c r="C119" s="113" t="s">
        <v>485</v>
      </c>
      <c r="D119" s="149"/>
      <c r="E119" s="54"/>
      <c r="F119" s="54"/>
      <c r="G119" s="55"/>
      <c r="H119" s="148">
        <f>SUM(H115:H118)</f>
        <v>164335</v>
      </c>
      <c r="I119" s="148">
        <f>SUM(I115:I118)</f>
        <v>164335</v>
      </c>
      <c r="J119" s="148">
        <f>SUM(J115:J117)</f>
        <v>0</v>
      </c>
      <c r="K119" s="148">
        <f>SUM(K115:K117)</f>
        <v>0</v>
      </c>
    </row>
    <row r="120" spans="1:11" s="12" customFormat="1">
      <c r="A120" s="37"/>
      <c r="B120" s="243"/>
      <c r="C120" s="62" t="s">
        <v>35</v>
      </c>
      <c r="D120" s="149"/>
      <c r="E120" s="54"/>
      <c r="F120" s="54"/>
      <c r="G120" s="55"/>
      <c r="H120" s="148"/>
      <c r="I120" s="148"/>
      <c r="J120" s="148"/>
      <c r="K120" s="673"/>
    </row>
    <row r="121" spans="1:11" s="12" customFormat="1" ht="30">
      <c r="A121" s="37"/>
      <c r="B121" s="243"/>
      <c r="C121" s="62" t="s">
        <v>36</v>
      </c>
      <c r="D121" s="209"/>
      <c r="E121" s="43"/>
      <c r="F121" s="43"/>
      <c r="G121" s="49"/>
      <c r="H121" s="110">
        <v>389940</v>
      </c>
      <c r="I121" s="110">
        <v>389940</v>
      </c>
      <c r="J121" s="110"/>
      <c r="K121" s="677"/>
    </row>
    <row r="122" spans="1:11" s="12" customFormat="1">
      <c r="A122" s="37"/>
      <c r="B122" s="243"/>
      <c r="C122" s="113" t="s">
        <v>485</v>
      </c>
      <c r="D122" s="149"/>
      <c r="E122" s="54"/>
      <c r="F122" s="54"/>
      <c r="G122" s="55"/>
      <c r="H122" s="148">
        <f>SUM(H121)</f>
        <v>389940</v>
      </c>
      <c r="I122" s="148">
        <f>SUM(I121)</f>
        <v>389940</v>
      </c>
      <c r="J122" s="148">
        <f>SUM(J121)</f>
        <v>0</v>
      </c>
      <c r="K122" s="148">
        <f>SUM(K121)</f>
        <v>0</v>
      </c>
    </row>
    <row r="123" spans="1:11" s="12" customFormat="1">
      <c r="A123" s="37"/>
      <c r="B123" s="243"/>
      <c r="C123" s="113" t="s">
        <v>37</v>
      </c>
      <c r="D123" s="149"/>
      <c r="E123" s="54"/>
      <c r="F123" s="54"/>
      <c r="G123" s="55"/>
      <c r="H123" s="148">
        <f>H119+H122</f>
        <v>554275</v>
      </c>
      <c r="I123" s="148">
        <f>I119+I122</f>
        <v>554275</v>
      </c>
      <c r="J123" s="148">
        <f>J119+J122</f>
        <v>0</v>
      </c>
      <c r="K123" s="148">
        <f>K119+K122</f>
        <v>0</v>
      </c>
    </row>
    <row r="124" spans="1:11" s="30" customFormat="1" ht="17.25">
      <c r="A124" s="37"/>
      <c r="C124" s="113"/>
      <c r="D124" s="215"/>
      <c r="E124" s="221"/>
      <c r="F124" s="221"/>
      <c r="G124" s="678"/>
      <c r="H124" s="110"/>
      <c r="K124" s="55"/>
    </row>
    <row r="125" spans="1:11" s="12" customFormat="1">
      <c r="A125" s="37"/>
      <c r="B125" s="38"/>
      <c r="C125" s="114" t="s">
        <v>548</v>
      </c>
      <c r="D125" s="235">
        <f>SUM(D92,D98,D111)</f>
        <v>1219688</v>
      </c>
      <c r="E125" s="237">
        <f>SUM(E92,E98,E111)</f>
        <v>928846</v>
      </c>
      <c r="F125" s="237">
        <f>SUM(F92,F98,F111)</f>
        <v>156082</v>
      </c>
      <c r="G125" s="271">
        <f>SUM(G92,G98,G111)</f>
        <v>134760</v>
      </c>
      <c r="H125" s="235">
        <f>SUM(H92,H98,H111,H123)</f>
        <v>2084584</v>
      </c>
      <c r="I125" s="237">
        <f>SUM(I92,I98,I111,I123)</f>
        <v>1793742</v>
      </c>
      <c r="J125" s="237">
        <f>SUM(J92,J98,J111,J123)</f>
        <v>156082</v>
      </c>
      <c r="K125" s="271">
        <f>SUM(K92,K98,K111,K123)</f>
        <v>134760</v>
      </c>
    </row>
    <row r="126" spans="1:11" s="12" customFormat="1">
      <c r="A126" s="37"/>
      <c r="B126" s="38"/>
      <c r="C126" s="62"/>
      <c r="D126" s="111"/>
      <c r="E126" s="222"/>
      <c r="F126" s="222"/>
      <c r="G126" s="251"/>
      <c r="H126" s="111"/>
      <c r="I126" s="222"/>
      <c r="J126" s="222"/>
      <c r="K126" s="251"/>
    </row>
    <row r="127" spans="1:11" s="12" customFormat="1">
      <c r="A127" s="37"/>
      <c r="B127" s="38" t="s">
        <v>439</v>
      </c>
      <c r="C127" s="62" t="s">
        <v>486</v>
      </c>
      <c r="D127" s="111"/>
      <c r="E127" s="222"/>
      <c r="F127" s="222"/>
      <c r="G127" s="251"/>
      <c r="H127" s="111"/>
      <c r="I127" s="222"/>
      <c r="J127" s="222"/>
      <c r="K127" s="251"/>
    </row>
    <row r="128" spans="1:11" s="12" customFormat="1">
      <c r="A128" s="37"/>
      <c r="B128" s="38"/>
      <c r="C128" s="62" t="s">
        <v>440</v>
      </c>
      <c r="D128" s="227">
        <v>31445</v>
      </c>
      <c r="E128" s="91">
        <v>31445</v>
      </c>
      <c r="F128" s="91"/>
      <c r="G128" s="255"/>
      <c r="H128" s="227">
        <v>31445</v>
      </c>
      <c r="I128" s="91">
        <v>31445</v>
      </c>
      <c r="J128" s="91"/>
      <c r="K128" s="255"/>
    </row>
    <row r="129" spans="1:11" s="12" customFormat="1">
      <c r="A129" s="37"/>
      <c r="B129" s="38"/>
      <c r="C129" s="62" t="s">
        <v>908</v>
      </c>
      <c r="D129" s="227">
        <v>64000</v>
      </c>
      <c r="E129" s="91">
        <v>64000</v>
      </c>
      <c r="F129" s="91"/>
      <c r="G129" s="255"/>
      <c r="H129" s="227">
        <v>64000</v>
      </c>
      <c r="I129" s="91">
        <v>64000</v>
      </c>
      <c r="J129" s="91"/>
      <c r="K129" s="255"/>
    </row>
    <row r="130" spans="1:11" s="12" customFormat="1">
      <c r="A130" s="37"/>
      <c r="B130" s="38"/>
      <c r="C130" s="62" t="s">
        <v>38</v>
      </c>
      <c r="D130" s="227"/>
      <c r="E130" s="91"/>
      <c r="F130" s="91"/>
      <c r="G130" s="255"/>
      <c r="H130" s="227"/>
      <c r="I130" s="91"/>
      <c r="J130" s="91"/>
      <c r="K130" s="255"/>
    </row>
    <row r="131" spans="1:11" s="12" customFormat="1">
      <c r="A131" s="37"/>
      <c r="B131" s="38"/>
      <c r="C131" s="62" t="s">
        <v>39</v>
      </c>
      <c r="D131" s="227">
        <v>93000</v>
      </c>
      <c r="E131" s="91">
        <v>93000</v>
      </c>
      <c r="F131" s="91"/>
      <c r="G131" s="255"/>
      <c r="H131" s="227">
        <v>93000</v>
      </c>
      <c r="I131" s="91">
        <v>93000</v>
      </c>
      <c r="J131" s="91"/>
      <c r="K131" s="255"/>
    </row>
    <row r="132" spans="1:11" s="12" customFormat="1">
      <c r="A132" s="37"/>
      <c r="B132" s="38"/>
      <c r="C132" s="114" t="s">
        <v>549</v>
      </c>
      <c r="D132" s="235">
        <f t="shared" ref="D132:K132" si="12">SUM(D128:D131)</f>
        <v>188445</v>
      </c>
      <c r="E132" s="237">
        <f t="shared" si="12"/>
        <v>188445</v>
      </c>
      <c r="F132" s="237">
        <f t="shared" si="12"/>
        <v>0</v>
      </c>
      <c r="G132" s="254">
        <f t="shared" si="12"/>
        <v>0</v>
      </c>
      <c r="H132" s="235">
        <f t="shared" si="12"/>
        <v>188445</v>
      </c>
      <c r="I132" s="237">
        <f t="shared" si="12"/>
        <v>188445</v>
      </c>
      <c r="J132" s="237">
        <f t="shared" si="12"/>
        <v>0</v>
      </c>
      <c r="K132" s="254">
        <f t="shared" si="12"/>
        <v>0</v>
      </c>
    </row>
    <row r="133" spans="1:11" s="12" customFormat="1">
      <c r="A133" s="37"/>
      <c r="B133" s="38"/>
      <c r="C133" s="62"/>
      <c r="D133" s="111"/>
      <c r="E133" s="222"/>
      <c r="F133" s="222"/>
      <c r="G133" s="251"/>
      <c r="H133" s="111"/>
      <c r="I133" s="222"/>
      <c r="J133" s="222"/>
      <c r="K133" s="251"/>
    </row>
    <row r="134" spans="1:11" s="12" customFormat="1">
      <c r="A134" s="37"/>
      <c r="B134" s="38" t="s">
        <v>429</v>
      </c>
      <c r="C134" s="62" t="s">
        <v>543</v>
      </c>
      <c r="D134" s="227"/>
      <c r="E134" s="91"/>
      <c r="F134" s="91"/>
      <c r="G134" s="255"/>
      <c r="H134" s="227"/>
      <c r="I134" s="91"/>
      <c r="J134" s="91"/>
      <c r="K134" s="255"/>
    </row>
    <row r="135" spans="1:11" s="12" customFormat="1">
      <c r="A135" s="37"/>
      <c r="B135" s="38"/>
      <c r="C135" s="62" t="s">
        <v>635</v>
      </c>
      <c r="D135" s="227"/>
      <c r="E135" s="91"/>
      <c r="F135" s="91"/>
      <c r="G135" s="255"/>
      <c r="H135" s="227"/>
      <c r="I135" s="91"/>
      <c r="J135" s="91"/>
      <c r="K135" s="255"/>
    </row>
    <row r="136" spans="1:11" s="12" customFormat="1">
      <c r="A136" s="37"/>
      <c r="B136" s="38"/>
      <c r="C136" s="62" t="s">
        <v>607</v>
      </c>
      <c r="D136" s="227"/>
      <c r="E136" s="91"/>
      <c r="F136" s="91"/>
      <c r="G136" s="255"/>
      <c r="H136" s="227"/>
      <c r="I136" s="91"/>
      <c r="J136" s="91"/>
      <c r="K136" s="255"/>
    </row>
    <row r="137" spans="1:11" s="12" customFormat="1">
      <c r="A137" s="37"/>
      <c r="B137" s="38"/>
      <c r="C137" s="62" t="s">
        <v>413</v>
      </c>
      <c r="D137" s="227">
        <v>6037</v>
      </c>
      <c r="E137" s="91">
        <v>6037</v>
      </c>
      <c r="F137" s="91"/>
      <c r="G137" s="255"/>
      <c r="H137" s="227">
        <v>6037</v>
      </c>
      <c r="I137" s="91">
        <v>6037</v>
      </c>
      <c r="J137" s="91"/>
      <c r="K137" s="255"/>
    </row>
    <row r="138" spans="1:11" s="12" customFormat="1">
      <c r="A138" s="37"/>
      <c r="B138" s="38"/>
      <c r="C138" s="62" t="s">
        <v>633</v>
      </c>
      <c r="D138" s="227">
        <v>3200</v>
      </c>
      <c r="E138" s="91">
        <v>3200</v>
      </c>
      <c r="F138" s="91"/>
      <c r="G138" s="255"/>
      <c r="H138" s="227">
        <v>3200</v>
      </c>
      <c r="I138" s="91">
        <v>3200</v>
      </c>
      <c r="J138" s="91"/>
      <c r="K138" s="255"/>
    </row>
    <row r="139" spans="1:11" s="12" customFormat="1">
      <c r="A139" s="37"/>
      <c r="B139" s="38"/>
      <c r="C139" s="62" t="s">
        <v>40</v>
      </c>
      <c r="D139" s="227"/>
      <c r="E139" s="91"/>
      <c r="F139" s="91"/>
      <c r="G139" s="255"/>
      <c r="H139" s="227"/>
      <c r="I139" s="91"/>
      <c r="J139" s="91"/>
      <c r="K139" s="255"/>
    </row>
    <row r="140" spans="1:11" s="12" customFormat="1">
      <c r="A140" s="37"/>
      <c r="B140" s="38"/>
      <c r="C140" s="62" t="s">
        <v>41</v>
      </c>
      <c r="D140" s="227">
        <v>240</v>
      </c>
      <c r="E140" s="91">
        <v>240</v>
      </c>
      <c r="F140" s="91"/>
      <c r="G140" s="255"/>
      <c r="H140" s="227">
        <v>240</v>
      </c>
      <c r="I140" s="91">
        <v>240</v>
      </c>
      <c r="J140" s="91"/>
      <c r="K140" s="255"/>
    </row>
    <row r="141" spans="1:11" s="12" customFormat="1">
      <c r="A141" s="37"/>
      <c r="B141" s="38"/>
      <c r="C141" s="62" t="s">
        <v>42</v>
      </c>
      <c r="D141" s="227">
        <v>1200</v>
      </c>
      <c r="E141" s="91"/>
      <c r="F141" s="91">
        <v>1200</v>
      </c>
      <c r="G141" s="255"/>
      <c r="H141" s="227">
        <v>1200</v>
      </c>
      <c r="I141" s="91"/>
      <c r="J141" s="91">
        <v>1200</v>
      </c>
      <c r="K141" s="255"/>
    </row>
    <row r="142" spans="1:11" s="12" customFormat="1">
      <c r="A142" s="37"/>
      <c r="B142" s="38"/>
      <c r="C142" s="62" t="s">
        <v>43</v>
      </c>
      <c r="D142" s="227">
        <v>35550</v>
      </c>
      <c r="E142" s="91">
        <v>35550</v>
      </c>
      <c r="F142" s="91">
        <v>0</v>
      </c>
      <c r="G142" s="255">
        <v>0</v>
      </c>
      <c r="H142" s="227">
        <v>38199</v>
      </c>
      <c r="I142" s="91">
        <v>38199</v>
      </c>
      <c r="J142" s="91">
        <v>0</v>
      </c>
      <c r="K142" s="255">
        <v>0</v>
      </c>
    </row>
    <row r="143" spans="1:11" s="12" customFormat="1">
      <c r="A143" s="37"/>
      <c r="B143" s="38"/>
      <c r="C143" s="62" t="s">
        <v>44</v>
      </c>
      <c r="D143" s="227"/>
      <c r="E143" s="91"/>
      <c r="F143" s="91"/>
      <c r="G143" s="255"/>
      <c r="H143" s="227"/>
      <c r="I143" s="91"/>
      <c r="J143" s="91"/>
      <c r="K143" s="255"/>
    </row>
    <row r="144" spans="1:11" s="12" customFormat="1">
      <c r="A144" s="37"/>
      <c r="B144" s="38"/>
      <c r="C144" s="62" t="s">
        <v>45</v>
      </c>
      <c r="D144" s="227">
        <v>8499</v>
      </c>
      <c r="E144" s="91"/>
      <c r="F144" s="91">
        <v>8499</v>
      </c>
      <c r="G144" s="255"/>
      <c r="H144" s="227">
        <v>8499</v>
      </c>
      <c r="I144" s="91"/>
      <c r="J144" s="91">
        <v>8499</v>
      </c>
      <c r="K144" s="255"/>
    </row>
    <row r="145" spans="1:11" s="29" customFormat="1">
      <c r="A145" s="56"/>
      <c r="B145" s="38"/>
      <c r="C145" s="62" t="s">
        <v>46</v>
      </c>
      <c r="D145" s="227">
        <v>8000</v>
      </c>
      <c r="E145" s="91"/>
      <c r="F145" s="91">
        <v>8000</v>
      </c>
      <c r="G145" s="255"/>
      <c r="H145" s="227">
        <v>8000</v>
      </c>
      <c r="I145" s="91"/>
      <c r="J145" s="91">
        <v>8000</v>
      </c>
      <c r="K145" s="255"/>
    </row>
    <row r="146" spans="1:11" s="29" customFormat="1">
      <c r="A146" s="56"/>
      <c r="B146" s="51"/>
      <c r="C146" s="62" t="s">
        <v>47</v>
      </c>
      <c r="D146" s="227">
        <v>8000</v>
      </c>
      <c r="E146" s="91"/>
      <c r="F146" s="91">
        <v>8000</v>
      </c>
      <c r="G146" s="255"/>
      <c r="H146" s="227">
        <v>8000</v>
      </c>
      <c r="I146" s="91"/>
      <c r="J146" s="91">
        <v>8000</v>
      </c>
      <c r="K146" s="255"/>
    </row>
    <row r="147" spans="1:11" s="29" customFormat="1">
      <c r="A147" s="56"/>
      <c r="B147" s="38"/>
      <c r="C147" s="62" t="s">
        <v>48</v>
      </c>
      <c r="D147" s="227">
        <v>6245</v>
      </c>
      <c r="E147" s="91"/>
      <c r="F147" s="91">
        <v>6245</v>
      </c>
      <c r="G147" s="255"/>
      <c r="H147" s="227">
        <v>6245</v>
      </c>
      <c r="I147" s="91"/>
      <c r="J147" s="91">
        <v>6245</v>
      </c>
      <c r="K147" s="255"/>
    </row>
    <row r="148" spans="1:11" s="29" customFormat="1">
      <c r="A148" s="56"/>
      <c r="B148" s="38"/>
      <c r="C148" s="62" t="s">
        <v>49</v>
      </c>
      <c r="D148" s="227">
        <v>1300</v>
      </c>
      <c r="E148" s="91"/>
      <c r="F148" s="91"/>
      <c r="G148" s="255">
        <v>1300</v>
      </c>
      <c r="H148" s="227">
        <v>1300</v>
      </c>
      <c r="I148" s="91"/>
      <c r="J148" s="91"/>
      <c r="K148" s="255">
        <v>1300</v>
      </c>
    </row>
    <row r="149" spans="1:11" s="29" customFormat="1" ht="30">
      <c r="A149" s="56"/>
      <c r="B149" s="38"/>
      <c r="C149" s="62" t="s">
        <v>50</v>
      </c>
      <c r="D149" s="227">
        <v>5036</v>
      </c>
      <c r="E149" s="91">
        <v>5036</v>
      </c>
      <c r="F149" s="91"/>
      <c r="G149" s="255"/>
      <c r="H149" s="227">
        <v>5036</v>
      </c>
      <c r="I149" s="91">
        <v>5036</v>
      </c>
      <c r="J149" s="91"/>
      <c r="K149" s="255"/>
    </row>
    <row r="150" spans="1:11" s="29" customFormat="1" ht="30">
      <c r="A150" s="56"/>
      <c r="B150" s="38"/>
      <c r="C150" s="62" t="s">
        <v>51</v>
      </c>
      <c r="D150" s="227">
        <v>962</v>
      </c>
      <c r="E150" s="91">
        <v>962</v>
      </c>
      <c r="F150" s="91"/>
      <c r="G150" s="255"/>
      <c r="H150" s="227">
        <v>962</v>
      </c>
      <c r="I150" s="91">
        <v>962</v>
      </c>
      <c r="J150" s="91"/>
      <c r="K150" s="255"/>
    </row>
    <row r="151" spans="1:11" s="29" customFormat="1" ht="30">
      <c r="A151" s="56"/>
      <c r="B151" s="38"/>
      <c r="C151" s="62" t="s">
        <v>52</v>
      </c>
      <c r="D151" s="227">
        <v>902</v>
      </c>
      <c r="E151" s="91">
        <v>902</v>
      </c>
      <c r="F151" s="91"/>
      <c r="G151" s="255"/>
      <c r="H151" s="227">
        <v>902</v>
      </c>
      <c r="I151" s="91">
        <v>902</v>
      </c>
      <c r="J151" s="91"/>
      <c r="K151" s="255"/>
    </row>
    <row r="152" spans="1:11" s="29" customFormat="1">
      <c r="A152" s="56"/>
      <c r="B152" s="38"/>
      <c r="C152" s="62" t="s">
        <v>53</v>
      </c>
      <c r="D152" s="227">
        <v>16498</v>
      </c>
      <c r="E152" s="91">
        <v>16498</v>
      </c>
      <c r="F152" s="91"/>
      <c r="G152" s="255"/>
      <c r="H152" s="227">
        <v>16498</v>
      </c>
      <c r="I152" s="91">
        <v>16498</v>
      </c>
      <c r="J152" s="91"/>
      <c r="K152" s="255"/>
    </row>
    <row r="153" spans="1:11" s="29" customFormat="1">
      <c r="A153" s="56"/>
      <c r="B153" s="38"/>
      <c r="C153" s="62" t="s">
        <v>54</v>
      </c>
      <c r="D153" s="227">
        <v>5000</v>
      </c>
      <c r="E153" s="91">
        <v>5000</v>
      </c>
      <c r="F153" s="662"/>
      <c r="G153" s="255"/>
      <c r="H153" s="227">
        <v>5000</v>
      </c>
      <c r="I153" s="91">
        <v>5000</v>
      </c>
      <c r="J153" s="662"/>
      <c r="K153" s="255"/>
    </row>
    <row r="154" spans="1:11" s="29" customFormat="1">
      <c r="A154" s="56"/>
      <c r="B154" s="38"/>
      <c r="C154" s="679" t="s">
        <v>55</v>
      </c>
      <c r="D154" s="227"/>
      <c r="E154" s="91"/>
      <c r="F154" s="662"/>
      <c r="G154" s="255"/>
      <c r="H154" s="227">
        <v>6214</v>
      </c>
      <c r="I154" s="91">
        <v>6214</v>
      </c>
      <c r="J154" s="662"/>
      <c r="K154" s="255"/>
    </row>
    <row r="155" spans="1:11" s="29" customFormat="1" ht="30">
      <c r="A155" s="56"/>
      <c r="B155" s="38"/>
      <c r="C155" s="679" t="s">
        <v>929</v>
      </c>
      <c r="D155" s="227"/>
      <c r="E155" s="91"/>
      <c r="F155" s="662"/>
      <c r="G155" s="686"/>
      <c r="H155" s="227">
        <v>17858</v>
      </c>
      <c r="I155" s="91">
        <v>17858</v>
      </c>
      <c r="J155" s="662"/>
      <c r="K155" s="686"/>
    </row>
    <row r="156" spans="1:11" s="29" customFormat="1">
      <c r="A156" s="56"/>
      <c r="B156" s="38"/>
      <c r="C156" s="113" t="s">
        <v>485</v>
      </c>
      <c r="D156" s="149">
        <f>SUM(D136:D154)</f>
        <v>106669</v>
      </c>
      <c r="E156" s="54">
        <f>SUM(E136:E154)</f>
        <v>73425</v>
      </c>
      <c r="F156" s="54">
        <f>SUM(F136:F154)</f>
        <v>31944</v>
      </c>
      <c r="G156" s="673">
        <f>SUM(G136:G154)</f>
        <v>1300</v>
      </c>
      <c r="H156" s="149">
        <f>SUM(H136:H155)</f>
        <v>133390</v>
      </c>
      <c r="I156" s="54">
        <f>SUM(I136:I155)</f>
        <v>100146</v>
      </c>
      <c r="J156" s="54">
        <f>SUM(J136:J154)</f>
        <v>31944</v>
      </c>
      <c r="K156" s="673">
        <f>SUM(K136:K154)</f>
        <v>1300</v>
      </c>
    </row>
    <row r="157" spans="1:11" s="29" customFormat="1">
      <c r="A157" s="56"/>
      <c r="B157" s="51"/>
      <c r="C157" s="113"/>
      <c r="D157" s="215"/>
      <c r="E157" s="221"/>
      <c r="F157" s="221"/>
      <c r="G157" s="252"/>
      <c r="H157" s="215"/>
      <c r="I157" s="221"/>
      <c r="J157" s="221"/>
      <c r="K157" s="252"/>
    </row>
    <row r="158" spans="1:11" s="29" customFormat="1">
      <c r="A158" s="56"/>
      <c r="C158" s="62" t="s">
        <v>636</v>
      </c>
      <c r="D158" s="227"/>
      <c r="E158" s="91"/>
      <c r="F158" s="91"/>
      <c r="G158" s="255"/>
      <c r="H158" s="227"/>
      <c r="I158" s="91"/>
      <c r="J158" s="91"/>
      <c r="K158" s="255"/>
    </row>
    <row r="159" spans="1:11" s="29" customFormat="1">
      <c r="A159" s="56"/>
      <c r="B159" s="51"/>
      <c r="C159" s="63" t="s">
        <v>56</v>
      </c>
      <c r="D159" s="227">
        <v>8215</v>
      </c>
      <c r="E159" s="91">
        <v>8215</v>
      </c>
      <c r="F159" s="91"/>
      <c r="G159" s="255"/>
      <c r="H159" s="227">
        <v>8215</v>
      </c>
      <c r="I159" s="91">
        <v>8215</v>
      </c>
      <c r="J159" s="91"/>
      <c r="K159" s="255"/>
    </row>
    <row r="160" spans="1:11" s="29" customFormat="1">
      <c r="A160" s="56"/>
      <c r="B160" s="51"/>
      <c r="C160" s="62" t="s">
        <v>57</v>
      </c>
      <c r="D160" s="227">
        <v>141232</v>
      </c>
      <c r="E160" s="91"/>
      <c r="F160" s="91">
        <v>141232</v>
      </c>
      <c r="G160" s="255"/>
      <c r="H160" s="227">
        <v>141232</v>
      </c>
      <c r="I160" s="91"/>
      <c r="J160" s="91">
        <v>141232</v>
      </c>
      <c r="K160" s="255"/>
    </row>
    <row r="161" spans="1:11" s="30" customFormat="1" ht="17.25">
      <c r="A161" s="37"/>
      <c r="B161" s="51"/>
      <c r="C161" s="62" t="s">
        <v>58</v>
      </c>
      <c r="D161" s="227"/>
      <c r="E161" s="91"/>
      <c r="F161" s="91"/>
      <c r="G161" s="255"/>
      <c r="H161" s="227"/>
      <c r="I161" s="91"/>
      <c r="J161" s="91"/>
      <c r="K161" s="255"/>
    </row>
    <row r="162" spans="1:11" s="30" customFormat="1" ht="17.25">
      <c r="A162" s="37"/>
      <c r="B162" s="51"/>
      <c r="C162" s="62" t="s">
        <v>59</v>
      </c>
      <c r="D162" s="227">
        <v>112</v>
      </c>
      <c r="E162" s="91"/>
      <c r="F162" s="91">
        <v>112</v>
      </c>
      <c r="G162" s="255"/>
      <c r="H162" s="227">
        <v>112</v>
      </c>
      <c r="I162" s="91"/>
      <c r="J162" s="91">
        <v>112</v>
      </c>
      <c r="K162" s="255"/>
    </row>
    <row r="163" spans="1:11" s="29" customFormat="1">
      <c r="A163" s="37"/>
      <c r="B163" s="51"/>
      <c r="C163" s="113" t="s">
        <v>485</v>
      </c>
      <c r="D163" s="231">
        <f t="shared" ref="D163:K163" si="13">SUM(D158:D162)</f>
        <v>149559</v>
      </c>
      <c r="E163" s="232">
        <f t="shared" si="13"/>
        <v>8215</v>
      </c>
      <c r="F163" s="232">
        <f t="shared" si="13"/>
        <v>141344</v>
      </c>
      <c r="G163" s="256">
        <f t="shared" si="13"/>
        <v>0</v>
      </c>
      <c r="H163" s="231">
        <f t="shared" si="13"/>
        <v>149559</v>
      </c>
      <c r="I163" s="232">
        <f t="shared" si="13"/>
        <v>8215</v>
      </c>
      <c r="J163" s="232">
        <f t="shared" si="13"/>
        <v>141344</v>
      </c>
      <c r="K163" s="256">
        <f t="shared" si="13"/>
        <v>0</v>
      </c>
    </row>
    <row r="164" spans="1:11" s="12" customFormat="1">
      <c r="A164" s="56"/>
      <c r="B164" s="51"/>
      <c r="C164" s="113"/>
      <c r="D164" s="231"/>
      <c r="E164" s="232"/>
      <c r="F164" s="232"/>
      <c r="G164" s="256"/>
      <c r="H164" s="231"/>
      <c r="I164" s="232"/>
      <c r="J164" s="232"/>
      <c r="K164" s="256"/>
    </row>
    <row r="165" spans="1:11" s="12" customFormat="1">
      <c r="A165" s="56"/>
      <c r="B165" s="51"/>
      <c r="C165" s="114" t="s">
        <v>550</v>
      </c>
      <c r="D165" s="235">
        <f t="shared" ref="D165:K165" si="14">D156+D163</f>
        <v>256228</v>
      </c>
      <c r="E165" s="237">
        <f t="shared" si="14"/>
        <v>81640</v>
      </c>
      <c r="F165" s="237">
        <f t="shared" si="14"/>
        <v>173288</v>
      </c>
      <c r="G165" s="254">
        <f t="shared" si="14"/>
        <v>1300</v>
      </c>
      <c r="H165" s="235">
        <f t="shared" si="14"/>
        <v>282949</v>
      </c>
      <c r="I165" s="237">
        <f t="shared" si="14"/>
        <v>108361</v>
      </c>
      <c r="J165" s="237">
        <f t="shared" si="14"/>
        <v>173288</v>
      </c>
      <c r="K165" s="254">
        <f t="shared" si="14"/>
        <v>1300</v>
      </c>
    </row>
    <row r="166" spans="1:11" s="12" customFormat="1">
      <c r="A166" s="56"/>
      <c r="B166" s="51"/>
      <c r="C166" s="114"/>
      <c r="D166" s="216"/>
      <c r="E166" s="223"/>
      <c r="F166" s="223"/>
      <c r="G166" s="253"/>
      <c r="H166" s="216"/>
      <c r="I166" s="223"/>
      <c r="J166" s="223"/>
      <c r="K166" s="253"/>
    </row>
    <row r="167" spans="1:11" s="12" customFormat="1">
      <c r="A167" s="56"/>
      <c r="B167" s="38" t="s">
        <v>441</v>
      </c>
      <c r="C167" s="62" t="s">
        <v>725</v>
      </c>
      <c r="D167" s="111"/>
      <c r="E167" s="222"/>
      <c r="F167" s="222"/>
      <c r="G167" s="251"/>
      <c r="H167" s="111"/>
      <c r="I167" s="222"/>
      <c r="J167" s="222"/>
      <c r="K167" s="680"/>
    </row>
    <row r="168" spans="1:11" s="12" customFormat="1">
      <c r="A168" s="56"/>
      <c r="B168" s="59"/>
      <c r="C168" s="62" t="s">
        <v>726</v>
      </c>
      <c r="D168" s="111"/>
      <c r="E168" s="222"/>
      <c r="F168" s="222"/>
      <c r="G168" s="251"/>
      <c r="H168" s="111"/>
      <c r="I168" s="222"/>
      <c r="J168" s="222"/>
      <c r="K168" s="680"/>
    </row>
    <row r="169" spans="1:11" s="12" customFormat="1" ht="30">
      <c r="A169" s="681"/>
      <c r="B169" s="59"/>
      <c r="C169" s="62" t="s">
        <v>930</v>
      </c>
      <c r="D169" s="111"/>
      <c r="E169" s="222"/>
      <c r="F169" s="222"/>
      <c r="G169" s="251"/>
      <c r="H169" s="227">
        <v>5930</v>
      </c>
      <c r="I169" s="91">
        <v>5930</v>
      </c>
      <c r="J169" s="222"/>
      <c r="K169" s="680"/>
    </row>
    <row r="170" spans="1:11" s="30" customFormat="1" ht="17.25">
      <c r="B170" s="51"/>
      <c r="C170" s="113" t="s">
        <v>485</v>
      </c>
      <c r="D170" s="215">
        <f>SUM(D167:D168)</f>
        <v>0</v>
      </c>
      <c r="E170" s="221">
        <f>SUM(E167:E168)</f>
        <v>0</v>
      </c>
      <c r="F170" s="221">
        <f>SUM(F167:F168)</f>
        <v>0</v>
      </c>
      <c r="G170" s="252">
        <f>SUM(G167:G168)</f>
        <v>0</v>
      </c>
      <c r="H170" s="231">
        <f>SUM(H168:H169)</f>
        <v>5930</v>
      </c>
      <c r="I170" s="232">
        <f>SUM(I168:I169)</f>
        <v>5930</v>
      </c>
      <c r="J170" s="232">
        <f>SUM(J168:J169)</f>
        <v>0</v>
      </c>
      <c r="K170" s="682">
        <f>SUM(K168:K169)</f>
        <v>0</v>
      </c>
    </row>
    <row r="171" spans="1:11" s="28" customFormat="1">
      <c r="A171" s="40"/>
      <c r="B171" s="38"/>
      <c r="C171" s="62"/>
      <c r="D171" s="111"/>
      <c r="E171" s="222"/>
      <c r="F171" s="222"/>
      <c r="G171" s="251"/>
      <c r="H171" s="111"/>
      <c r="I171" s="222"/>
      <c r="J171" s="222"/>
      <c r="K171" s="680"/>
    </row>
    <row r="172" spans="1:11" s="28" customFormat="1">
      <c r="A172" s="40"/>
      <c r="B172" s="38"/>
      <c r="C172" s="62" t="s">
        <v>727</v>
      </c>
      <c r="D172" s="111"/>
      <c r="E172" s="222"/>
      <c r="F172" s="222"/>
      <c r="G172" s="251"/>
      <c r="H172" s="111"/>
      <c r="I172" s="222"/>
      <c r="J172" s="222"/>
      <c r="K172" s="680"/>
    </row>
    <row r="173" spans="1:11" s="28" customFormat="1">
      <c r="A173" s="40"/>
      <c r="B173" s="38"/>
      <c r="C173" s="62" t="s">
        <v>512</v>
      </c>
      <c r="D173" s="227">
        <v>1000</v>
      </c>
      <c r="E173" s="91">
        <v>1000</v>
      </c>
      <c r="F173" s="91"/>
      <c r="G173" s="255"/>
      <c r="H173" s="227">
        <v>1000</v>
      </c>
      <c r="I173" s="91">
        <v>1000</v>
      </c>
      <c r="J173" s="91"/>
      <c r="K173" s="255"/>
    </row>
    <row r="174" spans="1:11" s="28" customFormat="1">
      <c r="A174" s="37"/>
      <c r="B174" s="59"/>
      <c r="C174" s="62" t="s">
        <v>569</v>
      </c>
      <c r="D174" s="227">
        <v>417</v>
      </c>
      <c r="E174" s="91">
        <v>417</v>
      </c>
      <c r="F174" s="91"/>
      <c r="G174" s="255"/>
      <c r="H174" s="227">
        <v>417</v>
      </c>
      <c r="I174" s="91">
        <v>417</v>
      </c>
      <c r="J174" s="91"/>
      <c r="K174" s="255"/>
    </row>
    <row r="175" spans="1:11" s="28" customFormat="1">
      <c r="A175" s="37"/>
      <c r="B175" s="59"/>
      <c r="C175" s="62" t="s">
        <v>60</v>
      </c>
      <c r="D175" s="111"/>
      <c r="E175" s="222"/>
      <c r="F175" s="222"/>
      <c r="G175" s="251"/>
      <c r="H175" s="227">
        <v>1435</v>
      </c>
      <c r="I175" s="91">
        <v>1435</v>
      </c>
      <c r="J175" s="91"/>
      <c r="K175" s="255"/>
    </row>
    <row r="176" spans="1:11" s="28" customFormat="1">
      <c r="A176" s="37"/>
      <c r="B176" s="59"/>
      <c r="C176" s="62" t="s">
        <v>931</v>
      </c>
      <c r="D176" s="111"/>
      <c r="E176" s="222"/>
      <c r="F176" s="222"/>
      <c r="G176" s="251"/>
      <c r="H176" s="227">
        <v>400</v>
      </c>
      <c r="I176" s="91">
        <v>400</v>
      </c>
      <c r="J176" s="91"/>
      <c r="K176" s="686"/>
    </row>
    <row r="177" spans="1:11" s="28" customFormat="1" ht="30">
      <c r="A177" s="37"/>
      <c r="B177" s="59"/>
      <c r="C177" s="62" t="s">
        <v>932</v>
      </c>
      <c r="D177" s="111"/>
      <c r="E177" s="222"/>
      <c r="F177" s="222"/>
      <c r="G177" s="251"/>
      <c r="H177" s="227">
        <v>1330</v>
      </c>
      <c r="I177" s="91">
        <v>1330</v>
      </c>
      <c r="J177" s="91"/>
      <c r="K177" s="686"/>
    </row>
    <row r="178" spans="1:11" s="28" customFormat="1">
      <c r="A178" s="37"/>
      <c r="B178" s="41"/>
      <c r="C178" s="113" t="s">
        <v>485</v>
      </c>
      <c r="D178" s="231">
        <f>SUM(D173:D174)</f>
        <v>1417</v>
      </c>
      <c r="E178" s="232">
        <f>SUM(E173:E174)</f>
        <v>1417</v>
      </c>
      <c r="F178" s="232">
        <f>SUM(F173:F174)</f>
        <v>0</v>
      </c>
      <c r="G178" s="256">
        <f>SUM(G173:G174)</f>
        <v>0</v>
      </c>
      <c r="H178" s="231">
        <f>SUM(H173:H177)</f>
        <v>4582</v>
      </c>
      <c r="I178" s="232">
        <f>SUM(I173:I177)</f>
        <v>4582</v>
      </c>
      <c r="J178" s="232">
        <f>SUM(J173:J175)</f>
        <v>0</v>
      </c>
      <c r="K178" s="682">
        <f>SUM(K173:K175)</f>
        <v>0</v>
      </c>
    </row>
    <row r="179" spans="1:11" s="28" customFormat="1">
      <c r="A179" s="37"/>
      <c r="B179" s="41"/>
      <c r="C179" s="113"/>
      <c r="D179" s="231"/>
      <c r="E179" s="232"/>
      <c r="F179" s="232"/>
      <c r="G179" s="256"/>
      <c r="H179" s="231"/>
      <c r="I179" s="232"/>
      <c r="J179" s="232"/>
      <c r="K179" s="256"/>
    </row>
    <row r="180" spans="1:11" s="28" customFormat="1">
      <c r="A180" s="37"/>
      <c r="B180" s="41"/>
      <c r="C180" s="114" t="s">
        <v>551</v>
      </c>
      <c r="D180" s="235">
        <f t="shared" ref="D180:K180" si="15">D170+D178</f>
        <v>1417</v>
      </c>
      <c r="E180" s="237">
        <f t="shared" si="15"/>
        <v>1417</v>
      </c>
      <c r="F180" s="237">
        <f t="shared" si="15"/>
        <v>0</v>
      </c>
      <c r="G180" s="254">
        <f t="shared" si="15"/>
        <v>0</v>
      </c>
      <c r="H180" s="235">
        <f t="shared" si="15"/>
        <v>10512</v>
      </c>
      <c r="I180" s="237">
        <f t="shared" si="15"/>
        <v>10512</v>
      </c>
      <c r="J180" s="237">
        <f t="shared" si="15"/>
        <v>0</v>
      </c>
      <c r="K180" s="254">
        <f t="shared" si="15"/>
        <v>0</v>
      </c>
    </row>
    <row r="181" spans="1:11" s="28" customFormat="1">
      <c r="A181" s="37"/>
      <c r="B181" s="41"/>
      <c r="C181" s="113"/>
      <c r="D181" s="215"/>
      <c r="E181" s="221"/>
      <c r="F181" s="221"/>
      <c r="G181" s="252"/>
      <c r="H181" s="215"/>
      <c r="I181" s="221"/>
      <c r="J181" s="221"/>
      <c r="K181" s="252"/>
    </row>
    <row r="182" spans="1:11" s="28" customFormat="1">
      <c r="A182" s="37"/>
      <c r="B182" s="38" t="s">
        <v>447</v>
      </c>
      <c r="C182" s="62" t="s">
        <v>496</v>
      </c>
      <c r="D182" s="227"/>
      <c r="E182" s="91"/>
      <c r="F182" s="91"/>
      <c r="G182" s="251"/>
      <c r="H182" s="227"/>
      <c r="I182" s="91"/>
      <c r="J182" s="91"/>
      <c r="K182" s="251"/>
    </row>
    <row r="183" spans="1:11" s="28" customFormat="1">
      <c r="A183" s="37"/>
      <c r="B183" s="41"/>
      <c r="C183" s="62" t="s">
        <v>652</v>
      </c>
      <c r="D183" s="227"/>
      <c r="E183" s="91"/>
      <c r="F183" s="91"/>
      <c r="G183" s="251"/>
      <c r="H183" s="227"/>
      <c r="I183" s="91"/>
      <c r="J183" s="91"/>
      <c r="K183" s="251"/>
    </row>
    <row r="184" spans="1:11" s="28" customFormat="1">
      <c r="A184" s="37"/>
      <c r="B184" s="41"/>
      <c r="C184" s="62" t="s">
        <v>653</v>
      </c>
      <c r="D184" s="227">
        <v>140653</v>
      </c>
      <c r="E184" s="91">
        <v>140653</v>
      </c>
      <c r="F184" s="91"/>
      <c r="G184" s="251"/>
      <c r="H184" s="227">
        <v>140653</v>
      </c>
      <c r="I184" s="91">
        <v>140653</v>
      </c>
      <c r="J184" s="91"/>
      <c r="K184" s="251"/>
    </row>
    <row r="185" spans="1:11" s="28" customFormat="1">
      <c r="A185" s="37"/>
      <c r="B185" s="41"/>
      <c r="C185" s="62" t="s">
        <v>843</v>
      </c>
      <c r="D185" s="227">
        <v>57000</v>
      </c>
      <c r="E185" s="91">
        <v>57000</v>
      </c>
      <c r="F185" s="91"/>
      <c r="G185" s="251"/>
      <c r="H185" s="227">
        <v>57000</v>
      </c>
      <c r="I185" s="91">
        <v>57000</v>
      </c>
      <c r="J185" s="91"/>
      <c r="K185" s="251"/>
    </row>
    <row r="186" spans="1:11" s="28" customFormat="1">
      <c r="A186" s="37"/>
      <c r="B186" s="41"/>
      <c r="C186" s="62" t="s">
        <v>844</v>
      </c>
      <c r="D186" s="227">
        <v>100</v>
      </c>
      <c r="E186" s="91">
        <v>100</v>
      </c>
      <c r="F186" s="91"/>
      <c r="G186" s="251"/>
      <c r="H186" s="227">
        <v>100</v>
      </c>
      <c r="I186" s="91">
        <v>100</v>
      </c>
      <c r="J186" s="91"/>
      <c r="K186" s="251"/>
    </row>
    <row r="187" spans="1:11" s="28" customFormat="1">
      <c r="A187" s="37"/>
      <c r="B187" s="41"/>
      <c r="C187" s="62" t="s">
        <v>845</v>
      </c>
      <c r="D187" s="227">
        <v>943</v>
      </c>
      <c r="E187" s="91">
        <v>943</v>
      </c>
      <c r="F187" s="91"/>
      <c r="G187" s="251"/>
      <c r="H187" s="227">
        <v>943</v>
      </c>
      <c r="I187" s="91">
        <v>943</v>
      </c>
      <c r="J187" s="91"/>
      <c r="K187" s="251"/>
    </row>
    <row r="188" spans="1:11" s="28" customFormat="1">
      <c r="A188" s="37"/>
      <c r="B188" s="41"/>
      <c r="C188" s="113" t="s">
        <v>485</v>
      </c>
      <c r="D188" s="231">
        <f t="shared" ref="D188:K188" si="16">SUM(D184:D187)</f>
        <v>198696</v>
      </c>
      <c r="E188" s="232">
        <f t="shared" si="16"/>
        <v>198696</v>
      </c>
      <c r="F188" s="232">
        <f t="shared" si="16"/>
        <v>0</v>
      </c>
      <c r="G188" s="256">
        <f t="shared" si="16"/>
        <v>0</v>
      </c>
      <c r="H188" s="231">
        <f t="shared" si="16"/>
        <v>198696</v>
      </c>
      <c r="I188" s="232">
        <f t="shared" si="16"/>
        <v>198696</v>
      </c>
      <c r="J188" s="232">
        <f t="shared" si="16"/>
        <v>0</v>
      </c>
      <c r="K188" s="256">
        <f t="shared" si="16"/>
        <v>0</v>
      </c>
    </row>
    <row r="189" spans="1:11" s="28" customFormat="1">
      <c r="A189" s="37"/>
      <c r="B189" s="41"/>
      <c r="C189" s="114" t="s">
        <v>552</v>
      </c>
      <c r="D189" s="235">
        <f t="shared" ref="D189:K189" si="17">D188</f>
        <v>198696</v>
      </c>
      <c r="E189" s="237">
        <f t="shared" si="17"/>
        <v>198696</v>
      </c>
      <c r="F189" s="237">
        <f t="shared" si="17"/>
        <v>0</v>
      </c>
      <c r="G189" s="254">
        <f t="shared" si="17"/>
        <v>0</v>
      </c>
      <c r="H189" s="235">
        <f t="shared" si="17"/>
        <v>198696</v>
      </c>
      <c r="I189" s="237">
        <f t="shared" si="17"/>
        <v>198696</v>
      </c>
      <c r="J189" s="237">
        <f t="shared" si="17"/>
        <v>0</v>
      </c>
      <c r="K189" s="254">
        <f t="shared" si="17"/>
        <v>0</v>
      </c>
    </row>
    <row r="190" spans="1:11" s="28" customFormat="1">
      <c r="A190" s="37"/>
      <c r="B190" s="41"/>
      <c r="C190" s="62"/>
      <c r="D190" s="227"/>
      <c r="E190" s="91"/>
      <c r="F190" s="91"/>
      <c r="G190" s="251"/>
      <c r="H190" s="227"/>
      <c r="I190" s="91"/>
      <c r="J190" s="91"/>
      <c r="K190" s="251"/>
    </row>
    <row r="191" spans="1:11" s="28" customFormat="1">
      <c r="A191" s="37"/>
      <c r="B191" s="41"/>
      <c r="C191" s="112" t="s">
        <v>433</v>
      </c>
      <c r="D191" s="236">
        <f t="shared" ref="D191:K191" si="18">D89+D125+D132+D165+D180+D189</f>
        <v>2599974</v>
      </c>
      <c r="E191" s="238">
        <f t="shared" si="18"/>
        <v>2134544</v>
      </c>
      <c r="F191" s="238">
        <f t="shared" si="18"/>
        <v>329370</v>
      </c>
      <c r="G191" s="257">
        <f t="shared" si="18"/>
        <v>136060</v>
      </c>
      <c r="H191" s="236">
        <f t="shared" si="18"/>
        <v>3453929</v>
      </c>
      <c r="I191" s="238">
        <f t="shared" si="18"/>
        <v>2988499</v>
      </c>
      <c r="J191" s="238">
        <f t="shared" si="18"/>
        <v>329370</v>
      </c>
      <c r="K191" s="257">
        <f t="shared" si="18"/>
        <v>136060</v>
      </c>
    </row>
    <row r="192" spans="1:11" s="28" customFormat="1">
      <c r="A192" s="37"/>
      <c r="B192" s="41"/>
      <c r="C192" s="42"/>
      <c r="D192" s="212"/>
      <c r="E192" s="47"/>
      <c r="F192" s="47"/>
      <c r="G192" s="246"/>
      <c r="H192" s="212"/>
      <c r="I192" s="47"/>
      <c r="J192" s="47"/>
      <c r="K192" s="246"/>
    </row>
    <row r="193" spans="1:11" s="28" customFormat="1">
      <c r="A193" s="37"/>
      <c r="B193" s="41"/>
      <c r="C193" s="42"/>
      <c r="D193" s="212"/>
      <c r="E193" s="47"/>
      <c r="F193" s="47"/>
      <c r="G193" s="246"/>
      <c r="H193" s="212"/>
      <c r="I193" s="47"/>
      <c r="J193" s="47"/>
      <c r="K193" s="246"/>
    </row>
    <row r="194" spans="1:11" s="28" customFormat="1">
      <c r="A194" s="736" t="s">
        <v>442</v>
      </c>
      <c r="B194" s="737"/>
      <c r="C194" s="738"/>
      <c r="D194" s="258">
        <f t="shared" ref="D194:K194" si="19">D50+D63+D191</f>
        <v>2712272</v>
      </c>
      <c r="E194" s="241">
        <f t="shared" si="19"/>
        <v>2242942</v>
      </c>
      <c r="F194" s="241">
        <f t="shared" si="19"/>
        <v>333270</v>
      </c>
      <c r="G194" s="259">
        <f t="shared" si="19"/>
        <v>136060</v>
      </c>
      <c r="H194" s="258">
        <f t="shared" si="19"/>
        <v>3575353</v>
      </c>
      <c r="I194" s="241">
        <f t="shared" si="19"/>
        <v>3106023</v>
      </c>
      <c r="J194" s="241">
        <f t="shared" si="19"/>
        <v>333270</v>
      </c>
      <c r="K194" s="259">
        <f t="shared" si="19"/>
        <v>136060</v>
      </c>
    </row>
    <row r="195" spans="1:11" s="28" customFormat="1">
      <c r="A195" s="37"/>
      <c r="B195" s="41"/>
      <c r="C195" s="42"/>
      <c r="D195" s="212"/>
      <c r="E195" s="47"/>
      <c r="F195" s="47"/>
      <c r="G195" s="246"/>
      <c r="H195" s="212"/>
      <c r="I195" s="47"/>
      <c r="J195" s="47"/>
      <c r="K195" s="246"/>
    </row>
    <row r="196" spans="1:11" s="28" customFormat="1" ht="30">
      <c r="A196" s="37"/>
      <c r="B196" s="108" t="s">
        <v>449</v>
      </c>
      <c r="C196" s="65" t="s">
        <v>497</v>
      </c>
      <c r="D196" s="239"/>
      <c r="E196" s="240"/>
      <c r="F196" s="240"/>
      <c r="G196" s="260"/>
      <c r="H196" s="239"/>
      <c r="I196" s="240"/>
      <c r="J196" s="240"/>
      <c r="K196" s="260"/>
    </row>
    <row r="197" spans="1:11" s="28" customFormat="1">
      <c r="A197" s="37"/>
      <c r="B197" s="41" t="s">
        <v>498</v>
      </c>
      <c r="C197" s="42" t="s">
        <v>494</v>
      </c>
      <c r="D197" s="208"/>
      <c r="E197" s="46"/>
      <c r="F197" s="46"/>
      <c r="G197" s="228"/>
      <c r="H197" s="208"/>
      <c r="I197" s="46"/>
      <c r="J197" s="46"/>
      <c r="K197" s="228"/>
    </row>
    <row r="198" spans="1:11" s="30" customFormat="1" ht="17.25">
      <c r="A198" s="50"/>
      <c r="B198" s="51"/>
      <c r="C198" s="39" t="s">
        <v>655</v>
      </c>
      <c r="D198" s="209">
        <v>326</v>
      </c>
      <c r="E198" s="43">
        <v>326</v>
      </c>
      <c r="F198" s="43"/>
      <c r="G198" s="248"/>
      <c r="H198" s="209">
        <v>326</v>
      </c>
      <c r="I198" s="43">
        <v>326</v>
      </c>
      <c r="J198" s="43"/>
      <c r="K198" s="248"/>
    </row>
    <row r="199" spans="1:11" s="30" customFormat="1" ht="17.25">
      <c r="A199" s="50"/>
      <c r="B199" s="51"/>
      <c r="C199" s="39" t="s">
        <v>656</v>
      </c>
      <c r="D199" s="209">
        <v>1280</v>
      </c>
      <c r="E199" s="43">
        <v>1280</v>
      </c>
      <c r="F199" s="43"/>
      <c r="G199" s="248"/>
      <c r="H199" s="209">
        <v>1280</v>
      </c>
      <c r="I199" s="43">
        <v>1280</v>
      </c>
      <c r="J199" s="43"/>
      <c r="K199" s="248"/>
    </row>
    <row r="200" spans="1:11" s="28" customFormat="1">
      <c r="A200" s="37"/>
      <c r="B200" s="38"/>
      <c r="C200" s="39" t="s">
        <v>657</v>
      </c>
      <c r="D200" s="209">
        <v>3102</v>
      </c>
      <c r="E200" s="43">
        <v>3102</v>
      </c>
      <c r="F200" s="43"/>
      <c r="G200" s="248"/>
      <c r="H200" s="209">
        <v>3102</v>
      </c>
      <c r="I200" s="43">
        <v>3102</v>
      </c>
      <c r="J200" s="43"/>
      <c r="K200" s="248"/>
    </row>
    <row r="201" spans="1:11" s="29" customFormat="1">
      <c r="A201" s="220"/>
      <c r="B201" s="51"/>
      <c r="C201" s="39" t="s">
        <v>658</v>
      </c>
      <c r="D201" s="209">
        <v>1392</v>
      </c>
      <c r="E201" s="43">
        <v>1392</v>
      </c>
      <c r="F201" s="43"/>
      <c r="G201" s="248"/>
      <c r="H201" s="209">
        <v>1392</v>
      </c>
      <c r="I201" s="43">
        <v>1392</v>
      </c>
      <c r="J201" s="43"/>
      <c r="K201" s="248"/>
    </row>
    <row r="202" spans="1:11" s="29" customFormat="1">
      <c r="A202" s="50"/>
      <c r="B202" s="51"/>
      <c r="C202" s="39" t="s">
        <v>659</v>
      </c>
      <c r="D202" s="209">
        <v>1146</v>
      </c>
      <c r="E202" s="43">
        <v>1146</v>
      </c>
      <c r="F202" s="43"/>
      <c r="G202" s="248"/>
      <c r="H202" s="209">
        <v>1146</v>
      </c>
      <c r="I202" s="43">
        <v>1146</v>
      </c>
      <c r="J202" s="43"/>
      <c r="K202" s="248"/>
    </row>
    <row r="203" spans="1:11" s="12" customFormat="1">
      <c r="A203" s="37"/>
      <c r="B203" s="38"/>
      <c r="C203" s="39" t="s">
        <v>514</v>
      </c>
      <c r="D203" s="209">
        <v>33514</v>
      </c>
      <c r="E203" s="43">
        <v>33514</v>
      </c>
      <c r="F203" s="43"/>
      <c r="G203" s="248"/>
      <c r="H203" s="209">
        <v>33514</v>
      </c>
      <c r="I203" s="43">
        <v>33514</v>
      </c>
      <c r="J203" s="43"/>
      <c r="K203" s="248"/>
    </row>
    <row r="204" spans="1:11" s="12" customFormat="1">
      <c r="A204" s="37"/>
      <c r="B204" s="38"/>
      <c r="C204" s="39" t="s">
        <v>672</v>
      </c>
      <c r="D204" s="209">
        <v>5499</v>
      </c>
      <c r="E204" s="43">
        <v>5499</v>
      </c>
      <c r="F204" s="43"/>
      <c r="G204" s="248"/>
      <c r="H204" s="209">
        <v>5499</v>
      </c>
      <c r="I204" s="43">
        <v>5499</v>
      </c>
      <c r="J204" s="43"/>
      <c r="K204" s="248"/>
    </row>
    <row r="205" spans="1:11" s="12" customFormat="1">
      <c r="A205" s="37"/>
      <c r="B205" s="38"/>
      <c r="C205" s="42" t="s">
        <v>483</v>
      </c>
      <c r="D205" s="208">
        <f t="shared" ref="D205:K205" si="20">SUM(D198:D204)</f>
        <v>46259</v>
      </c>
      <c r="E205" s="46">
        <f t="shared" si="20"/>
        <v>46259</v>
      </c>
      <c r="F205" s="46">
        <f t="shared" si="20"/>
        <v>0</v>
      </c>
      <c r="G205" s="217">
        <f t="shared" si="20"/>
        <v>0</v>
      </c>
      <c r="H205" s="208">
        <f t="shared" si="20"/>
        <v>46259</v>
      </c>
      <c r="I205" s="46">
        <f t="shared" si="20"/>
        <v>46259</v>
      </c>
      <c r="J205" s="46">
        <f t="shared" si="20"/>
        <v>0</v>
      </c>
      <c r="K205" s="217">
        <f t="shared" si="20"/>
        <v>0</v>
      </c>
    </row>
    <row r="206" spans="1:11" s="12" customFormat="1">
      <c r="A206" s="37"/>
      <c r="B206" s="38"/>
      <c r="C206" s="42"/>
      <c r="D206" s="208"/>
      <c r="E206" s="46"/>
      <c r="F206" s="46"/>
      <c r="G206" s="217"/>
      <c r="H206" s="208"/>
      <c r="I206" s="46"/>
      <c r="J206" s="46"/>
      <c r="K206" s="217"/>
    </row>
    <row r="207" spans="1:11" s="12" customFormat="1">
      <c r="A207" s="37"/>
      <c r="B207" s="41" t="s">
        <v>499</v>
      </c>
      <c r="C207" s="42" t="s">
        <v>493</v>
      </c>
      <c r="D207" s="208"/>
      <c r="E207" s="46"/>
      <c r="F207" s="46"/>
      <c r="G207" s="228"/>
      <c r="H207" s="208"/>
      <c r="I207" s="46"/>
      <c r="J207" s="46"/>
      <c r="K207" s="228"/>
    </row>
    <row r="208" spans="1:11" s="12" customFormat="1">
      <c r="A208" s="37"/>
      <c r="B208" s="38"/>
      <c r="C208" s="39" t="s">
        <v>655</v>
      </c>
      <c r="D208" s="209">
        <v>0</v>
      </c>
      <c r="E208" s="43"/>
      <c r="F208" s="43"/>
      <c r="G208" s="248"/>
      <c r="H208" s="209">
        <v>0</v>
      </c>
      <c r="I208" s="43"/>
      <c r="J208" s="43"/>
      <c r="K208" s="248"/>
    </row>
    <row r="209" spans="1:11" s="12" customFormat="1">
      <c r="A209" s="37"/>
      <c r="B209" s="41"/>
      <c r="C209" s="39" t="s">
        <v>656</v>
      </c>
      <c r="D209" s="209">
        <v>0</v>
      </c>
      <c r="E209" s="43"/>
      <c r="F209" s="43"/>
      <c r="G209" s="248"/>
      <c r="H209" s="209">
        <v>0</v>
      </c>
      <c r="I209" s="43"/>
      <c r="J209" s="43"/>
      <c r="K209" s="248"/>
    </row>
    <row r="210" spans="1:11" s="12" customFormat="1">
      <c r="A210" s="37"/>
      <c r="B210" s="38"/>
      <c r="C210" s="39" t="s">
        <v>657</v>
      </c>
      <c r="D210" s="209">
        <v>0</v>
      </c>
      <c r="E210" s="43"/>
      <c r="F210" s="43"/>
      <c r="G210" s="248"/>
      <c r="H210" s="209">
        <v>0</v>
      </c>
      <c r="I210" s="43"/>
      <c r="J210" s="43"/>
      <c r="K210" s="248"/>
    </row>
    <row r="211" spans="1:11" s="12" customFormat="1">
      <c r="A211" s="37"/>
      <c r="B211" s="38"/>
      <c r="C211" s="39" t="s">
        <v>658</v>
      </c>
      <c r="D211" s="209">
        <v>0</v>
      </c>
      <c r="E211" s="43"/>
      <c r="F211" s="43"/>
      <c r="G211" s="248"/>
      <c r="H211" s="209">
        <v>0</v>
      </c>
      <c r="I211" s="43"/>
      <c r="J211" s="43"/>
      <c r="K211" s="248"/>
    </row>
    <row r="212" spans="1:11" s="12" customFormat="1">
      <c r="A212" s="37"/>
      <c r="B212" s="38"/>
      <c r="C212" s="39" t="s">
        <v>659</v>
      </c>
      <c r="D212" s="209">
        <v>0</v>
      </c>
      <c r="E212" s="43"/>
      <c r="F212" s="43"/>
      <c r="G212" s="248"/>
      <c r="H212" s="209">
        <v>0</v>
      </c>
      <c r="I212" s="43"/>
      <c r="J212" s="43"/>
      <c r="K212" s="248"/>
    </row>
    <row r="213" spans="1:11" s="12" customFormat="1">
      <c r="A213" s="37"/>
      <c r="B213" s="38"/>
      <c r="C213" s="39" t="s">
        <v>514</v>
      </c>
      <c r="D213" s="209">
        <v>44893</v>
      </c>
      <c r="E213" s="43">
        <v>44893</v>
      </c>
      <c r="F213" s="43"/>
      <c r="G213" s="248"/>
      <c r="H213" s="209">
        <v>44893</v>
      </c>
      <c r="I213" s="43">
        <v>44893</v>
      </c>
      <c r="J213" s="43"/>
      <c r="K213" s="248"/>
    </row>
    <row r="214" spans="1:11" s="12" customFormat="1">
      <c r="A214" s="37"/>
      <c r="B214" s="38"/>
      <c r="C214" s="39" t="s">
        <v>513</v>
      </c>
      <c r="D214" s="209">
        <v>165116</v>
      </c>
      <c r="E214" s="43">
        <v>165116</v>
      </c>
      <c r="F214" s="43"/>
      <c r="G214" s="248"/>
      <c r="H214" s="209">
        <v>165116</v>
      </c>
      <c r="I214" s="43">
        <v>165116</v>
      </c>
      <c r="J214" s="43"/>
      <c r="K214" s="248"/>
    </row>
    <row r="215" spans="1:11" s="12" customFormat="1">
      <c r="A215" s="37"/>
      <c r="B215" s="38"/>
      <c r="C215" s="39" t="s">
        <v>660</v>
      </c>
      <c r="D215" s="209">
        <v>57235</v>
      </c>
      <c r="E215" s="43"/>
      <c r="F215" s="43">
        <v>57235</v>
      </c>
      <c r="G215" s="248"/>
      <c r="H215" s="209">
        <v>57235</v>
      </c>
      <c r="I215" s="43"/>
      <c r="J215" s="43">
        <v>57235</v>
      </c>
      <c r="K215" s="248"/>
    </row>
    <row r="216" spans="1:11" s="12" customFormat="1">
      <c r="A216" s="37"/>
      <c r="B216" s="38"/>
      <c r="C216" s="42" t="s">
        <v>483</v>
      </c>
      <c r="D216" s="208">
        <f t="shared" ref="D216:K216" si="21">SUM(D208:D215)</f>
        <v>267244</v>
      </c>
      <c r="E216" s="46">
        <f t="shared" si="21"/>
        <v>210009</v>
      </c>
      <c r="F216" s="46">
        <f t="shared" si="21"/>
        <v>57235</v>
      </c>
      <c r="G216" s="228">
        <f t="shared" si="21"/>
        <v>0</v>
      </c>
      <c r="H216" s="208">
        <f t="shared" si="21"/>
        <v>267244</v>
      </c>
      <c r="I216" s="46">
        <f t="shared" si="21"/>
        <v>210009</v>
      </c>
      <c r="J216" s="46">
        <f t="shared" si="21"/>
        <v>57235</v>
      </c>
      <c r="K216" s="228">
        <f t="shared" si="21"/>
        <v>0</v>
      </c>
    </row>
    <row r="217" spans="1:11" s="12" customFormat="1">
      <c r="A217" s="37"/>
      <c r="B217" s="38"/>
      <c r="C217" s="42"/>
      <c r="D217" s="212"/>
      <c r="E217" s="47"/>
      <c r="F217" s="47"/>
      <c r="G217" s="246"/>
      <c r="H217" s="212"/>
      <c r="I217" s="47"/>
      <c r="J217" s="47"/>
      <c r="K217" s="246"/>
    </row>
    <row r="218" spans="1:11" s="12" customFormat="1">
      <c r="A218" s="37"/>
      <c r="B218" s="41" t="s">
        <v>492</v>
      </c>
      <c r="C218" s="42" t="s">
        <v>443</v>
      </c>
      <c r="D218" s="212"/>
      <c r="E218" s="47"/>
      <c r="F218" s="47"/>
      <c r="G218" s="246"/>
      <c r="H218" s="212"/>
      <c r="I218" s="47"/>
      <c r="J218" s="47"/>
      <c r="K218" s="246"/>
    </row>
    <row r="219" spans="1:11" s="12" customFormat="1">
      <c r="A219" s="37"/>
      <c r="B219" s="41"/>
      <c r="C219" s="39" t="s">
        <v>444</v>
      </c>
      <c r="D219" s="211"/>
      <c r="E219" s="44"/>
      <c r="F219" s="44"/>
      <c r="G219" s="245"/>
      <c r="H219" s="211"/>
      <c r="I219" s="44"/>
      <c r="J219" s="44"/>
      <c r="K219" s="245"/>
    </row>
    <row r="220" spans="1:11" s="12" customFormat="1">
      <c r="A220" s="37"/>
      <c r="B220" s="38"/>
      <c r="C220" s="39" t="s">
        <v>445</v>
      </c>
      <c r="D220" s="211">
        <v>0</v>
      </c>
      <c r="E220" s="44"/>
      <c r="F220" s="44"/>
      <c r="G220" s="245"/>
      <c r="H220" s="211">
        <v>0</v>
      </c>
      <c r="I220" s="44"/>
      <c r="J220" s="44"/>
      <c r="K220" s="245"/>
    </row>
    <row r="221" spans="1:11" s="12" customFormat="1">
      <c r="A221" s="37"/>
      <c r="B221" s="38"/>
      <c r="C221" s="39" t="s">
        <v>437</v>
      </c>
      <c r="D221" s="211">
        <v>0</v>
      </c>
      <c r="E221" s="44"/>
      <c r="F221" s="44"/>
      <c r="G221" s="245"/>
      <c r="H221" s="211">
        <v>0</v>
      </c>
      <c r="I221" s="44"/>
      <c r="J221" s="44"/>
      <c r="K221" s="245"/>
    </row>
    <row r="222" spans="1:11" s="12" customFormat="1">
      <c r="A222" s="37"/>
      <c r="B222" s="38"/>
      <c r="C222" s="42" t="s">
        <v>483</v>
      </c>
      <c r="D222" s="212">
        <f t="shared" ref="D222:K222" si="22">SUM(D220:D221)</f>
        <v>0</v>
      </c>
      <c r="E222" s="47">
        <f t="shared" si="22"/>
        <v>0</v>
      </c>
      <c r="F222" s="47">
        <f t="shared" si="22"/>
        <v>0</v>
      </c>
      <c r="G222" s="246">
        <f t="shared" si="22"/>
        <v>0</v>
      </c>
      <c r="H222" s="212">
        <f t="shared" si="22"/>
        <v>0</v>
      </c>
      <c r="I222" s="47">
        <f t="shared" si="22"/>
        <v>0</v>
      </c>
      <c r="J222" s="47">
        <f t="shared" si="22"/>
        <v>0</v>
      </c>
      <c r="K222" s="246">
        <f t="shared" si="22"/>
        <v>0</v>
      </c>
    </row>
    <row r="223" spans="1:11" s="12" customFormat="1">
      <c r="A223" s="37"/>
      <c r="B223" s="59"/>
      <c r="C223" s="39"/>
      <c r="D223" s="211"/>
      <c r="E223" s="44"/>
      <c r="F223" s="44"/>
      <c r="G223" s="245"/>
      <c r="H223" s="211"/>
      <c r="I223" s="44"/>
      <c r="J223" s="44"/>
      <c r="K223" s="245"/>
    </row>
    <row r="224" spans="1:11" s="12" customFormat="1">
      <c r="A224" s="37"/>
      <c r="B224" s="38"/>
      <c r="C224" s="39"/>
      <c r="D224" s="211"/>
      <c r="E224" s="44"/>
      <c r="F224" s="44"/>
      <c r="G224" s="245"/>
      <c r="H224" s="211"/>
      <c r="I224" s="44"/>
      <c r="J224" s="44"/>
      <c r="K224" s="245"/>
    </row>
    <row r="225" spans="1:11" s="12" customFormat="1" ht="17.25" thickBot="1">
      <c r="A225" s="66"/>
      <c r="B225" s="102"/>
      <c r="C225" s="67" t="s">
        <v>442</v>
      </c>
      <c r="D225" s="242">
        <f t="shared" ref="D225:K225" si="23">D194+D216+D205+D222</f>
        <v>3025775</v>
      </c>
      <c r="E225" s="68">
        <f t="shared" si="23"/>
        <v>2499210</v>
      </c>
      <c r="F225" s="68">
        <f t="shared" si="23"/>
        <v>390505</v>
      </c>
      <c r="G225" s="261">
        <f t="shared" si="23"/>
        <v>136060</v>
      </c>
      <c r="H225" s="242">
        <f t="shared" si="23"/>
        <v>3888856</v>
      </c>
      <c r="I225" s="68">
        <f t="shared" si="23"/>
        <v>3362291</v>
      </c>
      <c r="J225" s="68">
        <f t="shared" si="23"/>
        <v>390505</v>
      </c>
      <c r="K225" s="261">
        <f t="shared" si="23"/>
        <v>136060</v>
      </c>
    </row>
    <row r="226" spans="1:11">
      <c r="A226" s="16"/>
      <c r="B226" s="27"/>
      <c r="C226" s="96"/>
      <c r="D226" s="96"/>
      <c r="E226" s="96"/>
      <c r="F226" s="96"/>
      <c r="G226" s="96"/>
      <c r="H226" s="96"/>
      <c r="I226" s="96"/>
      <c r="J226" s="96"/>
      <c r="K226" s="96"/>
    </row>
    <row r="227" spans="1:11">
      <c r="H227" s="44"/>
      <c r="I227" s="44"/>
      <c r="J227" s="44"/>
      <c r="K227" s="44"/>
    </row>
    <row r="228" spans="1:11">
      <c r="H228" s="44"/>
      <c r="I228" s="44"/>
      <c r="J228" s="44"/>
      <c r="K228" s="44"/>
    </row>
    <row r="229" spans="1:11">
      <c r="H229" s="44"/>
      <c r="I229" s="44"/>
      <c r="J229" s="44"/>
      <c r="K229" s="44"/>
    </row>
    <row r="230" spans="1:11">
      <c r="H230" s="44"/>
      <c r="I230" s="44"/>
      <c r="J230" s="44"/>
      <c r="K230" s="44"/>
    </row>
    <row r="231" spans="1:11">
      <c r="H231" s="44"/>
      <c r="I231" s="44"/>
      <c r="J231" s="44"/>
      <c r="K231" s="44"/>
    </row>
    <row r="232" spans="1:11">
      <c r="H232" s="44"/>
      <c r="I232" s="44"/>
      <c r="J232" s="44"/>
      <c r="K232" s="44"/>
    </row>
    <row r="233" spans="1:11">
      <c r="H233" s="44"/>
      <c r="I233" s="44"/>
      <c r="J233" s="44"/>
      <c r="K233" s="44"/>
    </row>
    <row r="234" spans="1:11">
      <c r="H234" s="44"/>
      <c r="I234" s="44"/>
      <c r="J234" s="44"/>
      <c r="K234" s="44"/>
    </row>
    <row r="235" spans="1:11">
      <c r="H235" s="44"/>
      <c r="I235" s="44"/>
      <c r="J235" s="44"/>
      <c r="K235" s="44"/>
    </row>
    <row r="236" spans="1:11">
      <c r="H236" s="44"/>
      <c r="I236" s="44"/>
      <c r="J236" s="44"/>
      <c r="K236" s="44"/>
    </row>
    <row r="237" spans="1:11">
      <c r="H237" s="44"/>
      <c r="I237" s="44"/>
      <c r="J237" s="44"/>
      <c r="K237" s="44"/>
    </row>
    <row r="238" spans="1:11">
      <c r="A238" s="12"/>
      <c r="B238" s="12"/>
      <c r="C238" s="12"/>
      <c r="D238" s="12"/>
      <c r="E238" s="12"/>
      <c r="F238" s="12"/>
      <c r="G238" s="12"/>
      <c r="H238" s="44"/>
      <c r="I238" s="44"/>
      <c r="J238" s="44"/>
      <c r="K238" s="44"/>
    </row>
    <row r="239" spans="1:11">
      <c r="A239" s="12"/>
      <c r="B239" s="12"/>
      <c r="C239" s="12"/>
      <c r="D239" s="12"/>
      <c r="E239" s="12"/>
      <c r="F239" s="12"/>
      <c r="G239" s="12"/>
      <c r="H239" s="44"/>
      <c r="I239" s="44"/>
      <c r="J239" s="44"/>
      <c r="K239" s="44"/>
    </row>
    <row r="240" spans="1:11">
      <c r="A240" s="12"/>
      <c r="B240" s="12"/>
      <c r="C240" s="12"/>
      <c r="D240" s="12"/>
      <c r="E240" s="12"/>
      <c r="F240" s="12"/>
      <c r="G240" s="12"/>
      <c r="H240" s="44"/>
      <c r="I240" s="44"/>
      <c r="J240" s="44"/>
      <c r="K240" s="44"/>
    </row>
    <row r="241" spans="1:11">
      <c r="A241" s="12"/>
      <c r="B241" s="12"/>
      <c r="C241" s="12"/>
      <c r="D241" s="12"/>
      <c r="E241" s="12"/>
      <c r="F241" s="12"/>
      <c r="G241" s="12"/>
      <c r="H241" s="44"/>
      <c r="I241" s="44"/>
      <c r="J241" s="44"/>
      <c r="K241" s="44"/>
    </row>
    <row r="242" spans="1:11">
      <c r="A242" s="12"/>
      <c r="B242" s="12"/>
      <c r="C242" s="12"/>
      <c r="D242" s="12"/>
      <c r="E242" s="12"/>
      <c r="F242" s="12"/>
      <c r="G242" s="12"/>
      <c r="H242" s="44"/>
      <c r="I242" s="44"/>
      <c r="J242" s="44"/>
      <c r="K242" s="44"/>
    </row>
    <row r="243" spans="1:11">
      <c r="A243" s="12"/>
      <c r="B243" s="12"/>
      <c r="C243" s="12"/>
      <c r="D243" s="12"/>
      <c r="E243" s="12"/>
      <c r="F243" s="12"/>
      <c r="G243" s="12"/>
      <c r="H243" s="44"/>
      <c r="I243" s="44"/>
      <c r="J243" s="44"/>
      <c r="K243" s="44"/>
    </row>
    <row r="244" spans="1:11">
      <c r="A244" s="12"/>
      <c r="B244" s="12"/>
      <c r="C244" s="12"/>
      <c r="D244" s="12"/>
      <c r="E244" s="12"/>
      <c r="F244" s="12"/>
      <c r="G244" s="12"/>
      <c r="H244" s="44"/>
      <c r="I244" s="44"/>
      <c r="J244" s="44"/>
      <c r="K244" s="44"/>
    </row>
    <row r="245" spans="1:11">
      <c r="A245" s="12"/>
      <c r="B245" s="12"/>
      <c r="C245" s="12"/>
      <c r="D245" s="12"/>
      <c r="E245" s="12"/>
      <c r="F245" s="12"/>
      <c r="G245" s="12"/>
      <c r="H245" s="44"/>
      <c r="I245" s="44"/>
      <c r="J245" s="44"/>
      <c r="K245" s="44"/>
    </row>
    <row r="246" spans="1:11">
      <c r="A246" s="12"/>
      <c r="B246" s="12"/>
      <c r="C246" s="12"/>
      <c r="D246" s="12"/>
      <c r="E246" s="12"/>
      <c r="F246" s="12"/>
      <c r="G246" s="12"/>
      <c r="H246" s="44"/>
      <c r="I246" s="44"/>
      <c r="J246" s="44"/>
      <c r="K246" s="44"/>
    </row>
    <row r="247" spans="1:11">
      <c r="A247" s="12"/>
      <c r="B247" s="12"/>
      <c r="C247" s="12"/>
      <c r="D247" s="12"/>
      <c r="E247" s="12"/>
      <c r="F247" s="12"/>
      <c r="G247" s="12"/>
      <c r="H247" s="44"/>
      <c r="I247" s="44"/>
      <c r="J247" s="44"/>
      <c r="K247" s="44"/>
    </row>
    <row r="248" spans="1:11">
      <c r="A248" s="12"/>
      <c r="B248" s="12"/>
      <c r="C248" s="12"/>
      <c r="D248" s="12"/>
      <c r="E248" s="12"/>
      <c r="F248" s="12"/>
      <c r="G248" s="12"/>
      <c r="H248" s="44"/>
      <c r="I248" s="44"/>
      <c r="J248" s="44"/>
      <c r="K248" s="44"/>
    </row>
    <row r="249" spans="1:11">
      <c r="A249" s="12"/>
      <c r="B249" s="12"/>
      <c r="C249" s="12"/>
      <c r="D249" s="12"/>
      <c r="E249" s="12"/>
      <c r="F249" s="12"/>
      <c r="G249" s="12"/>
      <c r="H249" s="44"/>
      <c r="I249" s="44"/>
      <c r="J249" s="44"/>
      <c r="K249" s="44"/>
    </row>
    <row r="250" spans="1:11">
      <c r="A250" s="12"/>
      <c r="B250" s="12"/>
      <c r="C250" s="12"/>
      <c r="D250" s="12"/>
      <c r="E250" s="12"/>
      <c r="F250" s="12"/>
      <c r="G250" s="12"/>
      <c r="H250" s="44"/>
      <c r="I250" s="44"/>
      <c r="J250" s="44"/>
      <c r="K250" s="44"/>
    </row>
    <row r="251" spans="1:11">
      <c r="A251" s="12"/>
      <c r="B251" s="12"/>
      <c r="C251" s="12"/>
      <c r="D251" s="12"/>
      <c r="E251" s="12"/>
      <c r="F251" s="12"/>
      <c r="G251" s="12"/>
      <c r="H251" s="44"/>
      <c r="I251" s="44"/>
      <c r="J251" s="44"/>
      <c r="K251" s="44"/>
    </row>
    <row r="252" spans="1:11">
      <c r="A252" s="12"/>
      <c r="B252" s="12"/>
      <c r="C252" s="12"/>
      <c r="D252" s="12"/>
      <c r="E252" s="12"/>
      <c r="F252" s="12"/>
      <c r="G252" s="12"/>
    </row>
    <row r="253" spans="1:11">
      <c r="A253" s="12"/>
      <c r="B253" s="12"/>
      <c r="C253" s="12"/>
      <c r="D253" s="12"/>
      <c r="E253" s="12"/>
      <c r="F253" s="12"/>
      <c r="G253" s="12"/>
    </row>
    <row r="254" spans="1:11">
      <c r="A254" s="12"/>
      <c r="B254" s="12"/>
      <c r="C254" s="12"/>
      <c r="D254" s="12"/>
      <c r="E254" s="12"/>
      <c r="F254" s="12"/>
      <c r="G254" s="12"/>
    </row>
    <row r="255" spans="1:11">
      <c r="A255" s="12"/>
      <c r="B255" s="12"/>
      <c r="C255" s="12"/>
      <c r="D255" s="12"/>
      <c r="E255" s="12"/>
      <c r="F255" s="12"/>
      <c r="G255" s="12"/>
    </row>
    <row r="256" spans="1:11">
      <c r="A256" s="12"/>
      <c r="B256" s="12"/>
      <c r="C256" s="12"/>
      <c r="D256" s="12"/>
      <c r="E256" s="12"/>
      <c r="F256" s="12"/>
      <c r="G256" s="12"/>
    </row>
    <row r="257" spans="1:7">
      <c r="A257" s="12"/>
      <c r="B257" s="12"/>
      <c r="C257" s="12"/>
      <c r="D257" s="12"/>
      <c r="E257" s="12"/>
      <c r="F257" s="12"/>
      <c r="G257" s="12"/>
    </row>
    <row r="258" spans="1:7">
      <c r="A258" s="12"/>
      <c r="B258" s="12"/>
      <c r="C258" s="12"/>
      <c r="D258" s="12"/>
      <c r="E258" s="12"/>
      <c r="F258" s="12"/>
      <c r="G258" s="12"/>
    </row>
    <row r="259" spans="1:7">
      <c r="A259" s="12"/>
      <c r="B259" s="12"/>
      <c r="C259" s="12"/>
      <c r="D259" s="12"/>
      <c r="E259" s="12"/>
      <c r="F259" s="12"/>
      <c r="G259" s="12"/>
    </row>
    <row r="260" spans="1:7">
      <c r="A260" s="12"/>
      <c r="B260" s="12"/>
      <c r="C260" s="12"/>
      <c r="D260" s="12"/>
      <c r="E260" s="12"/>
      <c r="F260" s="12"/>
      <c r="G260" s="12"/>
    </row>
    <row r="261" spans="1:7">
      <c r="A261" s="12"/>
      <c r="B261" s="12"/>
      <c r="C261" s="12"/>
      <c r="D261" s="12"/>
      <c r="E261" s="12"/>
      <c r="F261" s="12"/>
      <c r="G261" s="12"/>
    </row>
    <row r="262" spans="1:7">
      <c r="A262" s="12"/>
      <c r="B262" s="12"/>
      <c r="C262" s="12"/>
      <c r="D262" s="12"/>
      <c r="E262" s="12"/>
      <c r="F262" s="12"/>
      <c r="G262" s="12"/>
    </row>
    <row r="263" spans="1:7">
      <c r="A263" s="12"/>
      <c r="B263" s="12"/>
      <c r="C263" s="12"/>
      <c r="D263" s="12"/>
      <c r="E263" s="12"/>
      <c r="F263" s="12"/>
      <c r="G263" s="12"/>
    </row>
    <row r="264" spans="1:7">
      <c r="A264" s="12"/>
      <c r="B264" s="12"/>
      <c r="C264" s="12"/>
      <c r="D264" s="12"/>
      <c r="E264" s="12"/>
      <c r="F264" s="12"/>
      <c r="G264" s="12"/>
    </row>
    <row r="265" spans="1:7">
      <c r="A265" s="12"/>
      <c r="B265" s="12"/>
      <c r="C265" s="12"/>
      <c r="D265" s="12"/>
      <c r="E265" s="12"/>
      <c r="F265" s="12"/>
      <c r="G265" s="12"/>
    </row>
    <row r="266" spans="1:7">
      <c r="A266" s="12"/>
      <c r="B266" s="12"/>
      <c r="C266" s="12"/>
      <c r="D266" s="12"/>
      <c r="E266" s="12"/>
      <c r="F266" s="12"/>
      <c r="G266" s="12"/>
    </row>
    <row r="267" spans="1:7">
      <c r="A267" s="12"/>
      <c r="B267" s="12"/>
      <c r="C267" s="12"/>
      <c r="D267" s="12"/>
      <c r="E267" s="12"/>
      <c r="F267" s="12"/>
      <c r="G267" s="12"/>
    </row>
    <row r="268" spans="1:7">
      <c r="A268" s="12"/>
      <c r="B268" s="12"/>
      <c r="C268" s="12"/>
      <c r="D268" s="12"/>
      <c r="E268" s="12"/>
      <c r="F268" s="12"/>
      <c r="G268" s="12"/>
    </row>
    <row r="269" spans="1:7">
      <c r="A269" s="12"/>
      <c r="B269" s="12"/>
      <c r="C269" s="12"/>
      <c r="D269" s="12"/>
      <c r="E269" s="12"/>
      <c r="F269" s="12"/>
      <c r="G269" s="12"/>
    </row>
    <row r="270" spans="1:7">
      <c r="A270" s="12"/>
      <c r="B270" s="12"/>
      <c r="C270" s="12"/>
      <c r="D270" s="12"/>
      <c r="E270" s="12"/>
      <c r="F270" s="12"/>
      <c r="G270" s="12"/>
    </row>
    <row r="271" spans="1:7">
      <c r="A271" s="12"/>
      <c r="B271" s="12"/>
      <c r="C271" s="12"/>
      <c r="D271" s="12"/>
      <c r="E271" s="12"/>
      <c r="F271" s="12"/>
      <c r="G271" s="12"/>
    </row>
    <row r="272" spans="1:7">
      <c r="A272" s="12"/>
      <c r="B272" s="12"/>
      <c r="C272" s="12"/>
      <c r="D272" s="12"/>
      <c r="E272" s="12"/>
      <c r="F272" s="12"/>
      <c r="G272" s="12"/>
    </row>
    <row r="273" spans="1:7">
      <c r="A273" s="12"/>
      <c r="B273" s="12"/>
      <c r="C273" s="12"/>
      <c r="D273" s="12"/>
      <c r="E273" s="12"/>
      <c r="F273" s="12"/>
      <c r="G273" s="12"/>
    </row>
    <row r="274" spans="1:7">
      <c r="A274" s="12"/>
      <c r="B274" s="12"/>
      <c r="C274" s="12"/>
      <c r="D274" s="12"/>
      <c r="E274" s="12"/>
      <c r="F274" s="12"/>
      <c r="G274" s="12"/>
    </row>
    <row r="275" spans="1:7">
      <c r="A275" s="12"/>
      <c r="B275" s="12"/>
      <c r="C275" s="12"/>
      <c r="D275" s="12"/>
      <c r="E275" s="12"/>
      <c r="F275" s="12"/>
      <c r="G275" s="12"/>
    </row>
    <row r="276" spans="1:7">
      <c r="A276" s="12"/>
      <c r="B276" s="12"/>
      <c r="C276" s="12"/>
      <c r="D276" s="12"/>
      <c r="E276" s="12"/>
      <c r="F276" s="12"/>
      <c r="G276" s="12"/>
    </row>
    <row r="277" spans="1:7">
      <c r="A277" s="12"/>
      <c r="B277" s="12"/>
      <c r="C277" s="12"/>
      <c r="D277" s="12"/>
      <c r="E277" s="12"/>
      <c r="F277" s="12"/>
      <c r="G277" s="12"/>
    </row>
    <row r="278" spans="1:7">
      <c r="A278" s="12"/>
      <c r="B278" s="12"/>
      <c r="C278" s="12"/>
      <c r="D278" s="12"/>
      <c r="E278" s="12"/>
      <c r="F278" s="12"/>
      <c r="G278" s="12"/>
    </row>
    <row r="279" spans="1:7">
      <c r="A279" s="12"/>
      <c r="B279" s="12"/>
      <c r="C279" s="12"/>
      <c r="D279" s="12"/>
      <c r="E279" s="12"/>
      <c r="F279" s="12"/>
      <c r="G279" s="12"/>
    </row>
  </sheetData>
  <mergeCells count="3">
    <mergeCell ref="D5:G5"/>
    <mergeCell ref="H5:K5"/>
    <mergeCell ref="A194:C194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53" orientation="portrait" r:id="rId1"/>
  <headerFooter alignWithMargins="0">
    <oddHeader>&amp;P. oldal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133"/>
  <sheetViews>
    <sheetView zoomScaleNormal="100" workbookViewId="0">
      <selection activeCell="G1" sqref="G1"/>
    </sheetView>
  </sheetViews>
  <sheetFormatPr defaultColWidth="8" defaultRowHeight="12.75"/>
  <cols>
    <col min="1" max="1" width="14.85546875" style="458" customWidth="1"/>
    <col min="2" max="2" width="8" style="458"/>
    <col min="3" max="3" width="37.85546875" style="460" customWidth="1"/>
    <col min="4" max="4" width="40.7109375" style="461" customWidth="1"/>
    <col min="5" max="5" width="14.5703125" style="462" customWidth="1"/>
    <col min="6" max="6" width="18" style="412" bestFit="1" customWidth="1"/>
    <col min="7" max="7" width="14" style="413" customWidth="1"/>
    <col min="8" max="8" width="23.140625" style="413" bestFit="1" customWidth="1"/>
    <col min="9" max="9" width="11.5703125" style="442" customWidth="1"/>
    <col min="10" max="10" width="9" style="442" customWidth="1"/>
    <col min="11" max="11" width="17.85546875" style="442" bestFit="1" customWidth="1"/>
    <col min="12" max="12" width="36.85546875" style="442" bestFit="1" customWidth="1"/>
    <col min="13" max="13" width="8.7109375" style="442" bestFit="1" customWidth="1"/>
    <col min="14" max="15" width="10" style="442" bestFit="1" customWidth="1"/>
    <col min="16" max="16384" width="8" style="442"/>
  </cols>
  <sheetData>
    <row r="1" spans="1:8">
      <c r="G1" s="412" t="s">
        <v>121</v>
      </c>
    </row>
    <row r="2" spans="1:8" ht="13.5" thickBot="1">
      <c r="G2" s="412" t="s">
        <v>104</v>
      </c>
    </row>
    <row r="3" spans="1:8" ht="13.5" hidden="1" thickBot="1">
      <c r="C3" s="461"/>
      <c r="D3" s="647"/>
      <c r="E3" s="648"/>
      <c r="F3" s="413"/>
      <c r="G3" s="649">
        <v>1.0169999999999999</v>
      </c>
    </row>
    <row r="4" spans="1:8" s="651" customFormat="1" ht="39" customHeight="1" thickBot="1">
      <c r="A4" s="902" t="s">
        <v>105</v>
      </c>
      <c r="B4" s="903"/>
      <c r="C4" s="904" t="s">
        <v>106</v>
      </c>
      <c r="D4" s="906" t="s">
        <v>107</v>
      </c>
      <c r="E4" s="908" t="s">
        <v>108</v>
      </c>
      <c r="F4" s="894" t="s">
        <v>262</v>
      </c>
      <c r="G4" s="900" t="s">
        <v>263</v>
      </c>
      <c r="H4" s="650"/>
    </row>
    <row r="5" spans="1:8" s="651" customFormat="1" ht="13.5" thickBot="1">
      <c r="A5" s="414" t="s">
        <v>109</v>
      </c>
      <c r="B5" s="415" t="s">
        <v>110</v>
      </c>
      <c r="C5" s="905"/>
      <c r="D5" s="907"/>
      <c r="E5" s="909"/>
      <c r="F5" s="895"/>
      <c r="G5" s="901"/>
      <c r="H5" s="650"/>
    </row>
    <row r="6" spans="1:8">
      <c r="A6" s="891" t="s">
        <v>264</v>
      </c>
      <c r="B6" s="896">
        <v>841126</v>
      </c>
      <c r="C6" s="434" t="s">
        <v>265</v>
      </c>
      <c r="D6" s="435" t="s">
        <v>266</v>
      </c>
      <c r="E6" s="441" t="s">
        <v>113</v>
      </c>
      <c r="F6" s="423">
        <f>G6*G3</f>
        <v>192188.59199999998</v>
      </c>
      <c r="G6" s="436">
        <f>94488+(47244*2)</f>
        <v>188976</v>
      </c>
    </row>
    <row r="7" spans="1:8" ht="25.5">
      <c r="A7" s="892"/>
      <c r="B7" s="897"/>
      <c r="C7" s="417" t="s">
        <v>325</v>
      </c>
      <c r="D7" s="418" t="s">
        <v>326</v>
      </c>
      <c r="E7" s="419" t="s">
        <v>113</v>
      </c>
      <c r="F7" s="423">
        <f>(G7*G3)+79563+31662</f>
        <v>790752.87299999991</v>
      </c>
      <c r="G7" s="424">
        <v>668169</v>
      </c>
    </row>
    <row r="8" spans="1:8">
      <c r="A8" s="892"/>
      <c r="B8" s="897"/>
      <c r="C8" s="417" t="s">
        <v>325</v>
      </c>
      <c r="D8" s="418" t="s">
        <v>327</v>
      </c>
      <c r="E8" s="419" t="s">
        <v>113</v>
      </c>
      <c r="F8" s="425">
        <f>G8*G3</f>
        <v>7615.2959999999994</v>
      </c>
      <c r="G8" s="426">
        <v>7488</v>
      </c>
    </row>
    <row r="9" spans="1:8">
      <c r="A9" s="892"/>
      <c r="B9" s="897"/>
      <c r="C9" s="417" t="s">
        <v>325</v>
      </c>
      <c r="D9" s="418" t="s">
        <v>328</v>
      </c>
      <c r="E9" s="419" t="s">
        <v>113</v>
      </c>
      <c r="F9" s="425">
        <f>G9*G3</f>
        <v>7615.2959999999994</v>
      </c>
      <c r="G9" s="426">
        <v>7488</v>
      </c>
    </row>
    <row r="10" spans="1:8">
      <c r="A10" s="892"/>
      <c r="B10" s="897"/>
      <c r="C10" s="417" t="s">
        <v>329</v>
      </c>
      <c r="D10" s="418" t="s">
        <v>330</v>
      </c>
      <c r="E10" s="416" t="s">
        <v>197</v>
      </c>
      <c r="F10" s="423">
        <f>G10*G3</f>
        <v>10888.001999999999</v>
      </c>
      <c r="G10" s="424">
        <v>10706</v>
      </c>
    </row>
    <row r="11" spans="1:8" ht="25.5">
      <c r="A11" s="892"/>
      <c r="B11" s="897"/>
      <c r="C11" s="417" t="s">
        <v>331</v>
      </c>
      <c r="D11" s="418" t="s">
        <v>332</v>
      </c>
      <c r="E11" s="419" t="s">
        <v>113</v>
      </c>
      <c r="F11" s="423">
        <f>G11*G3</f>
        <v>193738.49999999997</v>
      </c>
      <c r="G11" s="424">
        <v>190500</v>
      </c>
    </row>
    <row r="12" spans="1:8" ht="25.5">
      <c r="A12" s="892"/>
      <c r="B12" s="897"/>
      <c r="C12" s="417" t="s">
        <v>333</v>
      </c>
      <c r="D12" s="418" t="s">
        <v>334</v>
      </c>
      <c r="E12" s="463" t="s">
        <v>335</v>
      </c>
      <c r="F12" s="423">
        <f>G12*G3</f>
        <v>316312.42499999999</v>
      </c>
      <c r="G12" s="424">
        <v>311025</v>
      </c>
    </row>
    <row r="13" spans="1:8" ht="25.5">
      <c r="A13" s="892"/>
      <c r="B13" s="897"/>
      <c r="C13" s="417" t="s">
        <v>333</v>
      </c>
      <c r="D13" s="418" t="s">
        <v>336</v>
      </c>
      <c r="E13" s="447" t="s">
        <v>113</v>
      </c>
      <c r="F13" s="423">
        <f>(G13+150000)*G3</f>
        <v>1095325.2719999999</v>
      </c>
      <c r="G13" s="424">
        <v>927016</v>
      </c>
    </row>
    <row r="14" spans="1:8">
      <c r="A14" s="892"/>
      <c r="B14" s="897"/>
      <c r="C14" s="417" t="s">
        <v>337</v>
      </c>
      <c r="D14" s="418" t="s">
        <v>338</v>
      </c>
      <c r="E14" s="416" t="s">
        <v>113</v>
      </c>
      <c r="F14" s="423">
        <f>38100*12*G3</f>
        <v>464972.39999999997</v>
      </c>
      <c r="G14" s="424">
        <f>10*38100+(2*38100)</f>
        <v>457200</v>
      </c>
    </row>
    <row r="15" spans="1:8">
      <c r="A15" s="892"/>
      <c r="B15" s="897"/>
      <c r="C15" s="417" t="s">
        <v>337</v>
      </c>
      <c r="D15" s="418" t="s">
        <v>339</v>
      </c>
      <c r="E15" s="416" t="s">
        <v>113</v>
      </c>
      <c r="F15" s="423">
        <f>G15*G3</f>
        <v>514052.81999999995</v>
      </c>
      <c r="G15" s="424">
        <v>505460</v>
      </c>
    </row>
    <row r="16" spans="1:8" s="448" customFormat="1">
      <c r="A16" s="892"/>
      <c r="B16" s="897"/>
      <c r="C16" s="443" t="s">
        <v>168</v>
      </c>
      <c r="D16" s="444" t="s">
        <v>340</v>
      </c>
      <c r="E16" s="445" t="s">
        <v>113</v>
      </c>
      <c r="F16" s="432">
        <f>G16*G3</f>
        <v>9560824.118999999</v>
      </c>
      <c r="G16" s="433">
        <v>9401007</v>
      </c>
      <c r="H16" s="446"/>
    </row>
    <row r="17" spans="1:8" s="448" customFormat="1">
      <c r="A17" s="892"/>
      <c r="B17" s="897"/>
      <c r="C17" s="429" t="s">
        <v>112</v>
      </c>
      <c r="D17" s="430" t="s">
        <v>341</v>
      </c>
      <c r="E17" s="445" t="s">
        <v>113</v>
      </c>
      <c r="F17" s="432">
        <f>(G17/10)*12*G3</f>
        <v>758939.91119999997</v>
      </c>
      <c r="G17" s="433">
        <v>621878</v>
      </c>
      <c r="H17" s="446"/>
    </row>
    <row r="18" spans="1:8" s="448" customFormat="1">
      <c r="A18" s="892"/>
      <c r="B18" s="897"/>
      <c r="C18" s="429" t="s">
        <v>112</v>
      </c>
      <c r="D18" s="430" t="s">
        <v>292</v>
      </c>
      <c r="E18" s="445" t="s">
        <v>113</v>
      </c>
      <c r="F18" s="432">
        <f>(G18/7)*12*G3</f>
        <v>65533.73657142857</v>
      </c>
      <c r="G18" s="433">
        <v>37589</v>
      </c>
      <c r="H18" s="446"/>
    </row>
    <row r="19" spans="1:8" s="448" customFormat="1">
      <c r="A19" s="892"/>
      <c r="B19" s="897"/>
      <c r="C19" s="429" t="s">
        <v>293</v>
      </c>
      <c r="D19" s="430" t="s">
        <v>294</v>
      </c>
      <c r="E19" s="445" t="s">
        <v>113</v>
      </c>
      <c r="F19" s="432">
        <v>30000</v>
      </c>
      <c r="G19" s="433">
        <v>0</v>
      </c>
      <c r="H19" s="446"/>
    </row>
    <row r="20" spans="1:8" s="448" customFormat="1" ht="25.5">
      <c r="A20" s="892"/>
      <c r="B20" s="897"/>
      <c r="C20" s="443" t="s">
        <v>342</v>
      </c>
      <c r="D20" s="444" t="s">
        <v>295</v>
      </c>
      <c r="E20" s="431" t="s">
        <v>113</v>
      </c>
      <c r="F20" s="449">
        <f>G20*G3</f>
        <v>251457.31799999997</v>
      </c>
      <c r="G20" s="433">
        <v>247254</v>
      </c>
      <c r="H20" s="446"/>
    </row>
    <row r="21" spans="1:8" s="448" customFormat="1" ht="38.25">
      <c r="A21" s="892"/>
      <c r="B21" s="897"/>
      <c r="C21" s="443" t="s">
        <v>342</v>
      </c>
      <c r="D21" s="444" t="s">
        <v>296</v>
      </c>
      <c r="E21" s="431" t="s">
        <v>113</v>
      </c>
      <c r="F21" s="449">
        <f>G21*G3</f>
        <v>50775.758999999998</v>
      </c>
      <c r="G21" s="433">
        <v>49927</v>
      </c>
      <c r="H21" s="446"/>
    </row>
    <row r="22" spans="1:8" s="448" customFormat="1">
      <c r="A22" s="892"/>
      <c r="B22" s="897"/>
      <c r="C22" s="450" t="s">
        <v>151</v>
      </c>
      <c r="D22" s="451" t="s">
        <v>297</v>
      </c>
      <c r="E22" s="452" t="s">
        <v>113</v>
      </c>
      <c r="F22" s="432">
        <f>G22*G3</f>
        <v>2509465.8059999999</v>
      </c>
      <c r="G22" s="433">
        <v>2467518</v>
      </c>
      <c r="H22" s="446"/>
    </row>
    <row r="23" spans="1:8" s="448" customFormat="1">
      <c r="A23" s="892"/>
      <c r="B23" s="897"/>
      <c r="C23" s="450" t="s">
        <v>151</v>
      </c>
      <c r="D23" s="451" t="s">
        <v>298</v>
      </c>
      <c r="E23" s="452" t="s">
        <v>113</v>
      </c>
      <c r="F23" s="432">
        <f>(G23/9)*12*G3</f>
        <v>458348.33999999991</v>
      </c>
      <c r="G23" s="433">
        <v>338015</v>
      </c>
      <c r="H23" s="446"/>
    </row>
    <row r="24" spans="1:8" s="448" customFormat="1">
      <c r="A24" s="892"/>
      <c r="B24" s="897"/>
      <c r="C24" s="450" t="s">
        <v>151</v>
      </c>
      <c r="D24" s="451" t="s">
        <v>299</v>
      </c>
      <c r="E24" s="452" t="s">
        <v>113</v>
      </c>
      <c r="F24" s="432">
        <f>G24*2*G3</f>
        <v>318215.23199999996</v>
      </c>
      <c r="G24" s="433">
        <v>156448</v>
      </c>
      <c r="H24" s="446"/>
    </row>
    <row r="25" spans="1:8" s="448" customFormat="1">
      <c r="A25" s="892"/>
      <c r="B25" s="897"/>
      <c r="C25" s="450" t="s">
        <v>300</v>
      </c>
      <c r="D25" s="451" t="s">
        <v>343</v>
      </c>
      <c r="E25" s="452">
        <v>42687</v>
      </c>
      <c r="F25" s="432">
        <f>26000*12*G3</f>
        <v>317303.99999999994</v>
      </c>
      <c r="G25" s="433">
        <v>353169</v>
      </c>
      <c r="H25" s="446"/>
    </row>
    <row r="26" spans="1:8" ht="25.5">
      <c r="A26" s="892"/>
      <c r="B26" s="897"/>
      <c r="C26" s="427" t="s">
        <v>344</v>
      </c>
      <c r="D26" s="428" t="s">
        <v>345</v>
      </c>
      <c r="E26" s="416" t="s">
        <v>113</v>
      </c>
      <c r="F26" s="423">
        <f>(8382*12)*G3</f>
        <v>102293.92799999999</v>
      </c>
      <c r="G26" s="424">
        <v>75438</v>
      </c>
    </row>
    <row r="27" spans="1:8" ht="28.5" customHeight="1">
      <c r="A27" s="892"/>
      <c r="B27" s="897"/>
      <c r="C27" s="427" t="s">
        <v>346</v>
      </c>
      <c r="D27" s="428" t="s">
        <v>347</v>
      </c>
      <c r="E27" s="463" t="s">
        <v>301</v>
      </c>
      <c r="F27" s="423">
        <v>53812</v>
      </c>
      <c r="G27" s="424">
        <v>203836</v>
      </c>
    </row>
    <row r="28" spans="1:8" ht="25.5">
      <c r="A28" s="892"/>
      <c r="B28" s="897"/>
      <c r="C28" s="417" t="s">
        <v>348</v>
      </c>
      <c r="D28" s="418" t="s">
        <v>349</v>
      </c>
      <c r="E28" s="419" t="s">
        <v>113</v>
      </c>
      <c r="F28" s="425">
        <f>G28*G3</f>
        <v>232486.19999999998</v>
      </c>
      <c r="G28" s="424">
        <f>12*19050</f>
        <v>228600</v>
      </c>
    </row>
    <row r="29" spans="1:8" s="448" customFormat="1" ht="25.5">
      <c r="A29" s="892"/>
      <c r="B29" s="897"/>
      <c r="C29" s="450" t="s">
        <v>350</v>
      </c>
      <c r="D29" s="451" t="s">
        <v>368</v>
      </c>
      <c r="E29" s="652" t="s">
        <v>302</v>
      </c>
      <c r="F29" s="432">
        <f>G29*G3</f>
        <v>82783.799999999988</v>
      </c>
      <c r="G29" s="433">
        <v>81400</v>
      </c>
      <c r="H29" s="446"/>
    </row>
    <row r="30" spans="1:8" s="448" customFormat="1" ht="25.5">
      <c r="A30" s="892"/>
      <c r="B30" s="897"/>
      <c r="C30" s="450" t="s">
        <v>350</v>
      </c>
      <c r="D30" s="451" t="s">
        <v>303</v>
      </c>
      <c r="E30" s="652" t="s">
        <v>304</v>
      </c>
      <c r="F30" s="432">
        <f>G30*G3</f>
        <v>70986.599999999991</v>
      </c>
      <c r="G30" s="433">
        <v>69800</v>
      </c>
      <c r="H30" s="446"/>
    </row>
    <row r="31" spans="1:8" s="448" customFormat="1" ht="12.75" customHeight="1">
      <c r="A31" s="892"/>
      <c r="B31" s="897"/>
      <c r="C31" s="450" t="s">
        <v>369</v>
      </c>
      <c r="D31" s="451" t="s">
        <v>370</v>
      </c>
      <c r="E31" s="452">
        <v>42063</v>
      </c>
      <c r="F31" s="432">
        <f>G31*G3</f>
        <v>118051.32599999999</v>
      </c>
      <c r="G31" s="433">
        <v>116078</v>
      </c>
      <c r="H31" s="446"/>
    </row>
    <row r="32" spans="1:8" s="448" customFormat="1" ht="25.5">
      <c r="A32" s="892"/>
      <c r="B32" s="897"/>
      <c r="C32" s="443" t="s">
        <v>305</v>
      </c>
      <c r="D32" s="444" t="s">
        <v>371</v>
      </c>
      <c r="E32" s="445" t="s">
        <v>113</v>
      </c>
      <c r="F32" s="432">
        <f>G32*G3</f>
        <v>484385.91299999994</v>
      </c>
      <c r="G32" s="433">
        <v>476289</v>
      </c>
      <c r="H32" s="446"/>
    </row>
    <row r="33" spans="1:8" s="448" customFormat="1" ht="25.5">
      <c r="A33" s="892"/>
      <c r="B33" s="897"/>
      <c r="C33" s="443" t="s">
        <v>305</v>
      </c>
      <c r="D33" s="444" t="s">
        <v>306</v>
      </c>
      <c r="E33" s="445" t="s">
        <v>113</v>
      </c>
      <c r="F33" s="432">
        <f>G33*G3</f>
        <v>373118.99399999995</v>
      </c>
      <c r="G33" s="433">
        <v>366882</v>
      </c>
      <c r="H33" s="446"/>
    </row>
    <row r="34" spans="1:8" s="448" customFormat="1" ht="25.5">
      <c r="A34" s="892"/>
      <c r="B34" s="897"/>
      <c r="C34" s="443" t="s">
        <v>305</v>
      </c>
      <c r="D34" s="444" t="s">
        <v>307</v>
      </c>
      <c r="E34" s="445" t="s">
        <v>113</v>
      </c>
      <c r="F34" s="432">
        <f>(78932/2)*4*G3</f>
        <v>160547.68799999999</v>
      </c>
      <c r="G34" s="433">
        <v>146371</v>
      </c>
      <c r="H34" s="446"/>
    </row>
    <row r="35" spans="1:8" s="448" customFormat="1">
      <c r="A35" s="892"/>
      <c r="B35" s="897"/>
      <c r="C35" s="443" t="s">
        <v>372</v>
      </c>
      <c r="D35" s="444" t="s">
        <v>373</v>
      </c>
      <c r="E35" s="445" t="s">
        <v>113</v>
      </c>
      <c r="F35" s="432">
        <f>G35*G3</f>
        <v>61996.319999999992</v>
      </c>
      <c r="G35" s="433">
        <v>60960</v>
      </c>
      <c r="H35" s="446"/>
    </row>
    <row r="36" spans="1:8" s="448" customFormat="1">
      <c r="A36" s="892"/>
      <c r="B36" s="897"/>
      <c r="C36" s="443" t="s">
        <v>374</v>
      </c>
      <c r="D36" s="444" t="s">
        <v>308</v>
      </c>
      <c r="E36" s="445" t="s">
        <v>113</v>
      </c>
      <c r="F36" s="432">
        <f>3400*12*G3</f>
        <v>41493.599999999999</v>
      </c>
      <c r="G36" s="433">
        <v>30983</v>
      </c>
      <c r="H36" s="446"/>
    </row>
    <row r="37" spans="1:8" s="448" customFormat="1" ht="25.5">
      <c r="A37" s="892"/>
      <c r="B37" s="897"/>
      <c r="C37" s="443" t="s">
        <v>375</v>
      </c>
      <c r="D37" s="444" t="s">
        <v>309</v>
      </c>
      <c r="E37" s="445" t="s">
        <v>113</v>
      </c>
      <c r="F37" s="432">
        <f>G37*G3</f>
        <v>242094.81599999999</v>
      </c>
      <c r="G37" s="433">
        <v>238048</v>
      </c>
      <c r="H37" s="446"/>
    </row>
    <row r="38" spans="1:8" s="448" customFormat="1">
      <c r="A38" s="892"/>
      <c r="B38" s="897"/>
      <c r="C38" s="443" t="s">
        <v>310</v>
      </c>
      <c r="D38" s="444" t="s">
        <v>310</v>
      </c>
      <c r="E38" s="445" t="s">
        <v>113</v>
      </c>
      <c r="F38" s="432">
        <f>9000*12*G3</f>
        <v>109835.99999999999</v>
      </c>
      <c r="G38" s="433">
        <v>90000</v>
      </c>
      <c r="H38" s="446"/>
    </row>
    <row r="39" spans="1:8" s="448" customFormat="1" ht="15" customHeight="1">
      <c r="A39" s="892"/>
      <c r="B39" s="897"/>
      <c r="C39" s="443" t="s">
        <v>376</v>
      </c>
      <c r="D39" s="444" t="s">
        <v>377</v>
      </c>
      <c r="E39" s="431" t="s">
        <v>113</v>
      </c>
      <c r="F39" s="432">
        <f>12954*12</f>
        <v>155448</v>
      </c>
      <c r="G39" s="433">
        <v>176220</v>
      </c>
      <c r="H39" s="446"/>
    </row>
    <row r="40" spans="1:8" s="448" customFormat="1" ht="25.5">
      <c r="A40" s="892"/>
      <c r="B40" s="897"/>
      <c r="C40" s="443" t="s">
        <v>378</v>
      </c>
      <c r="D40" s="444" t="s">
        <v>379</v>
      </c>
      <c r="E40" s="431" t="s">
        <v>113</v>
      </c>
      <c r="F40" s="432">
        <f>G40*G3</f>
        <v>139491.72</v>
      </c>
      <c r="G40" s="433">
        <f>137160</f>
        <v>137160</v>
      </c>
      <c r="H40" s="446"/>
    </row>
    <row r="41" spans="1:8">
      <c r="A41" s="892"/>
      <c r="B41" s="897"/>
      <c r="C41" s="417" t="s">
        <v>378</v>
      </c>
      <c r="D41" s="418" t="s">
        <v>380</v>
      </c>
      <c r="E41" s="419" t="s">
        <v>113</v>
      </c>
      <c r="F41" s="423">
        <f>G41*G3</f>
        <v>139491.72</v>
      </c>
      <c r="G41" s="424">
        <v>137160</v>
      </c>
    </row>
    <row r="42" spans="1:8" ht="25.5">
      <c r="A42" s="892"/>
      <c r="B42" s="897"/>
      <c r="C42" s="417" t="s">
        <v>381</v>
      </c>
      <c r="D42" s="418" t="s">
        <v>311</v>
      </c>
      <c r="E42" s="419" t="s">
        <v>113</v>
      </c>
      <c r="F42" s="423">
        <f>G42*G3</f>
        <v>1086227.19</v>
      </c>
      <c r="G42" s="424">
        <f>785749+(3*94107)</f>
        <v>1068070</v>
      </c>
    </row>
    <row r="43" spans="1:8" ht="25.5">
      <c r="A43" s="892"/>
      <c r="B43" s="897"/>
      <c r="C43" s="417" t="s">
        <v>382</v>
      </c>
      <c r="D43" s="418" t="s">
        <v>383</v>
      </c>
      <c r="E43" s="419" t="s">
        <v>197</v>
      </c>
      <c r="F43" s="423">
        <f>G43*G3</f>
        <v>597941.08199999994</v>
      </c>
      <c r="G43" s="424">
        <v>587946</v>
      </c>
    </row>
    <row r="44" spans="1:8">
      <c r="A44" s="892"/>
      <c r="B44" s="897"/>
      <c r="C44" s="417" t="s">
        <v>384</v>
      </c>
      <c r="D44" s="418" t="s">
        <v>385</v>
      </c>
      <c r="E44" s="419" t="s">
        <v>113</v>
      </c>
      <c r="F44" s="423">
        <f>G44*G3</f>
        <v>90669.617999999988</v>
      </c>
      <c r="G44" s="424">
        <v>89154</v>
      </c>
    </row>
    <row r="45" spans="1:8" ht="12.75" customHeight="1">
      <c r="A45" s="892"/>
      <c r="B45" s="897"/>
      <c r="C45" s="443" t="s">
        <v>386</v>
      </c>
      <c r="D45" s="444" t="s">
        <v>387</v>
      </c>
      <c r="E45" s="431" t="s">
        <v>113</v>
      </c>
      <c r="F45" s="432">
        <f>(G45+13000)*G3</f>
        <v>178884.19799999997</v>
      </c>
      <c r="G45" s="433">
        <v>162894</v>
      </c>
    </row>
    <row r="46" spans="1:8" s="448" customFormat="1">
      <c r="A46" s="892"/>
      <c r="B46" s="897"/>
      <c r="C46" s="443" t="s">
        <v>386</v>
      </c>
      <c r="D46" s="444" t="s">
        <v>388</v>
      </c>
      <c r="E46" s="431" t="s">
        <v>113</v>
      </c>
      <c r="F46" s="432">
        <f>G46*G3</f>
        <v>8870963.5259999987</v>
      </c>
      <c r="G46" s="433">
        <v>8722678</v>
      </c>
      <c r="H46" s="446"/>
    </row>
    <row r="47" spans="1:8" s="448" customFormat="1">
      <c r="A47" s="892"/>
      <c r="B47" s="897"/>
      <c r="C47" s="443" t="s">
        <v>389</v>
      </c>
      <c r="D47" s="444" t="s">
        <v>312</v>
      </c>
      <c r="E47" s="431" t="s">
        <v>113</v>
      </c>
      <c r="F47" s="432">
        <f>1750*12*G3</f>
        <v>21356.999999999996</v>
      </c>
      <c r="G47" s="433">
        <v>9860</v>
      </c>
      <c r="H47" s="446"/>
    </row>
    <row r="48" spans="1:8" s="448" customFormat="1">
      <c r="A48" s="892"/>
      <c r="B48" s="897"/>
      <c r="C48" s="443" t="s">
        <v>389</v>
      </c>
      <c r="D48" s="444" t="s">
        <v>313</v>
      </c>
      <c r="E48" s="431" t="s">
        <v>113</v>
      </c>
      <c r="F48" s="432">
        <f>13200*12*G3</f>
        <v>161092.79999999999</v>
      </c>
      <c r="G48" s="433">
        <v>80260</v>
      </c>
      <c r="H48" s="446"/>
    </row>
    <row r="49" spans="1:8" s="448" customFormat="1" ht="27.75" customHeight="1">
      <c r="A49" s="892"/>
      <c r="B49" s="897"/>
      <c r="C49" s="443" t="s">
        <v>314</v>
      </c>
      <c r="D49" s="444" t="s">
        <v>315</v>
      </c>
      <c r="E49" s="653" t="s">
        <v>316</v>
      </c>
      <c r="F49" s="432">
        <f>((1344462/12)*2)*G3</f>
        <v>227886.30899999998</v>
      </c>
      <c r="G49" s="433">
        <f>951518+933576+392944</f>
        <v>2278038</v>
      </c>
      <c r="H49" s="446"/>
    </row>
    <row r="50" spans="1:8" s="448" customFormat="1" ht="25.5">
      <c r="A50" s="892"/>
      <c r="B50" s="897"/>
      <c r="C50" s="443" t="s">
        <v>390</v>
      </c>
      <c r="D50" s="453" t="s">
        <v>391</v>
      </c>
      <c r="E50" s="431" t="s">
        <v>113</v>
      </c>
      <c r="F50" s="432">
        <f>200000*12</f>
        <v>2400000</v>
      </c>
      <c r="G50" s="433">
        <v>1397020</v>
      </c>
      <c r="H50" s="446"/>
    </row>
    <row r="51" spans="1:8" s="448" customFormat="1" ht="25.5">
      <c r="A51" s="892"/>
      <c r="B51" s="897"/>
      <c r="C51" s="443" t="s">
        <v>392</v>
      </c>
      <c r="D51" s="453" t="s">
        <v>393</v>
      </c>
      <c r="E51" s="431" t="s">
        <v>113</v>
      </c>
      <c r="F51" s="432">
        <f>G51*G3</f>
        <v>106784.99999999999</v>
      </c>
      <c r="G51" s="433">
        <f>75000+30000</f>
        <v>105000</v>
      </c>
      <c r="H51" s="446"/>
    </row>
    <row r="52" spans="1:8" s="448" customFormat="1" ht="25.5">
      <c r="A52" s="892"/>
      <c r="B52" s="897"/>
      <c r="C52" s="443" t="s">
        <v>394</v>
      </c>
      <c r="D52" s="453" t="s">
        <v>395</v>
      </c>
      <c r="E52" s="653" t="s">
        <v>317</v>
      </c>
      <c r="F52" s="454">
        <f>G52*G3</f>
        <v>94668.461999999985</v>
      </c>
      <c r="G52" s="433">
        <v>93086</v>
      </c>
      <c r="H52" s="446"/>
    </row>
    <row r="53" spans="1:8" s="448" customFormat="1">
      <c r="A53" s="892"/>
      <c r="B53" s="897"/>
      <c r="C53" s="443" t="s">
        <v>134</v>
      </c>
      <c r="D53" s="453" t="s">
        <v>318</v>
      </c>
      <c r="E53" s="654" t="s">
        <v>113</v>
      </c>
      <c r="F53" s="454">
        <f>(G53/11)*12*G3</f>
        <v>665769.24981818174</v>
      </c>
      <c r="G53" s="433">
        <v>600087</v>
      </c>
      <c r="H53" s="446"/>
    </row>
    <row r="54" spans="1:8" s="448" customFormat="1" ht="25.5">
      <c r="A54" s="892"/>
      <c r="B54" s="897"/>
      <c r="C54" s="443" t="s">
        <v>396</v>
      </c>
      <c r="D54" s="453" t="s">
        <v>397</v>
      </c>
      <c r="E54" s="655"/>
      <c r="F54" s="432">
        <f>(G54+40000)*G3</f>
        <v>663875.22599999991</v>
      </c>
      <c r="G54" s="433">
        <v>612778</v>
      </c>
      <c r="H54" s="446"/>
    </row>
    <row r="55" spans="1:8" s="448" customFormat="1">
      <c r="A55" s="892"/>
      <c r="B55" s="897"/>
      <c r="C55" s="443" t="s">
        <v>398</v>
      </c>
      <c r="D55" s="453" t="s">
        <v>319</v>
      </c>
      <c r="E55" s="431" t="s">
        <v>113</v>
      </c>
      <c r="F55" s="432">
        <f>(G55+5000)*G3</f>
        <v>102039.67799999999</v>
      </c>
      <c r="G55" s="433">
        <v>95334</v>
      </c>
      <c r="H55" s="446"/>
    </row>
    <row r="56" spans="1:8" s="448" customFormat="1">
      <c r="A56" s="892"/>
      <c r="B56" s="897"/>
      <c r="C56" s="443" t="s">
        <v>399</v>
      </c>
      <c r="D56" s="453" t="s">
        <v>229</v>
      </c>
      <c r="E56" s="431" t="s">
        <v>113</v>
      </c>
      <c r="F56" s="432">
        <f>G56*G3</f>
        <v>219570.3</v>
      </c>
      <c r="G56" s="433">
        <f>215900</f>
        <v>215900</v>
      </c>
      <c r="H56" s="446"/>
    </row>
    <row r="57" spans="1:8" s="448" customFormat="1">
      <c r="A57" s="892"/>
      <c r="B57" s="897"/>
      <c r="C57" s="443" t="s">
        <v>400</v>
      </c>
      <c r="D57" s="453" t="s">
        <v>401</v>
      </c>
      <c r="E57" s="431" t="s">
        <v>113</v>
      </c>
      <c r="F57" s="432">
        <f>G57*G3</f>
        <v>1934220.0959999999</v>
      </c>
      <c r="G57" s="433">
        <v>1901888</v>
      </c>
      <c r="H57" s="446"/>
    </row>
    <row r="58" spans="1:8" s="448" customFormat="1">
      <c r="A58" s="892"/>
      <c r="B58" s="897"/>
      <c r="C58" s="443" t="s">
        <v>139</v>
      </c>
      <c r="D58" s="453" t="s">
        <v>402</v>
      </c>
      <c r="E58" s="431" t="s">
        <v>113</v>
      </c>
      <c r="F58" s="432">
        <f>331120*12*G3</f>
        <v>4040988.4799999995</v>
      </c>
      <c r="G58" s="433">
        <v>7300484</v>
      </c>
      <c r="H58" s="446"/>
    </row>
    <row r="59" spans="1:8" s="448" customFormat="1">
      <c r="A59" s="892"/>
      <c r="B59" s="897"/>
      <c r="C59" s="443" t="s">
        <v>139</v>
      </c>
      <c r="D59" s="453" t="s">
        <v>403</v>
      </c>
      <c r="E59" s="431" t="s">
        <v>113</v>
      </c>
      <c r="F59" s="432">
        <f>G59*G3</f>
        <v>801030.89699999988</v>
      </c>
      <c r="G59" s="433">
        <v>787641</v>
      </c>
      <c r="H59" s="446"/>
    </row>
    <row r="60" spans="1:8" s="448" customFormat="1">
      <c r="A60" s="892"/>
      <c r="B60" s="897"/>
      <c r="C60" s="443" t="s">
        <v>404</v>
      </c>
      <c r="D60" s="453" t="s">
        <v>320</v>
      </c>
      <c r="E60" s="431" t="s">
        <v>113</v>
      </c>
      <c r="F60" s="432">
        <f>((47625*12)*G3)+((22860*12)*G3)</f>
        <v>860198.94</v>
      </c>
      <c r="G60" s="433">
        <f>571500+103239</f>
        <v>674739</v>
      </c>
      <c r="H60" s="446"/>
    </row>
    <row r="61" spans="1:8" s="448" customFormat="1">
      <c r="A61" s="892"/>
      <c r="B61" s="897"/>
      <c r="C61" s="443" t="s">
        <v>404</v>
      </c>
      <c r="D61" s="453" t="s">
        <v>321</v>
      </c>
      <c r="E61" s="431" t="s">
        <v>113</v>
      </c>
      <c r="F61" s="455">
        <f>8330*12*G3</f>
        <v>101659.31999999999</v>
      </c>
      <c r="G61" s="456">
        <v>83300</v>
      </c>
      <c r="H61" s="446"/>
    </row>
    <row r="62" spans="1:8" s="448" customFormat="1">
      <c r="A62" s="892"/>
      <c r="B62" s="897"/>
      <c r="C62" s="443" t="s">
        <v>404</v>
      </c>
      <c r="D62" s="453" t="s">
        <v>322</v>
      </c>
      <c r="E62" s="550" t="s">
        <v>113</v>
      </c>
      <c r="F62" s="455">
        <f>(25000*12)*G3</f>
        <v>305100</v>
      </c>
      <c r="G62" s="456">
        <v>100230</v>
      </c>
      <c r="H62" s="446"/>
    </row>
    <row r="63" spans="1:8" ht="25.5">
      <c r="A63" s="892"/>
      <c r="B63" s="898"/>
      <c r="C63" s="417" t="s">
        <v>405</v>
      </c>
      <c r="D63" s="457" t="s">
        <v>406</v>
      </c>
      <c r="E63" s="422" t="s">
        <v>113</v>
      </c>
      <c r="F63" s="420">
        <f>G63*G3</f>
        <v>381507.20999999996</v>
      </c>
      <c r="G63" s="421">
        <v>375130</v>
      </c>
    </row>
    <row r="64" spans="1:8" ht="12.75" customHeight="1">
      <c r="A64" s="892"/>
      <c r="B64" s="899"/>
      <c r="C64" s="417" t="s">
        <v>323</v>
      </c>
      <c r="D64" s="457" t="s">
        <v>324</v>
      </c>
      <c r="E64" s="419">
        <v>42430</v>
      </c>
      <c r="F64" s="423">
        <f>(G64/9)*12*G3</f>
        <v>312661.05599999992</v>
      </c>
      <c r="G64" s="424">
        <v>230576</v>
      </c>
    </row>
    <row r="65" spans="1:8" s="657" customFormat="1" ht="14.25" customHeight="1" thickBot="1">
      <c r="A65" s="893"/>
      <c r="B65" s="889" t="s">
        <v>128</v>
      </c>
      <c r="C65" s="889"/>
      <c r="D65" s="889"/>
      <c r="E65" s="890"/>
      <c r="F65" s="464">
        <f>SUM(F6:F64)</f>
        <v>44707739.960589603</v>
      </c>
      <c r="G65" s="465">
        <f>SUM(G6:G64)</f>
        <v>47154151</v>
      </c>
      <c r="H65" s="656"/>
    </row>
    <row r="66" spans="1:8" ht="13.5" thickBot="1">
      <c r="C66" s="437"/>
      <c r="D66" s="438"/>
      <c r="E66" s="439"/>
      <c r="F66" s="440"/>
    </row>
    <row r="67" spans="1:8" ht="13.5" thickBot="1">
      <c r="C67" s="437"/>
      <c r="D67" s="438"/>
      <c r="E67" s="459"/>
      <c r="F67" s="440"/>
    </row>
    <row r="68" spans="1:8">
      <c r="C68" s="437"/>
      <c r="D68" s="438"/>
      <c r="E68" s="439"/>
      <c r="F68" s="440"/>
    </row>
    <row r="69" spans="1:8">
      <c r="C69" s="437"/>
      <c r="D69" s="438"/>
      <c r="E69" s="439"/>
      <c r="F69" s="440"/>
    </row>
    <row r="70" spans="1:8">
      <c r="C70" s="437"/>
      <c r="D70" s="438"/>
      <c r="E70" s="658"/>
      <c r="F70" s="440"/>
    </row>
    <row r="71" spans="1:8">
      <c r="C71" s="437"/>
      <c r="D71" s="438"/>
      <c r="E71" s="658"/>
      <c r="F71" s="440"/>
    </row>
    <row r="72" spans="1:8">
      <c r="C72" s="437"/>
      <c r="D72" s="438"/>
      <c r="E72" s="658"/>
      <c r="F72" s="440"/>
    </row>
    <row r="73" spans="1:8">
      <c r="C73" s="437"/>
      <c r="D73" s="438"/>
      <c r="E73" s="658"/>
      <c r="F73" s="440"/>
    </row>
    <row r="74" spans="1:8">
      <c r="C74" s="437"/>
      <c r="D74" s="438"/>
      <c r="E74" s="440"/>
      <c r="F74" s="440"/>
    </row>
    <row r="75" spans="1:8">
      <c r="C75" s="437"/>
      <c r="D75" s="438"/>
      <c r="E75" s="440"/>
      <c r="F75" s="440"/>
    </row>
    <row r="76" spans="1:8">
      <c r="C76" s="437"/>
      <c r="D76" s="438"/>
      <c r="E76" s="440"/>
      <c r="F76" s="440"/>
    </row>
    <row r="77" spans="1:8">
      <c r="C77" s="437"/>
      <c r="D77" s="438"/>
      <c r="E77" s="440"/>
      <c r="F77" s="440"/>
    </row>
    <row r="78" spans="1:8">
      <c r="C78" s="437"/>
      <c r="D78" s="438"/>
      <c r="E78" s="440"/>
      <c r="F78" s="440"/>
    </row>
    <row r="79" spans="1:8">
      <c r="C79" s="437"/>
      <c r="D79" s="438"/>
      <c r="E79" s="440"/>
      <c r="F79" s="440"/>
    </row>
    <row r="80" spans="1:8">
      <c r="C80" s="437"/>
      <c r="D80" s="438"/>
      <c r="E80" s="440"/>
      <c r="F80" s="440"/>
    </row>
    <row r="81" spans="5:5">
      <c r="E81" s="412"/>
    </row>
    <row r="82" spans="5:5">
      <c r="E82" s="412"/>
    </row>
    <row r="83" spans="5:5">
      <c r="E83" s="412"/>
    </row>
    <row r="84" spans="5:5">
      <c r="E84" s="412"/>
    </row>
    <row r="85" spans="5:5">
      <c r="E85" s="412"/>
    </row>
    <row r="86" spans="5:5">
      <c r="E86" s="412"/>
    </row>
    <row r="87" spans="5:5">
      <c r="E87" s="412"/>
    </row>
    <row r="88" spans="5:5">
      <c r="E88" s="412"/>
    </row>
    <row r="89" spans="5:5">
      <c r="E89" s="412"/>
    </row>
    <row r="90" spans="5:5">
      <c r="E90" s="412"/>
    </row>
    <row r="91" spans="5:5">
      <c r="E91" s="412"/>
    </row>
    <row r="92" spans="5:5">
      <c r="E92" s="412"/>
    </row>
    <row r="93" spans="5:5">
      <c r="E93" s="412"/>
    </row>
    <row r="94" spans="5:5">
      <c r="E94" s="659"/>
    </row>
    <row r="95" spans="5:5">
      <c r="E95" s="659"/>
    </row>
    <row r="96" spans="5:5">
      <c r="E96" s="659"/>
    </row>
    <row r="97" spans="5:5">
      <c r="E97" s="659"/>
    </row>
    <row r="98" spans="5:5">
      <c r="E98" s="659"/>
    </row>
    <row r="99" spans="5:5">
      <c r="E99" s="659"/>
    </row>
    <row r="100" spans="5:5">
      <c r="E100" s="659"/>
    </row>
    <row r="101" spans="5:5">
      <c r="E101" s="659"/>
    </row>
    <row r="102" spans="5:5">
      <c r="E102" s="659"/>
    </row>
    <row r="103" spans="5:5">
      <c r="E103" s="659"/>
    </row>
    <row r="104" spans="5:5">
      <c r="E104" s="659"/>
    </row>
    <row r="105" spans="5:5">
      <c r="E105" s="659"/>
    </row>
    <row r="106" spans="5:5">
      <c r="E106" s="659"/>
    </row>
    <row r="107" spans="5:5">
      <c r="E107" s="659"/>
    </row>
    <row r="108" spans="5:5">
      <c r="E108" s="659"/>
    </row>
    <row r="109" spans="5:5">
      <c r="E109" s="659"/>
    </row>
    <row r="110" spans="5:5">
      <c r="E110" s="659"/>
    </row>
    <row r="111" spans="5:5">
      <c r="E111" s="659"/>
    </row>
    <row r="112" spans="5:5">
      <c r="E112" s="659"/>
    </row>
    <row r="113" spans="5:5">
      <c r="E113" s="659"/>
    </row>
    <row r="114" spans="5:5">
      <c r="E114" s="659"/>
    </row>
    <row r="115" spans="5:5">
      <c r="E115" s="659"/>
    </row>
    <row r="116" spans="5:5">
      <c r="E116" s="659"/>
    </row>
    <row r="117" spans="5:5">
      <c r="E117" s="659"/>
    </row>
    <row r="118" spans="5:5">
      <c r="E118" s="659"/>
    </row>
    <row r="119" spans="5:5">
      <c r="E119" s="659"/>
    </row>
    <row r="120" spans="5:5">
      <c r="E120" s="659"/>
    </row>
    <row r="121" spans="5:5">
      <c r="E121" s="659"/>
    </row>
    <row r="122" spans="5:5">
      <c r="E122" s="659"/>
    </row>
    <row r="123" spans="5:5">
      <c r="E123" s="659"/>
    </row>
    <row r="124" spans="5:5">
      <c r="E124" s="659"/>
    </row>
    <row r="125" spans="5:5">
      <c r="E125" s="659"/>
    </row>
    <row r="126" spans="5:5" ht="13.5">
      <c r="E126" s="660"/>
    </row>
    <row r="127" spans="5:5">
      <c r="E127" s="659"/>
    </row>
    <row r="128" spans="5:5">
      <c r="E128" s="659"/>
    </row>
    <row r="129" spans="5:6">
      <c r="E129" s="659"/>
    </row>
    <row r="130" spans="5:6">
      <c r="E130" s="659"/>
    </row>
    <row r="131" spans="5:6">
      <c r="E131" s="659"/>
    </row>
    <row r="132" spans="5:6">
      <c r="E132" s="659"/>
    </row>
    <row r="133" spans="5:6" ht="13.5">
      <c r="F133" s="661"/>
    </row>
  </sheetData>
  <mergeCells count="9">
    <mergeCell ref="B65:E65"/>
    <mergeCell ref="A6:A65"/>
    <mergeCell ref="F4:F5"/>
    <mergeCell ref="B6:B64"/>
    <mergeCell ref="G4:G5"/>
    <mergeCell ref="A4:B4"/>
    <mergeCell ref="C4:C5"/>
    <mergeCell ref="D4:D5"/>
    <mergeCell ref="E4:E5"/>
  </mergeCells>
  <phoneticPr fontId="25" type="noConversion"/>
  <printOptions horizontalCentered="1"/>
  <pageMargins left="0.19685039370078741" right="0.19685039370078741" top="0.35433070866141736" bottom="0.39370078740157483" header="0.15748031496062992" footer="0.11811023622047245"/>
  <pageSetup paperSize="9" scale="65" orientation="portrait" r:id="rId1"/>
  <headerFooter alignWithMargins="0">
    <oddHeader>&amp;C&amp;"Times New Roman,Félkövér"&amp;13Több évre kihatással járó kötelezettségvállalások 2013-2014. évi kifizetései</oddHeader>
    <oddFooter>&amp;P. oldal, összesen: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D50"/>
  <sheetViews>
    <sheetView zoomScaleNormal="100" workbookViewId="0">
      <selection sqref="A1:D1"/>
    </sheetView>
  </sheetViews>
  <sheetFormatPr defaultRowHeight="15"/>
  <cols>
    <col min="1" max="1" width="43" style="316" customWidth="1"/>
    <col min="2" max="3" width="10.7109375" style="317" bestFit="1" customWidth="1"/>
    <col min="4" max="4" width="10.7109375" style="315" bestFit="1" customWidth="1"/>
    <col min="5" max="16384" width="9.140625" style="314"/>
  </cols>
  <sheetData>
    <row r="1" spans="1:4" ht="14.25">
      <c r="A1" s="911" t="s">
        <v>122</v>
      </c>
      <c r="B1" s="746"/>
      <c r="C1" s="746"/>
      <c r="D1" s="746"/>
    </row>
    <row r="2" spans="1:4" ht="14.25">
      <c r="A2" s="313"/>
      <c r="B2" s="278"/>
      <c r="C2" s="278"/>
      <c r="D2" s="278"/>
    </row>
    <row r="3" spans="1:4" ht="15" customHeight="1">
      <c r="A3" s="910" t="s">
        <v>786</v>
      </c>
      <c r="B3" s="910"/>
      <c r="C3" s="910"/>
    </row>
    <row r="4" spans="1:4">
      <c r="C4" s="313"/>
      <c r="D4" s="313" t="s">
        <v>484</v>
      </c>
    </row>
    <row r="5" spans="1:4" ht="14.25">
      <c r="A5" s="318" t="s">
        <v>572</v>
      </c>
      <c r="B5" s="319" t="s">
        <v>787</v>
      </c>
      <c r="C5" s="320" t="s">
        <v>788</v>
      </c>
      <c r="D5" s="320" t="s">
        <v>789</v>
      </c>
    </row>
    <row r="6" spans="1:4">
      <c r="A6" s="321" t="s">
        <v>454</v>
      </c>
      <c r="B6" s="322" t="e">
        <f>#REF!</f>
        <v>#REF!</v>
      </c>
      <c r="C6" s="322">
        <v>100000</v>
      </c>
      <c r="D6" s="322">
        <v>100000</v>
      </c>
    </row>
    <row r="7" spans="1:4">
      <c r="A7" s="323" t="s">
        <v>790</v>
      </c>
      <c r="B7" s="322" t="e">
        <f>#REF!</f>
        <v>#REF!</v>
      </c>
      <c r="C7" s="322">
        <v>654500</v>
      </c>
      <c r="D7" s="322">
        <v>654500</v>
      </c>
    </row>
    <row r="8" spans="1:4">
      <c r="A8" s="321" t="s">
        <v>791</v>
      </c>
      <c r="B8" s="322" t="e">
        <f>#REF!</f>
        <v>#REF!</v>
      </c>
      <c r="C8" s="322">
        <v>45000</v>
      </c>
      <c r="D8" s="322">
        <v>45000</v>
      </c>
    </row>
    <row r="9" spans="1:4">
      <c r="A9" s="321" t="s">
        <v>792</v>
      </c>
      <c r="B9" s="322" t="e">
        <f>#REF!</f>
        <v>#REF!</v>
      </c>
      <c r="C9" s="322">
        <v>0</v>
      </c>
      <c r="D9" s="322">
        <v>0</v>
      </c>
    </row>
    <row r="10" spans="1:4">
      <c r="A10" s="321" t="s">
        <v>793</v>
      </c>
      <c r="B10" s="322" t="e">
        <f>#REF!</f>
        <v>#REF!</v>
      </c>
      <c r="C10" s="322">
        <v>25000</v>
      </c>
      <c r="D10" s="322">
        <v>25000</v>
      </c>
    </row>
    <row r="11" spans="1:4">
      <c r="A11" s="321" t="s">
        <v>458</v>
      </c>
      <c r="B11" s="324" t="e">
        <f>#REF!</f>
        <v>#REF!</v>
      </c>
      <c r="C11" s="324">
        <v>1250000</v>
      </c>
      <c r="D11" s="324">
        <v>1250000</v>
      </c>
    </row>
    <row r="12" spans="1:4">
      <c r="A12" s="321" t="s">
        <v>842</v>
      </c>
      <c r="B12" s="324" t="e">
        <f>#REF!</f>
        <v>#REF!</v>
      </c>
      <c r="C12" s="324">
        <v>150000</v>
      </c>
      <c r="D12" s="324">
        <v>150000</v>
      </c>
    </row>
    <row r="13" spans="1:4">
      <c r="A13" s="316" t="s">
        <v>794</v>
      </c>
      <c r="B13" s="322" t="e">
        <f>#REF!</f>
        <v>#REF!</v>
      </c>
      <c r="C13" s="322">
        <v>0</v>
      </c>
      <c r="D13" s="322">
        <v>0</v>
      </c>
    </row>
    <row r="14" spans="1:4">
      <c r="A14" s="325" t="s">
        <v>465</v>
      </c>
      <c r="B14" s="322">
        <v>0</v>
      </c>
      <c r="C14" s="322">
        <v>0</v>
      </c>
      <c r="D14" s="322">
        <v>0</v>
      </c>
    </row>
    <row r="15" spans="1:4">
      <c r="A15" s="316" t="s">
        <v>795</v>
      </c>
      <c r="B15" s="322" t="e">
        <f>#REF!</f>
        <v>#REF!</v>
      </c>
      <c r="C15" s="322">
        <v>0</v>
      </c>
      <c r="D15" s="322">
        <v>0</v>
      </c>
    </row>
    <row r="16" spans="1:4">
      <c r="A16" s="316" t="s">
        <v>460</v>
      </c>
      <c r="B16" s="322">
        <v>0</v>
      </c>
      <c r="C16" s="322">
        <v>0</v>
      </c>
      <c r="D16" s="322">
        <v>0</v>
      </c>
    </row>
    <row r="17" spans="1:4">
      <c r="A17" s="316" t="s">
        <v>796</v>
      </c>
      <c r="B17" s="322" t="e">
        <f>#REF!</f>
        <v>#REF!</v>
      </c>
      <c r="C17" s="322">
        <v>3000</v>
      </c>
      <c r="D17" s="322">
        <v>4000</v>
      </c>
    </row>
    <row r="18" spans="1:4">
      <c r="A18" s="326" t="s">
        <v>797</v>
      </c>
      <c r="B18" s="327" t="e">
        <f>SUM(B6:B17)</f>
        <v>#REF!</v>
      </c>
      <c r="C18" s="327">
        <f>SUM(C6:C17)</f>
        <v>2227500</v>
      </c>
      <c r="D18" s="327">
        <f>SUM(D6:D17)</f>
        <v>2228500</v>
      </c>
    </row>
    <row r="19" spans="1:4">
      <c r="A19" s="321" t="s">
        <v>468</v>
      </c>
      <c r="B19" s="322">
        <v>0</v>
      </c>
      <c r="C19" s="322">
        <v>0</v>
      </c>
      <c r="D19" s="322">
        <v>105000</v>
      </c>
    </row>
    <row r="20" spans="1:4">
      <c r="A20" s="321" t="s">
        <v>486</v>
      </c>
      <c r="B20" s="322" t="e">
        <f>#REF!</f>
        <v>#REF!</v>
      </c>
      <c r="C20" s="322">
        <v>150000</v>
      </c>
      <c r="D20" s="322">
        <v>160000</v>
      </c>
    </row>
    <row r="21" spans="1:4">
      <c r="A21" s="321" t="s">
        <v>556</v>
      </c>
      <c r="B21" s="322" t="e">
        <f>#REF!</f>
        <v>#REF!</v>
      </c>
      <c r="C21" s="322">
        <v>100000</v>
      </c>
      <c r="D21" s="322">
        <v>100000</v>
      </c>
    </row>
    <row r="22" spans="1:4">
      <c r="A22" s="321" t="s">
        <v>798</v>
      </c>
      <c r="B22" s="322" t="e">
        <f>#REF!</f>
        <v>#REF!</v>
      </c>
      <c r="C22" s="322">
        <v>1500</v>
      </c>
      <c r="D22" s="322">
        <v>1500</v>
      </c>
    </row>
    <row r="23" spans="1:4">
      <c r="A23" s="321" t="s">
        <v>799</v>
      </c>
      <c r="B23" s="322" t="e">
        <f>#REF!</f>
        <v>#REF!</v>
      </c>
      <c r="C23" s="322">
        <v>8000</v>
      </c>
      <c r="D23" s="322">
        <v>8500</v>
      </c>
    </row>
    <row r="24" spans="1:4">
      <c r="A24" s="321" t="s">
        <v>800</v>
      </c>
      <c r="B24" s="322">
        <v>0</v>
      </c>
      <c r="C24" s="322">
        <v>0</v>
      </c>
      <c r="D24" s="322">
        <v>0</v>
      </c>
    </row>
    <row r="25" spans="1:4">
      <c r="A25" s="321" t="s">
        <v>472</v>
      </c>
      <c r="B25" s="322" t="e">
        <f>#REF!</f>
        <v>#REF!</v>
      </c>
      <c r="C25" s="322">
        <v>280000</v>
      </c>
      <c r="D25" s="322">
        <v>300000</v>
      </c>
    </row>
    <row r="26" spans="1:4">
      <c r="A26" s="326" t="s">
        <v>801</v>
      </c>
      <c r="B26" s="327" t="e">
        <f>SUM(B19:B25)</f>
        <v>#REF!</v>
      </c>
      <c r="C26" s="327">
        <f>SUM(C19:C25)</f>
        <v>539500</v>
      </c>
      <c r="D26" s="327">
        <f>SUM(D19:D25)</f>
        <v>675000</v>
      </c>
    </row>
    <row r="27" spans="1:4" ht="13.5" customHeight="1">
      <c r="A27" s="328" t="s">
        <v>802</v>
      </c>
      <c r="B27" s="329" t="e">
        <f>B18+B26</f>
        <v>#REF!</v>
      </c>
      <c r="C27" s="329">
        <f>C18+C26</f>
        <v>2767000</v>
      </c>
      <c r="D27" s="329">
        <f>D18+D26</f>
        <v>2903500</v>
      </c>
    </row>
    <row r="28" spans="1:4" ht="13.5" customHeight="1">
      <c r="A28" s="328"/>
      <c r="B28" s="329"/>
      <c r="C28" s="329"/>
      <c r="D28" s="329"/>
    </row>
    <row r="29" spans="1:4" ht="14.25">
      <c r="A29" s="330" t="s">
        <v>583</v>
      </c>
      <c r="B29" s="319" t="s">
        <v>787</v>
      </c>
      <c r="C29" s="320" t="s">
        <v>788</v>
      </c>
      <c r="D29" s="320" t="s">
        <v>789</v>
      </c>
    </row>
    <row r="30" spans="1:4">
      <c r="A30" s="321" t="s">
        <v>803</v>
      </c>
      <c r="B30" s="322" t="e">
        <f>#REF!</f>
        <v>#REF!</v>
      </c>
      <c r="C30" s="322">
        <v>610000</v>
      </c>
      <c r="D30" s="322">
        <v>615000</v>
      </c>
    </row>
    <row r="31" spans="1:4">
      <c r="A31" s="321" t="s">
        <v>456</v>
      </c>
      <c r="B31" s="322" t="e">
        <f>#REF!</f>
        <v>#REF!</v>
      </c>
      <c r="C31" s="322">
        <v>164700</v>
      </c>
      <c r="D31" s="322">
        <v>166050</v>
      </c>
    </row>
    <row r="32" spans="1:4">
      <c r="A32" s="321" t="s">
        <v>489</v>
      </c>
      <c r="B32" s="322" t="e">
        <f>#REF!</f>
        <v>#REF!</v>
      </c>
      <c r="C32" s="322">
        <v>940000</v>
      </c>
      <c r="D32" s="322">
        <v>945000</v>
      </c>
    </row>
    <row r="33" spans="1:4">
      <c r="A33" s="321" t="s">
        <v>804</v>
      </c>
      <c r="B33" s="322" t="e">
        <f>#REF!</f>
        <v>#REF!</v>
      </c>
      <c r="C33" s="322">
        <v>425000</v>
      </c>
      <c r="D33" s="322">
        <v>430000</v>
      </c>
    </row>
    <row r="34" spans="1:4">
      <c r="A34" s="321" t="s">
        <v>805</v>
      </c>
      <c r="B34" s="322" t="e">
        <f>#REF!</f>
        <v>#REF!</v>
      </c>
      <c r="C34" s="322">
        <v>185000</v>
      </c>
      <c r="D34" s="322">
        <v>185000</v>
      </c>
    </row>
    <row r="35" spans="1:4">
      <c r="A35" s="321" t="s">
        <v>806</v>
      </c>
      <c r="B35" s="322" t="e">
        <f>#REF!</f>
        <v>#REF!</v>
      </c>
      <c r="C35" s="322">
        <v>0</v>
      </c>
      <c r="D35" s="322">
        <v>0</v>
      </c>
    </row>
    <row r="36" spans="1:4">
      <c r="A36" s="321" t="s">
        <v>807</v>
      </c>
      <c r="B36" s="322" t="e">
        <f>#REF!</f>
        <v>#REF!</v>
      </c>
      <c r="C36" s="322">
        <v>6000</v>
      </c>
      <c r="D36" s="322">
        <v>6000</v>
      </c>
    </row>
    <row r="37" spans="1:4">
      <c r="A37" s="321" t="s">
        <v>462</v>
      </c>
      <c r="B37" s="322" t="e">
        <f>#REF!</f>
        <v>#REF!</v>
      </c>
      <c r="C37" s="322">
        <v>1000</v>
      </c>
      <c r="D37" s="322">
        <v>1000</v>
      </c>
    </row>
    <row r="38" spans="1:4">
      <c r="A38" s="321" t="s">
        <v>808</v>
      </c>
      <c r="B38" s="322" t="e">
        <f>#REF!</f>
        <v>#REF!</v>
      </c>
      <c r="C38" s="322">
        <v>9500</v>
      </c>
      <c r="D38" s="322">
        <v>9500</v>
      </c>
    </row>
    <row r="39" spans="1:4">
      <c r="A39" s="326" t="s">
        <v>809</v>
      </c>
      <c r="B39" s="327" t="e">
        <f>SUM(B30:B38)</f>
        <v>#REF!</v>
      </c>
      <c r="C39" s="327">
        <f>SUM(C30:C38)</f>
        <v>2341200</v>
      </c>
      <c r="D39" s="327">
        <f>SUM(D30:D38)</f>
        <v>2357550</v>
      </c>
    </row>
    <row r="40" spans="1:4">
      <c r="A40" s="321" t="s">
        <v>487</v>
      </c>
      <c r="B40" s="322" t="e">
        <f>#REF!</f>
        <v>#REF!</v>
      </c>
      <c r="C40" s="322">
        <v>209964</v>
      </c>
      <c r="D40" s="322">
        <v>203000</v>
      </c>
    </row>
    <row r="41" spans="1:4">
      <c r="A41" s="316" t="s">
        <v>614</v>
      </c>
      <c r="B41" s="322" t="e">
        <f>#REF!</f>
        <v>#REF!</v>
      </c>
      <c r="C41" s="322">
        <v>184500</v>
      </c>
      <c r="D41" s="322">
        <v>272000</v>
      </c>
    </row>
    <row r="42" spans="1:4">
      <c r="A42" s="321" t="s">
        <v>469</v>
      </c>
      <c r="B42" s="322" t="e">
        <f>#REF!</f>
        <v>#REF!</v>
      </c>
      <c r="C42" s="322">
        <v>6336</v>
      </c>
      <c r="D42" s="322">
        <v>6732</v>
      </c>
    </row>
    <row r="43" spans="1:4">
      <c r="A43" s="321" t="s">
        <v>810</v>
      </c>
      <c r="B43" s="322" t="e">
        <f>#REF!</f>
        <v>#REF!</v>
      </c>
      <c r="C43" s="322">
        <v>0</v>
      </c>
      <c r="D43" s="322">
        <v>0</v>
      </c>
    </row>
    <row r="44" spans="1:4">
      <c r="A44" s="321" t="s">
        <v>811</v>
      </c>
      <c r="B44" s="322" t="e">
        <f>#REF!</f>
        <v>#REF!</v>
      </c>
      <c r="C44" s="322">
        <v>0</v>
      </c>
      <c r="D44" s="322">
        <v>0</v>
      </c>
    </row>
    <row r="45" spans="1:4">
      <c r="A45" s="321" t="s">
        <v>812</v>
      </c>
      <c r="B45" s="322" t="e">
        <f>#REF!</f>
        <v>#REF!</v>
      </c>
      <c r="C45" s="322">
        <v>0</v>
      </c>
      <c r="D45" s="322">
        <v>0</v>
      </c>
    </row>
    <row r="46" spans="1:4">
      <c r="A46" s="321" t="s">
        <v>488</v>
      </c>
      <c r="B46" s="322" t="e">
        <f>#REF!</f>
        <v>#REF!</v>
      </c>
      <c r="C46" s="322">
        <v>25000</v>
      </c>
      <c r="D46" s="322">
        <v>64218</v>
      </c>
    </row>
    <row r="47" spans="1:4">
      <c r="A47" s="326" t="s">
        <v>813</v>
      </c>
      <c r="B47" s="327" t="e">
        <f>SUM(B40:B46)</f>
        <v>#REF!</v>
      </c>
      <c r="C47" s="331">
        <f>SUM(C40:C46)</f>
        <v>425800</v>
      </c>
      <c r="D47" s="331">
        <f>SUM(D40:D46)</f>
        <v>545950</v>
      </c>
    </row>
    <row r="48" spans="1:4" ht="14.25">
      <c r="A48" s="332" t="s">
        <v>593</v>
      </c>
      <c r="B48" s="329" t="e">
        <f>B39+B47</f>
        <v>#REF!</v>
      </c>
      <c r="C48" s="333">
        <f>C39+C47</f>
        <v>2767000</v>
      </c>
      <c r="D48" s="333">
        <f>D39+D47</f>
        <v>2903500</v>
      </c>
    </row>
    <row r="49" spans="1:3">
      <c r="A49" s="321"/>
      <c r="B49" s="334"/>
      <c r="C49" s="334"/>
    </row>
    <row r="50" spans="1:3">
      <c r="A50" s="321"/>
      <c r="B50" s="334"/>
      <c r="C50" s="334"/>
    </row>
  </sheetData>
  <mergeCells count="2">
    <mergeCell ref="A3:C3"/>
    <mergeCell ref="A1:D1"/>
  </mergeCells>
  <phoneticPr fontId="51" type="noConversion"/>
  <printOptions horizontalCentered="1"/>
  <pageMargins left="0.78740157480314965" right="0.78740157480314965" top="0.59055118110236227" bottom="0.59055118110236227" header="0.51181102362204722" footer="0.51181102362204722"/>
  <pageSetup paperSize="9" orientation="portrait" horizont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38"/>
  <sheetViews>
    <sheetView zoomScaleNormal="100" workbookViewId="0">
      <selection sqref="A1:E1"/>
    </sheetView>
  </sheetViews>
  <sheetFormatPr defaultRowHeight="12.75"/>
  <cols>
    <col min="1" max="1" width="34.28515625" customWidth="1"/>
    <col min="2" max="2" width="9.140625" hidden="1" customWidth="1"/>
    <col min="3" max="3" width="33.7109375" customWidth="1"/>
    <col min="5" max="5" width="7" customWidth="1"/>
  </cols>
  <sheetData>
    <row r="1" spans="1:8">
      <c r="A1" s="919" t="s">
        <v>123</v>
      </c>
      <c r="B1" s="919"/>
      <c r="C1" s="919"/>
      <c r="D1" s="919"/>
      <c r="E1" s="919"/>
      <c r="F1" s="399"/>
      <c r="G1" s="399"/>
      <c r="H1" s="278"/>
    </row>
    <row r="2" spans="1:8">
      <c r="A2" s="399"/>
      <c r="B2" s="399"/>
      <c r="C2" s="399"/>
      <c r="D2" s="399"/>
      <c r="E2" s="399"/>
      <c r="F2" s="399"/>
      <c r="G2" s="399"/>
    </row>
    <row r="3" spans="1:8">
      <c r="A3" s="399"/>
      <c r="B3" s="399"/>
      <c r="C3" s="399"/>
      <c r="D3" s="399"/>
      <c r="E3" s="399"/>
      <c r="F3" s="399"/>
      <c r="G3" s="399"/>
    </row>
    <row r="4" spans="1:8" ht="15.75">
      <c r="A4" s="920" t="s">
        <v>2</v>
      </c>
      <c r="B4" s="920"/>
      <c r="C4" s="920"/>
      <c r="D4" s="920"/>
      <c r="E4" s="920"/>
      <c r="F4" s="398"/>
      <c r="G4" s="398"/>
      <c r="H4" s="398"/>
    </row>
    <row r="5" spans="1:8" ht="15.75">
      <c r="A5" s="398"/>
      <c r="B5" s="398"/>
      <c r="C5" s="398"/>
      <c r="D5" s="398"/>
      <c r="E5" s="398"/>
      <c r="F5" s="398"/>
      <c r="G5" s="398"/>
      <c r="H5" s="398"/>
    </row>
    <row r="6" spans="1:8" ht="15.75">
      <c r="A6" s="398"/>
      <c r="B6" s="398"/>
      <c r="C6" s="398"/>
      <c r="D6" s="398"/>
      <c r="E6" s="398"/>
      <c r="F6" s="398"/>
      <c r="G6" s="398"/>
      <c r="H6" s="398"/>
    </row>
    <row r="7" spans="1:8" ht="15.75">
      <c r="A7" s="3"/>
      <c r="B7" s="3"/>
      <c r="C7" s="3"/>
      <c r="D7" s="3"/>
      <c r="E7" s="3"/>
      <c r="F7" s="3"/>
      <c r="G7" s="3"/>
      <c r="H7" s="3"/>
    </row>
    <row r="8" spans="1:8" ht="32.25" customHeight="1">
      <c r="A8" s="923" t="s">
        <v>3</v>
      </c>
      <c r="B8" s="923"/>
      <c r="C8" s="400" t="s">
        <v>4</v>
      </c>
      <c r="D8" s="921" t="s">
        <v>5</v>
      </c>
      <c r="E8" s="922"/>
      <c r="F8" s="3"/>
      <c r="G8" s="3"/>
      <c r="H8" s="3"/>
    </row>
    <row r="9" spans="1:8" ht="15.75">
      <c r="A9" s="912" t="s">
        <v>6</v>
      </c>
      <c r="B9" s="912"/>
      <c r="C9" s="401" t="s">
        <v>7</v>
      </c>
      <c r="D9" s="915">
        <v>3032</v>
      </c>
      <c r="E9" s="916"/>
      <c r="F9" s="3"/>
      <c r="G9" s="3"/>
      <c r="H9" s="3"/>
    </row>
    <row r="10" spans="1:8" ht="15.75">
      <c r="A10" s="912" t="s">
        <v>8</v>
      </c>
      <c r="B10" s="912"/>
      <c r="C10" s="401" t="s">
        <v>9</v>
      </c>
      <c r="D10" s="915">
        <v>16579</v>
      </c>
      <c r="E10" s="916"/>
      <c r="F10" s="3"/>
      <c r="G10" s="3"/>
      <c r="H10" s="3"/>
    </row>
    <row r="11" spans="1:8" ht="31.5">
      <c r="A11" s="402" t="s">
        <v>10</v>
      </c>
      <c r="B11" s="403"/>
      <c r="C11" s="404" t="s">
        <v>11</v>
      </c>
      <c r="D11" s="917">
        <v>6000</v>
      </c>
      <c r="E11" s="918"/>
      <c r="F11" s="3"/>
      <c r="G11" s="3"/>
      <c r="H11" s="3"/>
    </row>
    <row r="12" spans="1:8" ht="15.75">
      <c r="A12" s="402" t="s">
        <v>97</v>
      </c>
      <c r="B12" s="403"/>
      <c r="C12" s="404" t="s">
        <v>101</v>
      </c>
      <c r="D12" s="913">
        <v>10000</v>
      </c>
      <c r="E12" s="914"/>
      <c r="F12" s="3"/>
      <c r="G12" s="3"/>
      <c r="H12" s="3"/>
    </row>
    <row r="13" spans="1:8" ht="15.75">
      <c r="A13" s="405" t="s">
        <v>12</v>
      </c>
      <c r="B13" s="406"/>
      <c r="C13" s="401" t="s">
        <v>13</v>
      </c>
      <c r="D13" s="915">
        <v>11000</v>
      </c>
      <c r="E13" s="916"/>
      <c r="F13" s="3"/>
      <c r="G13" s="3"/>
      <c r="H13" s="3"/>
    </row>
    <row r="14" spans="1:8" ht="15.75">
      <c r="A14" s="407"/>
      <c r="B14" s="408"/>
      <c r="C14" s="409"/>
      <c r="D14" s="410"/>
      <c r="E14" s="410"/>
      <c r="F14" s="3"/>
      <c r="G14" s="3"/>
      <c r="H14" s="3"/>
    </row>
    <row r="15" spans="1:8" ht="15.75">
      <c r="A15" s="407"/>
      <c r="B15" s="408"/>
      <c r="C15" s="409"/>
      <c r="D15" s="410"/>
      <c r="E15" s="410"/>
      <c r="F15" s="3"/>
      <c r="G15" s="3"/>
      <c r="H15" s="3"/>
    </row>
    <row r="17" spans="1:1">
      <c r="A17" t="s">
        <v>14</v>
      </c>
    </row>
    <row r="18" spans="1:1">
      <c r="A18" t="s">
        <v>15</v>
      </c>
    </row>
    <row r="20" spans="1:1">
      <c r="A20" s="411" t="s">
        <v>16</v>
      </c>
    </row>
    <row r="21" spans="1:1">
      <c r="A21" t="s">
        <v>17</v>
      </c>
    </row>
    <row r="22" spans="1:1">
      <c r="A22" t="s">
        <v>18</v>
      </c>
    </row>
    <row r="24" spans="1:1">
      <c r="A24" t="s">
        <v>94</v>
      </c>
    </row>
    <row r="25" spans="1:1">
      <c r="A25" t="s">
        <v>20</v>
      </c>
    </row>
    <row r="28" spans="1:1">
      <c r="A28" t="s">
        <v>19</v>
      </c>
    </row>
    <row r="29" spans="1:1">
      <c r="A29" t="s">
        <v>95</v>
      </c>
    </row>
    <row r="30" spans="1:1">
      <c r="A30" t="s">
        <v>96</v>
      </c>
    </row>
    <row r="33" spans="1:1">
      <c r="A33" t="s">
        <v>98</v>
      </c>
    </row>
    <row r="34" spans="1:1">
      <c r="A34" t="s">
        <v>99</v>
      </c>
    </row>
    <row r="35" spans="1:1">
      <c r="A35" t="s">
        <v>100</v>
      </c>
    </row>
    <row r="37" spans="1:1">
      <c r="A37" t="s">
        <v>102</v>
      </c>
    </row>
    <row r="38" spans="1:1">
      <c r="A38" t="s">
        <v>103</v>
      </c>
    </row>
  </sheetData>
  <mergeCells count="11">
    <mergeCell ref="A1:E1"/>
    <mergeCell ref="A4:E4"/>
    <mergeCell ref="D8:E8"/>
    <mergeCell ref="D9:E9"/>
    <mergeCell ref="A8:B8"/>
    <mergeCell ref="A9:B9"/>
    <mergeCell ref="A10:B10"/>
    <mergeCell ref="D12:E12"/>
    <mergeCell ref="D13:E13"/>
    <mergeCell ref="D10:E10"/>
    <mergeCell ref="D11:E11"/>
  </mergeCells>
  <phoneticPr fontId="25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45"/>
  <sheetViews>
    <sheetView zoomScaleNormal="100" workbookViewId="0">
      <selection sqref="A1:O1"/>
    </sheetView>
  </sheetViews>
  <sheetFormatPr defaultColWidth="8" defaultRowHeight="12.75"/>
  <cols>
    <col min="1" max="1" width="2.85546875" style="287" customWidth="1"/>
    <col min="2" max="2" width="32.42578125" style="287" bestFit="1" customWidth="1"/>
    <col min="3" max="3" width="9.85546875" style="287" bestFit="1" customWidth="1"/>
    <col min="4" max="4" width="8.85546875" style="287" bestFit="1" customWidth="1"/>
    <col min="5" max="5" width="7.42578125" style="287" bestFit="1" customWidth="1"/>
    <col min="6" max="6" width="8.7109375" style="287" customWidth="1"/>
    <col min="7" max="7" width="8" style="287" bestFit="1" customWidth="1"/>
    <col min="8" max="9" width="7.42578125" style="287" bestFit="1" customWidth="1"/>
    <col min="10" max="10" width="8.85546875" style="287" bestFit="1" customWidth="1"/>
    <col min="11" max="14" width="8.42578125" style="287" bestFit="1" customWidth="1"/>
    <col min="15" max="15" width="8.85546875" style="287" customWidth="1"/>
    <col min="16" max="16" width="10.140625" style="287" bestFit="1" customWidth="1"/>
    <col min="17" max="17" width="8" style="288"/>
    <col min="18" max="16384" width="8" style="287"/>
  </cols>
  <sheetData>
    <row r="1" spans="1:16">
      <c r="A1" s="925" t="s">
        <v>124</v>
      </c>
      <c r="B1" s="926"/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  <c r="O1" s="926"/>
    </row>
    <row r="2" spans="1:16">
      <c r="A2" s="924" t="s">
        <v>747</v>
      </c>
      <c r="B2" s="924"/>
      <c r="C2" s="924"/>
      <c r="D2" s="924"/>
      <c r="E2" s="924"/>
      <c r="F2" s="924"/>
      <c r="G2" s="924"/>
      <c r="H2" s="924"/>
      <c r="I2" s="924"/>
      <c r="J2" s="924"/>
      <c r="K2" s="924"/>
      <c r="L2" s="924"/>
      <c r="M2" s="924"/>
      <c r="N2" s="924"/>
      <c r="O2" s="924"/>
    </row>
    <row r="3" spans="1:16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90"/>
    </row>
    <row r="4" spans="1:16" ht="8.25" customHeight="1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</row>
    <row r="5" spans="1:16"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89" t="s">
        <v>484</v>
      </c>
    </row>
    <row r="6" spans="1:16">
      <c r="A6" s="292"/>
      <c r="B6" s="292"/>
      <c r="C6" s="293" t="s">
        <v>748</v>
      </c>
      <c r="D6" s="293" t="s">
        <v>749</v>
      </c>
      <c r="E6" s="293" t="s">
        <v>750</v>
      </c>
      <c r="F6" s="293" t="s">
        <v>751</v>
      </c>
      <c r="G6" s="293" t="s">
        <v>752</v>
      </c>
      <c r="H6" s="293" t="s">
        <v>753</v>
      </c>
      <c r="I6" s="293" t="s">
        <v>754</v>
      </c>
      <c r="J6" s="293" t="s">
        <v>755</v>
      </c>
      <c r="K6" s="293" t="s">
        <v>756</v>
      </c>
      <c r="L6" s="293" t="s">
        <v>757</v>
      </c>
      <c r="M6" s="293" t="s">
        <v>758</v>
      </c>
      <c r="N6" s="293" t="s">
        <v>759</v>
      </c>
      <c r="O6" s="294" t="s">
        <v>557</v>
      </c>
    </row>
    <row r="7" spans="1:16">
      <c r="A7" s="295" t="s">
        <v>572</v>
      </c>
      <c r="B7" s="292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</row>
    <row r="8" spans="1:16">
      <c r="A8" s="297">
        <v>1</v>
      </c>
      <c r="B8" s="298" t="s">
        <v>490</v>
      </c>
      <c r="C8" s="299">
        <v>7879</v>
      </c>
      <c r="D8" s="299">
        <v>8199</v>
      </c>
      <c r="E8" s="299">
        <v>8306</v>
      </c>
      <c r="F8" s="299">
        <v>8169</v>
      </c>
      <c r="G8" s="299">
        <v>9085</v>
      </c>
      <c r="H8" s="299">
        <v>8551</v>
      </c>
      <c r="I8" s="299">
        <v>8093</v>
      </c>
      <c r="J8" s="299">
        <v>7940</v>
      </c>
      <c r="K8" s="299">
        <v>8398</v>
      </c>
      <c r="L8" s="299">
        <v>8810</v>
      </c>
      <c r="M8" s="299">
        <v>7995</v>
      </c>
      <c r="N8" s="299">
        <v>9134</v>
      </c>
      <c r="O8" s="300">
        <f t="shared" ref="O8:O16" si="0">SUM(C8:N8)</f>
        <v>100559</v>
      </c>
      <c r="P8" s="370"/>
    </row>
    <row r="9" spans="1:16">
      <c r="A9" s="297">
        <v>2</v>
      </c>
      <c r="B9" s="298" t="s">
        <v>733</v>
      </c>
      <c r="C9" s="299">
        <v>7900</v>
      </c>
      <c r="D9" s="299">
        <v>22430</v>
      </c>
      <c r="E9" s="299">
        <v>230500</v>
      </c>
      <c r="F9" s="299">
        <v>14555</v>
      </c>
      <c r="G9" s="299">
        <v>17960</v>
      </c>
      <c r="H9" s="299">
        <v>12602</v>
      </c>
      <c r="I9" s="299">
        <v>12620</v>
      </c>
      <c r="J9" s="299">
        <v>21543</v>
      </c>
      <c r="K9" s="299">
        <v>275000</v>
      </c>
      <c r="L9" s="299">
        <v>15390</v>
      </c>
      <c r="M9" s="299">
        <v>13500</v>
      </c>
      <c r="N9" s="299">
        <v>82500</v>
      </c>
      <c r="O9" s="300">
        <f t="shared" si="0"/>
        <v>726500</v>
      </c>
      <c r="P9" s="370"/>
    </row>
    <row r="10" spans="1:16">
      <c r="A10" s="297"/>
      <c r="B10" s="298" t="s">
        <v>760</v>
      </c>
      <c r="C10" s="299">
        <v>5400</v>
      </c>
      <c r="D10" s="299">
        <v>19930</v>
      </c>
      <c r="E10" s="299">
        <v>216490</v>
      </c>
      <c r="F10" s="299">
        <v>12055</v>
      </c>
      <c r="G10" s="299">
        <v>15460</v>
      </c>
      <c r="H10" s="299">
        <v>2902</v>
      </c>
      <c r="I10" s="299">
        <v>4120</v>
      </c>
      <c r="J10" s="299">
        <v>16913</v>
      </c>
      <c r="K10" s="299">
        <v>257100</v>
      </c>
      <c r="L10" s="299">
        <v>12890</v>
      </c>
      <c r="M10" s="299">
        <v>11000</v>
      </c>
      <c r="N10" s="299">
        <v>80240</v>
      </c>
      <c r="O10" s="300">
        <f t="shared" si="0"/>
        <v>654500</v>
      </c>
      <c r="P10" s="370"/>
    </row>
    <row r="11" spans="1:16">
      <c r="A11" s="297">
        <v>3</v>
      </c>
      <c r="B11" s="298" t="s">
        <v>761</v>
      </c>
      <c r="C11" s="299">
        <v>1500</v>
      </c>
      <c r="D11" s="299">
        <v>5000</v>
      </c>
      <c r="E11" s="299">
        <v>6000</v>
      </c>
      <c r="F11" s="299">
        <v>8000</v>
      </c>
      <c r="G11" s="299">
        <v>8000</v>
      </c>
      <c r="H11" s="299">
        <v>25000</v>
      </c>
      <c r="I11" s="299">
        <v>10000</v>
      </c>
      <c r="J11" s="299">
        <v>19445</v>
      </c>
      <c r="K11" s="299">
        <v>12500</v>
      </c>
      <c r="L11" s="299">
        <v>20000</v>
      </c>
      <c r="M11" s="299">
        <v>28000</v>
      </c>
      <c r="N11" s="299">
        <v>45000</v>
      </c>
      <c r="O11" s="300">
        <f t="shared" si="0"/>
        <v>188445</v>
      </c>
      <c r="P11" s="370"/>
    </row>
    <row r="12" spans="1:16">
      <c r="A12" s="297">
        <v>4</v>
      </c>
      <c r="B12" s="298" t="s">
        <v>491</v>
      </c>
      <c r="C12" s="299">
        <v>146363</v>
      </c>
      <c r="D12" s="299">
        <v>97575</v>
      </c>
      <c r="E12" s="299">
        <v>97575</v>
      </c>
      <c r="F12" s="299">
        <v>97575</v>
      </c>
      <c r="G12" s="299">
        <v>97575</v>
      </c>
      <c r="H12" s="299">
        <v>97575</v>
      </c>
      <c r="I12" s="299">
        <v>97575</v>
      </c>
      <c r="J12" s="299">
        <v>97575</v>
      </c>
      <c r="K12" s="299">
        <v>97575</v>
      </c>
      <c r="L12" s="299">
        <v>97575</v>
      </c>
      <c r="M12" s="299">
        <v>97575</v>
      </c>
      <c r="N12" s="299">
        <v>97575</v>
      </c>
      <c r="O12" s="300">
        <f t="shared" si="0"/>
        <v>1219688</v>
      </c>
      <c r="P12" s="370"/>
    </row>
    <row r="13" spans="1:16" ht="25.5">
      <c r="A13" s="297">
        <v>5</v>
      </c>
      <c r="B13" s="369" t="s">
        <v>910</v>
      </c>
      <c r="C13" s="299">
        <f t="shared" ref="C13:N13" si="1">SUM(C14:C15)</f>
        <v>7500</v>
      </c>
      <c r="D13" s="299">
        <f t="shared" si="1"/>
        <v>8000</v>
      </c>
      <c r="E13" s="299">
        <f t="shared" si="1"/>
        <v>10368</v>
      </c>
      <c r="F13" s="299">
        <f t="shared" si="1"/>
        <v>52743</v>
      </c>
      <c r="G13" s="299">
        <f t="shared" si="1"/>
        <v>13368</v>
      </c>
      <c r="H13" s="299">
        <f t="shared" si="1"/>
        <v>20000</v>
      </c>
      <c r="I13" s="299">
        <f t="shared" si="1"/>
        <v>34000</v>
      </c>
      <c r="J13" s="299">
        <f t="shared" si="1"/>
        <v>8368</v>
      </c>
      <c r="K13" s="299">
        <f t="shared" si="1"/>
        <v>20363</v>
      </c>
      <c r="L13" s="299">
        <f t="shared" si="1"/>
        <v>18743</v>
      </c>
      <c r="M13" s="299">
        <f t="shared" si="1"/>
        <v>35368</v>
      </c>
      <c r="N13" s="299">
        <f t="shared" si="1"/>
        <v>49563</v>
      </c>
      <c r="O13" s="300">
        <f t="shared" si="0"/>
        <v>278384</v>
      </c>
      <c r="P13" s="370"/>
    </row>
    <row r="14" spans="1:16">
      <c r="A14" s="297"/>
      <c r="B14" s="298" t="s">
        <v>762</v>
      </c>
      <c r="C14" s="299">
        <v>5000</v>
      </c>
      <c r="D14" s="299">
        <v>6000</v>
      </c>
      <c r="E14" s="299">
        <v>8368</v>
      </c>
      <c r="F14" s="299">
        <v>12743</v>
      </c>
      <c r="G14" s="299">
        <v>8368</v>
      </c>
      <c r="H14" s="299">
        <v>16000</v>
      </c>
      <c r="I14" s="299">
        <v>14000</v>
      </c>
      <c r="J14" s="299">
        <v>8368</v>
      </c>
      <c r="K14" s="299">
        <v>13863</v>
      </c>
      <c r="L14" s="299">
        <v>12743</v>
      </c>
      <c r="M14" s="299">
        <v>13368</v>
      </c>
      <c r="N14" s="299">
        <v>8587</v>
      </c>
      <c r="O14" s="300">
        <f t="shared" si="0"/>
        <v>127408</v>
      </c>
      <c r="P14" s="370"/>
    </row>
    <row r="15" spans="1:16">
      <c r="A15" s="297"/>
      <c r="B15" s="298" t="s">
        <v>763</v>
      </c>
      <c r="C15" s="299">
        <v>2500</v>
      </c>
      <c r="D15" s="299">
        <v>2000</v>
      </c>
      <c r="E15" s="299">
        <v>2000</v>
      </c>
      <c r="F15" s="299">
        <v>40000</v>
      </c>
      <c r="G15" s="299">
        <v>5000</v>
      </c>
      <c r="H15" s="299">
        <v>4000</v>
      </c>
      <c r="I15" s="299">
        <v>20000</v>
      </c>
      <c r="J15" s="299">
        <v>0</v>
      </c>
      <c r="K15" s="299">
        <v>6500</v>
      </c>
      <c r="L15" s="299">
        <v>6000</v>
      </c>
      <c r="M15" s="299">
        <v>22000</v>
      </c>
      <c r="N15" s="299">
        <v>40976</v>
      </c>
      <c r="O15" s="300">
        <f t="shared" si="0"/>
        <v>150976</v>
      </c>
      <c r="P15" s="370"/>
    </row>
    <row r="16" spans="1:16" ht="25.5">
      <c r="A16" s="297">
        <v>6</v>
      </c>
      <c r="B16" s="301" t="s">
        <v>764</v>
      </c>
      <c r="C16" s="299">
        <v>313503</v>
      </c>
      <c r="D16" s="299">
        <v>0</v>
      </c>
      <c r="E16" s="299">
        <v>10000</v>
      </c>
      <c r="F16" s="299">
        <v>10000</v>
      </c>
      <c r="G16" s="299">
        <v>10000</v>
      </c>
      <c r="H16" s="299">
        <v>10000</v>
      </c>
      <c r="I16" s="299">
        <v>10000</v>
      </c>
      <c r="J16" s="299">
        <v>8043</v>
      </c>
      <c r="K16" s="299">
        <v>0</v>
      </c>
      <c r="L16" s="299">
        <v>140653</v>
      </c>
      <c r="M16" s="299">
        <v>0</v>
      </c>
      <c r="N16" s="299">
        <v>0</v>
      </c>
      <c r="O16" s="300">
        <f t="shared" si="0"/>
        <v>512199</v>
      </c>
      <c r="P16" s="370"/>
    </row>
    <row r="17" spans="1:17">
      <c r="A17" s="297">
        <v>7</v>
      </c>
      <c r="B17" s="297" t="s">
        <v>765</v>
      </c>
      <c r="C17" s="299">
        <f t="shared" ref="C17:O17" si="2">C8+C9+C11+C12+C13+C16</f>
        <v>484645</v>
      </c>
      <c r="D17" s="299">
        <f t="shared" si="2"/>
        <v>141204</v>
      </c>
      <c r="E17" s="299">
        <f t="shared" si="2"/>
        <v>362749</v>
      </c>
      <c r="F17" s="299">
        <f t="shared" si="2"/>
        <v>191042</v>
      </c>
      <c r="G17" s="299">
        <f t="shared" si="2"/>
        <v>155988</v>
      </c>
      <c r="H17" s="299">
        <f t="shared" si="2"/>
        <v>173728</v>
      </c>
      <c r="I17" s="299">
        <f t="shared" si="2"/>
        <v>172288</v>
      </c>
      <c r="J17" s="299">
        <f t="shared" si="2"/>
        <v>162914</v>
      </c>
      <c r="K17" s="299">
        <f t="shared" si="2"/>
        <v>413836</v>
      </c>
      <c r="L17" s="299">
        <f t="shared" si="2"/>
        <v>301171</v>
      </c>
      <c r="M17" s="299">
        <f t="shared" si="2"/>
        <v>182438</v>
      </c>
      <c r="N17" s="299">
        <f t="shared" si="2"/>
        <v>283772</v>
      </c>
      <c r="O17" s="300">
        <f t="shared" si="2"/>
        <v>3025775</v>
      </c>
      <c r="P17" s="370"/>
    </row>
    <row r="18" spans="1:17" s="304" customFormat="1">
      <c r="A18" s="302">
        <v>8</v>
      </c>
      <c r="B18" s="302" t="s">
        <v>766</v>
      </c>
      <c r="C18" s="303">
        <f t="shared" ref="C18:N18" si="3">C19+C20+C21</f>
        <v>0</v>
      </c>
      <c r="D18" s="303">
        <f t="shared" si="3"/>
        <v>0</v>
      </c>
      <c r="E18" s="303">
        <f t="shared" si="3"/>
        <v>0</v>
      </c>
      <c r="F18" s="303">
        <f t="shared" si="3"/>
        <v>0</v>
      </c>
      <c r="G18" s="303">
        <f t="shared" si="3"/>
        <v>0</v>
      </c>
      <c r="H18" s="303">
        <f t="shared" si="3"/>
        <v>0</v>
      </c>
      <c r="I18" s="303">
        <f t="shared" si="3"/>
        <v>0</v>
      </c>
      <c r="J18" s="303">
        <f t="shared" si="3"/>
        <v>0</v>
      </c>
      <c r="K18" s="303">
        <f t="shared" si="3"/>
        <v>0</v>
      </c>
      <c r="L18" s="303">
        <f t="shared" si="3"/>
        <v>0</v>
      </c>
      <c r="M18" s="303">
        <f t="shared" si="3"/>
        <v>0</v>
      </c>
      <c r="N18" s="303">
        <f t="shared" si="3"/>
        <v>0</v>
      </c>
      <c r="O18" s="300">
        <f>SUM(O19:O21)</f>
        <v>0</v>
      </c>
      <c r="P18" s="288"/>
      <c r="Q18" s="288"/>
    </row>
    <row r="19" spans="1:17" s="304" customFormat="1">
      <c r="A19" s="302"/>
      <c r="B19" s="302" t="s">
        <v>767</v>
      </c>
      <c r="C19" s="303">
        <v>0</v>
      </c>
      <c r="D19" s="303">
        <v>0</v>
      </c>
      <c r="E19" s="303">
        <v>0</v>
      </c>
      <c r="F19" s="303">
        <v>0</v>
      </c>
      <c r="G19" s="303">
        <v>0</v>
      </c>
      <c r="H19" s="303">
        <v>0</v>
      </c>
      <c r="I19" s="303">
        <v>0</v>
      </c>
      <c r="J19" s="303">
        <v>0</v>
      </c>
      <c r="K19" s="303">
        <v>0</v>
      </c>
      <c r="L19" s="303">
        <v>0</v>
      </c>
      <c r="M19" s="303">
        <v>0</v>
      </c>
      <c r="N19" s="303">
        <v>0</v>
      </c>
      <c r="O19" s="303">
        <f>SUM(C19:N19)</f>
        <v>0</v>
      </c>
      <c r="P19" s="288"/>
      <c r="Q19" s="288"/>
    </row>
    <row r="20" spans="1:17" s="304" customFormat="1">
      <c r="A20" s="302"/>
      <c r="B20" s="302" t="s">
        <v>768</v>
      </c>
      <c r="C20" s="303">
        <v>0</v>
      </c>
      <c r="D20" s="303">
        <v>0</v>
      </c>
      <c r="E20" s="303">
        <v>0</v>
      </c>
      <c r="F20" s="303">
        <v>0</v>
      </c>
      <c r="G20" s="303">
        <v>0</v>
      </c>
      <c r="H20" s="303">
        <v>0</v>
      </c>
      <c r="I20" s="303">
        <v>0</v>
      </c>
      <c r="J20" s="303">
        <v>0</v>
      </c>
      <c r="K20" s="303">
        <v>0</v>
      </c>
      <c r="L20" s="303">
        <v>0</v>
      </c>
      <c r="M20" s="303">
        <v>0</v>
      </c>
      <c r="N20" s="303">
        <v>0</v>
      </c>
      <c r="O20" s="303">
        <f>SUM(C20:N20)</f>
        <v>0</v>
      </c>
      <c r="P20" s="288"/>
      <c r="Q20" s="288"/>
    </row>
    <row r="21" spans="1:17" s="304" customFormat="1">
      <c r="A21" s="302"/>
      <c r="B21" s="302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288"/>
      <c r="Q21" s="288"/>
    </row>
    <row r="22" spans="1:17">
      <c r="A22" s="305">
        <v>9</v>
      </c>
      <c r="B22" s="305" t="s">
        <v>769</v>
      </c>
      <c r="C22" s="306">
        <f t="shared" ref="C22:O22" si="4">C17+C18</f>
        <v>484645</v>
      </c>
      <c r="D22" s="306">
        <f t="shared" si="4"/>
        <v>141204</v>
      </c>
      <c r="E22" s="306">
        <f t="shared" si="4"/>
        <v>362749</v>
      </c>
      <c r="F22" s="306">
        <f t="shared" si="4"/>
        <v>191042</v>
      </c>
      <c r="G22" s="306">
        <f t="shared" si="4"/>
        <v>155988</v>
      </c>
      <c r="H22" s="306">
        <f t="shared" si="4"/>
        <v>173728</v>
      </c>
      <c r="I22" s="306">
        <f t="shared" si="4"/>
        <v>172288</v>
      </c>
      <c r="J22" s="306">
        <f t="shared" si="4"/>
        <v>162914</v>
      </c>
      <c r="K22" s="306">
        <f t="shared" si="4"/>
        <v>413836</v>
      </c>
      <c r="L22" s="306">
        <f t="shared" si="4"/>
        <v>301171</v>
      </c>
      <c r="M22" s="306">
        <f t="shared" si="4"/>
        <v>182438</v>
      </c>
      <c r="N22" s="306">
        <f t="shared" si="4"/>
        <v>283772</v>
      </c>
      <c r="O22" s="306">
        <f t="shared" si="4"/>
        <v>3025775</v>
      </c>
      <c r="P22" s="291"/>
    </row>
    <row r="23" spans="1:17">
      <c r="A23" s="307"/>
      <c r="B23" s="307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  <c r="O23" s="308"/>
    </row>
    <row r="24" spans="1:17">
      <c r="A24" s="305" t="s">
        <v>583</v>
      </c>
      <c r="B24" s="297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10"/>
      <c r="P24" s="311"/>
    </row>
    <row r="25" spans="1:17" ht="15.75">
      <c r="A25" s="297">
        <v>10</v>
      </c>
      <c r="B25" s="298" t="s">
        <v>770</v>
      </c>
      <c r="C25" s="299">
        <v>51746</v>
      </c>
      <c r="D25" s="299">
        <v>50322</v>
      </c>
      <c r="E25" s="299">
        <v>51476</v>
      </c>
      <c r="F25" s="299">
        <v>51476</v>
      </c>
      <c r="G25" s="299">
        <v>48024</v>
      </c>
      <c r="H25" s="299">
        <v>49454</v>
      </c>
      <c r="I25" s="299">
        <v>49212</v>
      </c>
      <c r="J25" s="299">
        <v>50203</v>
      </c>
      <c r="K25" s="299">
        <v>49478</v>
      </c>
      <c r="L25" s="299">
        <v>50690</v>
      </c>
      <c r="M25" s="299">
        <v>51851</v>
      </c>
      <c r="N25" s="299">
        <v>49214</v>
      </c>
      <c r="O25" s="300">
        <f>SUM(C25:N25)</f>
        <v>603146</v>
      </c>
      <c r="P25" s="312"/>
    </row>
    <row r="26" spans="1:17">
      <c r="A26" s="297">
        <v>11</v>
      </c>
      <c r="B26" s="298" t="s">
        <v>771</v>
      </c>
      <c r="C26" s="299">
        <v>13663</v>
      </c>
      <c r="D26" s="299">
        <v>13294</v>
      </c>
      <c r="E26" s="299">
        <v>14054</v>
      </c>
      <c r="F26" s="299">
        <v>14054</v>
      </c>
      <c r="G26" s="299">
        <v>13148</v>
      </c>
      <c r="H26" s="299">
        <v>13315</v>
      </c>
      <c r="I26" s="299">
        <v>13315</v>
      </c>
      <c r="J26" s="299">
        <v>13684</v>
      </c>
      <c r="K26" s="299">
        <v>13422</v>
      </c>
      <c r="L26" s="299">
        <v>13684</v>
      </c>
      <c r="M26" s="299">
        <v>14054</v>
      </c>
      <c r="N26" s="299">
        <v>12422</v>
      </c>
      <c r="O26" s="300">
        <f>SUM(C26:N26)</f>
        <v>162109</v>
      </c>
      <c r="P26" s="291"/>
    </row>
    <row r="27" spans="1:17">
      <c r="A27" s="297">
        <v>12</v>
      </c>
      <c r="B27" s="298" t="s">
        <v>421</v>
      </c>
      <c r="C27" s="299">
        <v>78000</v>
      </c>
      <c r="D27" s="299">
        <v>79000</v>
      </c>
      <c r="E27" s="299">
        <v>77000</v>
      </c>
      <c r="F27" s="299">
        <v>80500</v>
      </c>
      <c r="G27" s="299">
        <v>80000</v>
      </c>
      <c r="H27" s="299">
        <v>77800</v>
      </c>
      <c r="I27" s="299">
        <v>77500</v>
      </c>
      <c r="J27" s="299">
        <v>79500</v>
      </c>
      <c r="K27" s="299">
        <v>78750</v>
      </c>
      <c r="L27" s="299">
        <v>79500</v>
      </c>
      <c r="M27" s="299">
        <v>79000</v>
      </c>
      <c r="N27" s="299">
        <v>78962</v>
      </c>
      <c r="O27" s="300">
        <f>SUM(C27:N27)</f>
        <v>945512</v>
      </c>
      <c r="P27" s="291"/>
    </row>
    <row r="28" spans="1:17">
      <c r="A28" s="297">
        <v>13</v>
      </c>
      <c r="B28" s="298" t="s">
        <v>612</v>
      </c>
      <c r="C28" s="299">
        <v>15000</v>
      </c>
      <c r="D28" s="299">
        <v>15500</v>
      </c>
      <c r="E28" s="299">
        <v>18000</v>
      </c>
      <c r="F28" s="299">
        <v>18700</v>
      </c>
      <c r="G28" s="299">
        <v>18500</v>
      </c>
      <c r="H28" s="299">
        <v>11800</v>
      </c>
      <c r="I28" s="299">
        <v>10800</v>
      </c>
      <c r="J28" s="299">
        <v>15700</v>
      </c>
      <c r="K28" s="299">
        <v>12500</v>
      </c>
      <c r="L28" s="299">
        <v>17500</v>
      </c>
      <c r="M28" s="299">
        <v>14757</v>
      </c>
      <c r="N28" s="299">
        <v>12750</v>
      </c>
      <c r="O28" s="300">
        <f>SUM(C28:N28)</f>
        <v>181507</v>
      </c>
      <c r="P28" s="291"/>
    </row>
    <row r="29" spans="1:17">
      <c r="A29" s="297">
        <v>14</v>
      </c>
      <c r="B29" s="298" t="s">
        <v>772</v>
      </c>
      <c r="C29" s="299">
        <v>35588</v>
      </c>
      <c r="D29" s="299">
        <v>34992</v>
      </c>
      <c r="E29" s="299">
        <v>35588</v>
      </c>
      <c r="F29" s="299">
        <v>33504</v>
      </c>
      <c r="G29" s="299">
        <v>35550</v>
      </c>
      <c r="H29" s="299">
        <v>33950</v>
      </c>
      <c r="I29" s="299">
        <v>35000</v>
      </c>
      <c r="J29" s="299">
        <v>35800</v>
      </c>
      <c r="K29" s="299">
        <v>33300</v>
      </c>
      <c r="L29" s="299">
        <v>34000</v>
      </c>
      <c r="M29" s="299">
        <v>32847</v>
      </c>
      <c r="N29" s="299">
        <v>33890</v>
      </c>
      <c r="O29" s="300">
        <f>SUM(C29:N29)</f>
        <v>414009</v>
      </c>
      <c r="P29" s="291"/>
    </row>
    <row r="30" spans="1:17">
      <c r="A30" s="297">
        <v>15</v>
      </c>
      <c r="B30" s="298" t="s">
        <v>773</v>
      </c>
      <c r="C30" s="299">
        <f t="shared" ref="C30:O30" si="5">C25+C26+C27+C28+C29</f>
        <v>193997</v>
      </c>
      <c r="D30" s="299">
        <f t="shared" si="5"/>
        <v>193108</v>
      </c>
      <c r="E30" s="299">
        <f t="shared" si="5"/>
        <v>196118</v>
      </c>
      <c r="F30" s="299">
        <f t="shared" si="5"/>
        <v>198234</v>
      </c>
      <c r="G30" s="299">
        <f t="shared" si="5"/>
        <v>195222</v>
      </c>
      <c r="H30" s="299">
        <f t="shared" si="5"/>
        <v>186319</v>
      </c>
      <c r="I30" s="299">
        <f t="shared" si="5"/>
        <v>185827</v>
      </c>
      <c r="J30" s="299">
        <f t="shared" si="5"/>
        <v>194887</v>
      </c>
      <c r="K30" s="299">
        <f t="shared" si="5"/>
        <v>187450</v>
      </c>
      <c r="L30" s="299">
        <f t="shared" si="5"/>
        <v>195374</v>
      </c>
      <c r="M30" s="299">
        <f t="shared" si="5"/>
        <v>192509</v>
      </c>
      <c r="N30" s="299">
        <f t="shared" si="5"/>
        <v>187238</v>
      </c>
      <c r="O30" s="300">
        <f t="shared" si="5"/>
        <v>2306283</v>
      </c>
      <c r="P30" s="291"/>
    </row>
    <row r="31" spans="1:17">
      <c r="A31" s="297">
        <v>16</v>
      </c>
      <c r="B31" s="298" t="s">
        <v>774</v>
      </c>
      <c r="C31" s="299">
        <v>6500</v>
      </c>
      <c r="D31" s="299">
        <v>5900</v>
      </c>
      <c r="E31" s="299">
        <v>8250</v>
      </c>
      <c r="F31" s="299">
        <v>25000</v>
      </c>
      <c r="G31" s="299">
        <v>15500</v>
      </c>
      <c r="H31" s="299">
        <v>15000</v>
      </c>
      <c r="I31" s="299">
        <v>22160</v>
      </c>
      <c r="J31" s="299">
        <v>26000</v>
      </c>
      <c r="K31" s="299">
        <v>35000</v>
      </c>
      <c r="L31" s="299">
        <v>14759</v>
      </c>
      <c r="M31" s="299">
        <v>28000</v>
      </c>
      <c r="N31" s="299">
        <v>26000</v>
      </c>
      <c r="O31" s="300">
        <f>SUM(C31:N31)</f>
        <v>228069</v>
      </c>
      <c r="P31" s="291"/>
    </row>
    <row r="32" spans="1:17">
      <c r="A32" s="297">
        <v>17</v>
      </c>
      <c r="B32" s="298" t="s">
        <v>775</v>
      </c>
      <c r="C32" s="299">
        <v>1500</v>
      </c>
      <c r="D32" s="299">
        <v>7500</v>
      </c>
      <c r="E32" s="299">
        <v>13000</v>
      </c>
      <c r="F32" s="299">
        <v>40000</v>
      </c>
      <c r="G32" s="299">
        <v>18500</v>
      </c>
      <c r="H32" s="299">
        <v>15000</v>
      </c>
      <c r="I32" s="299">
        <v>20000</v>
      </c>
      <c r="J32" s="299">
        <v>35000</v>
      </c>
      <c r="K32" s="299">
        <v>25000</v>
      </c>
      <c r="L32" s="299">
        <v>31082</v>
      </c>
      <c r="M32" s="299">
        <v>25000</v>
      </c>
      <c r="N32" s="299">
        <v>27870</v>
      </c>
      <c r="O32" s="300">
        <f>SUM(C32:N32)</f>
        <v>259452</v>
      </c>
      <c r="P32" s="291"/>
    </row>
    <row r="33" spans="1:17">
      <c r="A33" s="297">
        <v>18</v>
      </c>
      <c r="B33" s="298" t="s">
        <v>776</v>
      </c>
      <c r="C33" s="299">
        <v>500</v>
      </c>
      <c r="D33" s="299">
        <v>500</v>
      </c>
      <c r="E33" s="299">
        <v>1000</v>
      </c>
      <c r="F33" s="299">
        <v>1200</v>
      </c>
      <c r="G33" s="299">
        <v>1000</v>
      </c>
      <c r="H33" s="299">
        <v>1000</v>
      </c>
      <c r="I33" s="299">
        <v>250</v>
      </c>
      <c r="J33" s="299">
        <v>250</v>
      </c>
      <c r="K33" s="299">
        <v>755</v>
      </c>
      <c r="L33" s="299">
        <v>500</v>
      </c>
      <c r="M33" s="299">
        <v>500</v>
      </c>
      <c r="N33" s="299">
        <v>500</v>
      </c>
      <c r="O33" s="300">
        <f>SUM(C33:N33)</f>
        <v>7955</v>
      </c>
      <c r="P33" s="291"/>
    </row>
    <row r="34" spans="1:17">
      <c r="A34" s="297">
        <v>19</v>
      </c>
      <c r="B34" s="298" t="s">
        <v>777</v>
      </c>
      <c r="C34" s="299">
        <f t="shared" ref="C34:O34" si="6">C31+C32+C33</f>
        <v>8500</v>
      </c>
      <c r="D34" s="299">
        <f t="shared" si="6"/>
        <v>13900</v>
      </c>
      <c r="E34" s="299">
        <f t="shared" si="6"/>
        <v>22250</v>
      </c>
      <c r="F34" s="299">
        <f t="shared" si="6"/>
        <v>66200</v>
      </c>
      <c r="G34" s="299">
        <f t="shared" si="6"/>
        <v>35000</v>
      </c>
      <c r="H34" s="299">
        <f t="shared" si="6"/>
        <v>31000</v>
      </c>
      <c r="I34" s="299">
        <f t="shared" si="6"/>
        <v>42410</v>
      </c>
      <c r="J34" s="299">
        <f t="shared" si="6"/>
        <v>61250</v>
      </c>
      <c r="K34" s="299">
        <f t="shared" si="6"/>
        <v>60755</v>
      </c>
      <c r="L34" s="299">
        <f t="shared" si="6"/>
        <v>46341</v>
      </c>
      <c r="M34" s="299">
        <f t="shared" si="6"/>
        <v>53500</v>
      </c>
      <c r="N34" s="299">
        <f t="shared" si="6"/>
        <v>54370</v>
      </c>
      <c r="O34" s="300">
        <f t="shared" si="6"/>
        <v>495476</v>
      </c>
      <c r="P34" s="291"/>
    </row>
    <row r="35" spans="1:17">
      <c r="A35" s="297">
        <v>20</v>
      </c>
      <c r="B35" s="298" t="s">
        <v>166</v>
      </c>
      <c r="C35" s="300"/>
      <c r="D35" s="300"/>
      <c r="E35" s="300"/>
      <c r="F35" s="300"/>
      <c r="G35" s="300">
        <v>15000</v>
      </c>
      <c r="H35" s="300">
        <v>25000</v>
      </c>
      <c r="I35" s="300">
        <v>26000</v>
      </c>
      <c r="J35" s="300">
        <v>35000</v>
      </c>
      <c r="K35" s="300">
        <v>25000</v>
      </c>
      <c r="L35" s="300">
        <v>22000</v>
      </c>
      <c r="M35" s="300">
        <v>22400</v>
      </c>
      <c r="N35" s="300">
        <v>53616</v>
      </c>
      <c r="O35" s="300">
        <f>SUM(C35:N35)</f>
        <v>224016</v>
      </c>
      <c r="P35" s="291"/>
    </row>
    <row r="36" spans="1:17">
      <c r="A36" s="297">
        <v>21</v>
      </c>
      <c r="B36" s="298" t="s">
        <v>778</v>
      </c>
      <c r="C36" s="299">
        <f t="shared" ref="C36:O36" si="7">C30+C34+C35</f>
        <v>202497</v>
      </c>
      <c r="D36" s="299">
        <f t="shared" si="7"/>
        <v>207008</v>
      </c>
      <c r="E36" s="299">
        <f t="shared" si="7"/>
        <v>218368</v>
      </c>
      <c r="F36" s="299">
        <f t="shared" si="7"/>
        <v>264434</v>
      </c>
      <c r="G36" s="299">
        <f t="shared" si="7"/>
        <v>245222</v>
      </c>
      <c r="H36" s="299">
        <f t="shared" si="7"/>
        <v>242319</v>
      </c>
      <c r="I36" s="299">
        <f t="shared" si="7"/>
        <v>254237</v>
      </c>
      <c r="J36" s="299">
        <f t="shared" si="7"/>
        <v>291137</v>
      </c>
      <c r="K36" s="299">
        <f t="shared" si="7"/>
        <v>273205</v>
      </c>
      <c r="L36" s="299">
        <f t="shared" si="7"/>
        <v>263715</v>
      </c>
      <c r="M36" s="299">
        <f t="shared" si="7"/>
        <v>268409</v>
      </c>
      <c r="N36" s="299">
        <f t="shared" si="7"/>
        <v>295224</v>
      </c>
      <c r="O36" s="299">
        <f t="shared" si="7"/>
        <v>3025775</v>
      </c>
    </row>
    <row r="37" spans="1:17" s="304" customFormat="1">
      <c r="A37" s="302">
        <v>22</v>
      </c>
      <c r="B37" s="302" t="s">
        <v>779</v>
      </c>
      <c r="C37" s="303">
        <f t="shared" ref="C37:O37" si="8">C38+C39</f>
        <v>0</v>
      </c>
      <c r="D37" s="303">
        <f t="shared" si="8"/>
        <v>0</v>
      </c>
      <c r="E37" s="303">
        <f t="shared" si="8"/>
        <v>0</v>
      </c>
      <c r="F37" s="303">
        <f t="shared" si="8"/>
        <v>0</v>
      </c>
      <c r="G37" s="303">
        <f t="shared" si="8"/>
        <v>0</v>
      </c>
      <c r="H37" s="303">
        <f t="shared" si="8"/>
        <v>0</v>
      </c>
      <c r="I37" s="303">
        <f t="shared" si="8"/>
        <v>0</v>
      </c>
      <c r="J37" s="303">
        <f t="shared" si="8"/>
        <v>0</v>
      </c>
      <c r="K37" s="303">
        <f t="shared" si="8"/>
        <v>0</v>
      </c>
      <c r="L37" s="303">
        <f t="shared" si="8"/>
        <v>0</v>
      </c>
      <c r="M37" s="303">
        <f t="shared" si="8"/>
        <v>0</v>
      </c>
      <c r="N37" s="303">
        <f t="shared" si="8"/>
        <v>0</v>
      </c>
      <c r="O37" s="300">
        <f t="shared" si="8"/>
        <v>0</v>
      </c>
      <c r="P37" s="288"/>
      <c r="Q37" s="288"/>
    </row>
    <row r="38" spans="1:17" s="304" customFormat="1">
      <c r="A38" s="302"/>
      <c r="B38" s="302" t="s">
        <v>780</v>
      </c>
      <c r="C38" s="303">
        <v>0</v>
      </c>
      <c r="D38" s="303">
        <v>0</v>
      </c>
      <c r="E38" s="303">
        <v>0</v>
      </c>
      <c r="F38" s="303">
        <v>0</v>
      </c>
      <c r="G38" s="303">
        <v>0</v>
      </c>
      <c r="H38" s="303">
        <v>0</v>
      </c>
      <c r="I38" s="303">
        <v>0</v>
      </c>
      <c r="J38" s="303">
        <v>0</v>
      </c>
      <c r="K38" s="303">
        <v>0</v>
      </c>
      <c r="L38" s="303">
        <v>0</v>
      </c>
      <c r="M38" s="303">
        <v>0</v>
      </c>
      <c r="N38" s="303">
        <v>0</v>
      </c>
      <c r="O38" s="300">
        <f>SUM(C38:N38)</f>
        <v>0</v>
      </c>
      <c r="P38" s="288"/>
      <c r="Q38" s="288"/>
    </row>
    <row r="39" spans="1:17" s="304" customFormat="1">
      <c r="A39" s="302"/>
      <c r="B39" s="302" t="s">
        <v>781</v>
      </c>
      <c r="C39" s="303">
        <v>0</v>
      </c>
      <c r="D39" s="303">
        <v>0</v>
      </c>
      <c r="E39" s="303">
        <v>0</v>
      </c>
      <c r="F39" s="303">
        <v>0</v>
      </c>
      <c r="G39" s="303">
        <v>0</v>
      </c>
      <c r="H39" s="303">
        <v>0</v>
      </c>
      <c r="I39" s="303">
        <v>0</v>
      </c>
      <c r="J39" s="303">
        <v>0</v>
      </c>
      <c r="K39" s="303">
        <v>0</v>
      </c>
      <c r="L39" s="303">
        <v>0</v>
      </c>
      <c r="M39" s="303">
        <v>0</v>
      </c>
      <c r="N39" s="303">
        <v>0</v>
      </c>
      <c r="O39" s="300">
        <f>SUM(C39:N39)</f>
        <v>0</v>
      </c>
      <c r="P39" s="288"/>
      <c r="Q39" s="288"/>
    </row>
    <row r="40" spans="1:17">
      <c r="A40" s="305">
        <v>23</v>
      </c>
      <c r="B40" s="305" t="s">
        <v>782</v>
      </c>
      <c r="C40" s="306">
        <f t="shared" ref="C40:O40" si="9">C36+C37</f>
        <v>202497</v>
      </c>
      <c r="D40" s="306">
        <f t="shared" si="9"/>
        <v>207008</v>
      </c>
      <c r="E40" s="306">
        <f t="shared" si="9"/>
        <v>218368</v>
      </c>
      <c r="F40" s="306">
        <f t="shared" si="9"/>
        <v>264434</v>
      </c>
      <c r="G40" s="306">
        <f t="shared" si="9"/>
        <v>245222</v>
      </c>
      <c r="H40" s="306">
        <f t="shared" si="9"/>
        <v>242319</v>
      </c>
      <c r="I40" s="306">
        <f t="shared" si="9"/>
        <v>254237</v>
      </c>
      <c r="J40" s="306">
        <f t="shared" si="9"/>
        <v>291137</v>
      </c>
      <c r="K40" s="306">
        <f t="shared" si="9"/>
        <v>273205</v>
      </c>
      <c r="L40" s="306">
        <f t="shared" si="9"/>
        <v>263715</v>
      </c>
      <c r="M40" s="306">
        <f t="shared" si="9"/>
        <v>268409</v>
      </c>
      <c r="N40" s="306">
        <f t="shared" si="9"/>
        <v>295224</v>
      </c>
      <c r="O40" s="306">
        <f t="shared" si="9"/>
        <v>3025775</v>
      </c>
      <c r="P40" s="291"/>
    </row>
    <row r="41" spans="1:17">
      <c r="A41" s="297">
        <v>24</v>
      </c>
      <c r="B41" s="302" t="s">
        <v>783</v>
      </c>
      <c r="C41" s="299">
        <f t="shared" ref="C41:N41" si="10">C17-C36</f>
        <v>282148</v>
      </c>
      <c r="D41" s="299">
        <f t="shared" si="10"/>
        <v>-65804</v>
      </c>
      <c r="E41" s="299">
        <f t="shared" si="10"/>
        <v>144381</v>
      </c>
      <c r="F41" s="299">
        <f t="shared" si="10"/>
        <v>-73392</v>
      </c>
      <c r="G41" s="299">
        <f t="shared" si="10"/>
        <v>-89234</v>
      </c>
      <c r="H41" s="299">
        <f t="shared" si="10"/>
        <v>-68591</v>
      </c>
      <c r="I41" s="299">
        <f t="shared" si="10"/>
        <v>-81949</v>
      </c>
      <c r="J41" s="299">
        <f t="shared" si="10"/>
        <v>-128223</v>
      </c>
      <c r="K41" s="299">
        <f t="shared" si="10"/>
        <v>140631</v>
      </c>
      <c r="L41" s="299">
        <f t="shared" si="10"/>
        <v>37456</v>
      </c>
      <c r="M41" s="299">
        <f t="shared" si="10"/>
        <v>-85971</v>
      </c>
      <c r="N41" s="299">
        <f t="shared" si="10"/>
        <v>-11452</v>
      </c>
      <c r="O41" s="300">
        <f>SUM(C41:N41)</f>
        <v>0</v>
      </c>
      <c r="P41" s="291"/>
    </row>
    <row r="42" spans="1:17">
      <c r="A42" s="297">
        <v>25</v>
      </c>
      <c r="B42" s="302" t="s">
        <v>784</v>
      </c>
      <c r="C42" s="299">
        <f t="shared" ref="C42:N42" si="11">C22-C40</f>
        <v>282148</v>
      </c>
      <c r="D42" s="299">
        <f t="shared" si="11"/>
        <v>-65804</v>
      </c>
      <c r="E42" s="299">
        <f t="shared" si="11"/>
        <v>144381</v>
      </c>
      <c r="F42" s="299">
        <f t="shared" si="11"/>
        <v>-73392</v>
      </c>
      <c r="G42" s="299">
        <f t="shared" si="11"/>
        <v>-89234</v>
      </c>
      <c r="H42" s="299">
        <f t="shared" si="11"/>
        <v>-68591</v>
      </c>
      <c r="I42" s="299">
        <f t="shared" si="11"/>
        <v>-81949</v>
      </c>
      <c r="J42" s="299">
        <f t="shared" si="11"/>
        <v>-128223</v>
      </c>
      <c r="K42" s="299">
        <f t="shared" si="11"/>
        <v>140631</v>
      </c>
      <c r="L42" s="299">
        <f t="shared" si="11"/>
        <v>37456</v>
      </c>
      <c r="M42" s="299">
        <f t="shared" si="11"/>
        <v>-85971</v>
      </c>
      <c r="N42" s="299">
        <f t="shared" si="11"/>
        <v>-11452</v>
      </c>
      <c r="O42" s="300">
        <f>SUM(C42:N42)</f>
        <v>0</v>
      </c>
    </row>
    <row r="43" spans="1:17">
      <c r="A43" s="292">
        <v>26</v>
      </c>
      <c r="B43" s="292" t="s">
        <v>785</v>
      </c>
      <c r="C43" s="296">
        <f>C22-C40</f>
        <v>282148</v>
      </c>
      <c r="D43" s="296">
        <f t="shared" ref="D43:O43" si="12">C43+D22-D40</f>
        <v>216344</v>
      </c>
      <c r="E43" s="296">
        <f t="shared" si="12"/>
        <v>360725</v>
      </c>
      <c r="F43" s="296">
        <f t="shared" si="12"/>
        <v>287333</v>
      </c>
      <c r="G43" s="296">
        <f t="shared" si="12"/>
        <v>198099</v>
      </c>
      <c r="H43" s="296">
        <f t="shared" si="12"/>
        <v>129508</v>
      </c>
      <c r="I43" s="296">
        <f t="shared" si="12"/>
        <v>47559</v>
      </c>
      <c r="J43" s="296">
        <f t="shared" si="12"/>
        <v>-80664</v>
      </c>
      <c r="K43" s="296">
        <f t="shared" si="12"/>
        <v>59967</v>
      </c>
      <c r="L43" s="296">
        <f t="shared" si="12"/>
        <v>97423</v>
      </c>
      <c r="M43" s="296">
        <f t="shared" si="12"/>
        <v>11452</v>
      </c>
      <c r="N43" s="296">
        <f t="shared" si="12"/>
        <v>0</v>
      </c>
      <c r="O43" s="296">
        <f t="shared" si="12"/>
        <v>0</v>
      </c>
    </row>
    <row r="45" spans="1:17"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</row>
  </sheetData>
  <mergeCells count="2">
    <mergeCell ref="A2:O2"/>
    <mergeCell ref="A1:O1"/>
  </mergeCells>
  <phoneticPr fontId="51" type="noConversion"/>
  <pageMargins left="0.19685039370078741" right="0.1968503937007874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U20"/>
  <sheetViews>
    <sheetView zoomScaleNormal="100" workbookViewId="0">
      <selection activeCell="D1" sqref="D1:T1"/>
    </sheetView>
  </sheetViews>
  <sheetFormatPr defaultColWidth="8" defaultRowHeight="12.75"/>
  <cols>
    <col min="1" max="3" width="8" style="287" customWidth="1"/>
    <col min="4" max="4" width="8.42578125" style="287" customWidth="1"/>
    <col min="5" max="5" width="7.85546875" style="287" customWidth="1"/>
    <col min="6" max="6" width="7.5703125" style="287" customWidth="1"/>
    <col min="7" max="7" width="8" style="287" bestFit="1" customWidth="1"/>
    <col min="8" max="9" width="8" style="287" customWidth="1"/>
    <col min="10" max="10" width="11.140625" style="287" bestFit="1" customWidth="1"/>
    <col min="11" max="11" width="9" style="287" customWidth="1"/>
    <col min="12" max="12" width="8" style="287" bestFit="1" customWidth="1"/>
    <col min="13" max="13" width="7" style="287" bestFit="1" customWidth="1"/>
    <col min="14" max="14" width="6.85546875" style="287" customWidth="1"/>
    <col min="15" max="15" width="8.140625" style="287" customWidth="1"/>
    <col min="16" max="16" width="8.5703125" style="287" hidden="1" customWidth="1"/>
    <col min="17" max="17" width="8.28515625" style="287" hidden="1" customWidth="1"/>
    <col min="18" max="18" width="8.5703125" style="287" customWidth="1"/>
    <col min="19" max="19" width="9.42578125" style="287" bestFit="1" customWidth="1"/>
    <col min="20" max="20" width="8.85546875" style="287" customWidth="1"/>
    <col min="21" max="21" width="8.140625" style="287" bestFit="1" customWidth="1"/>
    <col min="22" max="16384" width="8" style="287"/>
  </cols>
  <sheetData>
    <row r="1" spans="1:21">
      <c r="D1" s="925" t="s">
        <v>125</v>
      </c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746"/>
      <c r="Q1" s="746"/>
      <c r="R1" s="746"/>
      <c r="S1" s="746"/>
      <c r="T1" s="746"/>
    </row>
    <row r="2" spans="1:21" ht="18.75" customHeight="1">
      <c r="A2" s="930" t="s">
        <v>351</v>
      </c>
      <c r="B2" s="930"/>
      <c r="C2" s="930"/>
      <c r="D2" s="930"/>
      <c r="E2" s="930"/>
      <c r="F2" s="930"/>
      <c r="G2" s="930"/>
      <c r="H2" s="930"/>
      <c r="I2" s="930"/>
      <c r="J2" s="930"/>
      <c r="K2" s="930"/>
      <c r="L2" s="930"/>
      <c r="M2" s="930"/>
      <c r="N2" s="930"/>
      <c r="O2" s="930"/>
      <c r="P2" s="930"/>
      <c r="Q2" s="930"/>
      <c r="R2" s="930"/>
      <c r="S2" s="930"/>
      <c r="T2" s="930"/>
    </row>
    <row r="3" spans="1:21" ht="18.75" customHeight="1">
      <c r="A3" s="930"/>
      <c r="B3" s="930"/>
      <c r="C3" s="930"/>
      <c r="D3" s="930"/>
      <c r="E3" s="930"/>
      <c r="F3" s="930"/>
      <c r="G3" s="930"/>
      <c r="H3" s="930"/>
      <c r="I3" s="930"/>
      <c r="J3" s="930"/>
      <c r="K3" s="930"/>
      <c r="L3" s="930"/>
      <c r="M3" s="930"/>
      <c r="N3" s="930"/>
      <c r="O3" s="930"/>
      <c r="P3" s="930"/>
      <c r="Q3" s="930"/>
      <c r="R3" s="930"/>
      <c r="S3" s="930"/>
      <c r="T3" s="930"/>
    </row>
    <row r="4" spans="1:21" ht="27.75" customHeight="1" thickBot="1">
      <c r="P4" s="467"/>
      <c r="Q4" s="467"/>
      <c r="R4" s="467"/>
      <c r="T4" s="468" t="s">
        <v>484</v>
      </c>
    </row>
    <row r="5" spans="1:21" ht="64.5" thickTop="1">
      <c r="A5" s="469"/>
      <c r="B5" s="470"/>
      <c r="C5" s="470"/>
      <c r="D5" s="471"/>
      <c r="E5" s="472" t="s">
        <v>770</v>
      </c>
      <c r="F5" s="473" t="s">
        <v>352</v>
      </c>
      <c r="G5" s="472" t="s">
        <v>421</v>
      </c>
      <c r="H5" s="472" t="s">
        <v>353</v>
      </c>
      <c r="I5" s="473" t="s">
        <v>613</v>
      </c>
      <c r="J5" s="473" t="s">
        <v>354</v>
      </c>
      <c r="K5" s="474" t="s">
        <v>557</v>
      </c>
      <c r="L5" s="475" t="s">
        <v>355</v>
      </c>
      <c r="M5" s="472" t="s">
        <v>356</v>
      </c>
      <c r="N5" s="472" t="s">
        <v>357</v>
      </c>
      <c r="O5" s="472" t="s">
        <v>358</v>
      </c>
      <c r="P5" s="476" t="s">
        <v>359</v>
      </c>
      <c r="Q5" s="476" t="s">
        <v>360</v>
      </c>
      <c r="R5" s="477" t="s">
        <v>361</v>
      </c>
      <c r="S5" s="477" t="s">
        <v>557</v>
      </c>
      <c r="T5" s="478" t="s">
        <v>362</v>
      </c>
      <c r="U5" s="304"/>
    </row>
    <row r="6" spans="1:21" s="487" customFormat="1">
      <c r="A6" s="479" t="s">
        <v>363</v>
      </c>
      <c r="B6" s="480"/>
      <c r="C6" s="480"/>
      <c r="D6" s="481"/>
      <c r="E6" s="482">
        <f t="shared" ref="E6:T6" si="0">SUM(E7:E9)</f>
        <v>76676</v>
      </c>
      <c r="F6" s="482">
        <f t="shared" si="0"/>
        <v>20584</v>
      </c>
      <c r="G6" s="482">
        <f t="shared" si="0"/>
        <v>7588</v>
      </c>
      <c r="H6" s="482">
        <f t="shared" si="0"/>
        <v>0</v>
      </c>
      <c r="I6" s="482">
        <f t="shared" si="0"/>
        <v>0</v>
      </c>
      <c r="J6" s="482">
        <f t="shared" si="0"/>
        <v>1775</v>
      </c>
      <c r="K6" s="484">
        <f t="shared" si="0"/>
        <v>106623</v>
      </c>
      <c r="L6" s="485">
        <f t="shared" si="0"/>
        <v>0</v>
      </c>
      <c r="M6" s="482">
        <f t="shared" si="0"/>
        <v>0</v>
      </c>
      <c r="N6" s="482">
        <f t="shared" si="0"/>
        <v>326</v>
      </c>
      <c r="O6" s="482">
        <f t="shared" si="0"/>
        <v>92325</v>
      </c>
      <c r="P6" s="482">
        <f t="shared" si="0"/>
        <v>0</v>
      </c>
      <c r="Q6" s="482">
        <f t="shared" si="0"/>
        <v>0</v>
      </c>
      <c r="R6" s="482">
        <f t="shared" si="0"/>
        <v>13972</v>
      </c>
      <c r="S6" s="482">
        <f t="shared" si="0"/>
        <v>106623</v>
      </c>
      <c r="T6" s="486">
        <f t="shared" si="0"/>
        <v>106297</v>
      </c>
    </row>
    <row r="7" spans="1:21">
      <c r="A7" s="488" t="s">
        <v>364</v>
      </c>
      <c r="B7" s="489"/>
      <c r="C7" s="489"/>
      <c r="D7" s="490"/>
      <c r="E7" s="303">
        <v>47537</v>
      </c>
      <c r="F7" s="303">
        <v>12786</v>
      </c>
      <c r="G7" s="303">
        <v>6000</v>
      </c>
      <c r="H7" s="303">
        <v>0</v>
      </c>
      <c r="I7" s="303">
        <v>0</v>
      </c>
      <c r="J7" s="303">
        <v>1430</v>
      </c>
      <c r="K7" s="491">
        <f t="shared" ref="K7:K13" si="1">SUM(E7:J7)</f>
        <v>67753</v>
      </c>
      <c r="L7" s="492">
        <v>0</v>
      </c>
      <c r="M7" s="303">
        <v>0</v>
      </c>
      <c r="N7" s="303">
        <v>326</v>
      </c>
      <c r="O7" s="303">
        <v>62692</v>
      </c>
      <c r="P7" s="303">
        <v>0</v>
      </c>
      <c r="Q7" s="303">
        <v>0</v>
      </c>
      <c r="R7" s="303">
        <f t="shared" ref="R7:R13" si="2">K7-L7-M7-N7-O7-P7-Q7</f>
        <v>4735</v>
      </c>
      <c r="S7" s="303">
        <f t="shared" ref="S7:S13" si="3">SUM(L7:R7)</f>
        <v>67753</v>
      </c>
      <c r="T7" s="493">
        <f t="shared" ref="T7:T13" si="4">O7+P7+R7+Q7</f>
        <v>67427</v>
      </c>
    </row>
    <row r="8" spans="1:21">
      <c r="A8" s="488" t="s">
        <v>365</v>
      </c>
      <c r="B8" s="489"/>
      <c r="C8" s="489"/>
      <c r="D8" s="490"/>
      <c r="E8" s="303">
        <v>20457</v>
      </c>
      <c r="F8" s="303">
        <v>5483</v>
      </c>
      <c r="G8" s="303">
        <v>1100</v>
      </c>
      <c r="H8" s="303">
        <v>0</v>
      </c>
      <c r="I8" s="303">
        <v>0</v>
      </c>
      <c r="J8" s="303">
        <v>325</v>
      </c>
      <c r="K8" s="491">
        <f t="shared" si="1"/>
        <v>27365</v>
      </c>
      <c r="L8" s="492">
        <v>0</v>
      </c>
      <c r="M8" s="303">
        <v>0</v>
      </c>
      <c r="N8" s="303">
        <v>0</v>
      </c>
      <c r="O8" s="303">
        <v>21328</v>
      </c>
      <c r="P8" s="303">
        <v>0</v>
      </c>
      <c r="Q8" s="303">
        <v>0</v>
      </c>
      <c r="R8" s="303">
        <f t="shared" si="2"/>
        <v>6037</v>
      </c>
      <c r="S8" s="303">
        <f t="shared" si="3"/>
        <v>27365</v>
      </c>
      <c r="T8" s="493">
        <f t="shared" si="4"/>
        <v>27365</v>
      </c>
    </row>
    <row r="9" spans="1:21">
      <c r="A9" s="488" t="s">
        <v>366</v>
      </c>
      <c r="B9" s="489"/>
      <c r="C9" s="489"/>
      <c r="D9" s="490"/>
      <c r="E9" s="303">
        <v>8682</v>
      </c>
      <c r="F9" s="303">
        <v>2315</v>
      </c>
      <c r="G9" s="303">
        <v>488</v>
      </c>
      <c r="H9" s="303">
        <v>0</v>
      </c>
      <c r="I9" s="303">
        <v>0</v>
      </c>
      <c r="J9" s="303">
        <v>20</v>
      </c>
      <c r="K9" s="491">
        <f t="shared" si="1"/>
        <v>11505</v>
      </c>
      <c r="L9" s="492">
        <v>0</v>
      </c>
      <c r="M9" s="303">
        <v>0</v>
      </c>
      <c r="N9" s="303">
        <v>0</v>
      </c>
      <c r="O9" s="303">
        <v>8305</v>
      </c>
      <c r="P9" s="303">
        <v>0</v>
      </c>
      <c r="Q9" s="303">
        <v>0</v>
      </c>
      <c r="R9" s="303">
        <f t="shared" si="2"/>
        <v>3200</v>
      </c>
      <c r="S9" s="303">
        <f t="shared" si="3"/>
        <v>11505</v>
      </c>
      <c r="T9" s="493">
        <f t="shared" si="4"/>
        <v>11505</v>
      </c>
    </row>
    <row r="10" spans="1:21" s="487" customFormat="1">
      <c r="A10" s="494" t="s">
        <v>596</v>
      </c>
      <c r="B10" s="480"/>
      <c r="C10" s="480"/>
      <c r="D10" s="481"/>
      <c r="E10" s="303">
        <v>150000</v>
      </c>
      <c r="F10" s="303">
        <v>40000</v>
      </c>
      <c r="G10" s="303">
        <v>28000</v>
      </c>
      <c r="H10" s="303"/>
      <c r="I10" s="303"/>
      <c r="J10" s="303">
        <v>15910</v>
      </c>
      <c r="K10" s="491">
        <f t="shared" si="1"/>
        <v>233910</v>
      </c>
      <c r="L10" s="492">
        <v>6600</v>
      </c>
      <c r="M10" s="303"/>
      <c r="N10" s="303">
        <v>1280</v>
      </c>
      <c r="O10" s="303">
        <v>202720</v>
      </c>
      <c r="P10" s="303"/>
      <c r="Q10" s="303"/>
      <c r="R10" s="303">
        <f t="shared" si="2"/>
        <v>23310</v>
      </c>
      <c r="S10" s="303">
        <f t="shared" si="3"/>
        <v>233910</v>
      </c>
      <c r="T10" s="493">
        <f t="shared" si="4"/>
        <v>226030</v>
      </c>
      <c r="U10" s="495"/>
    </row>
    <row r="11" spans="1:21">
      <c r="A11" s="488" t="s">
        <v>367</v>
      </c>
      <c r="B11" s="489"/>
      <c r="C11" s="489"/>
      <c r="D11" s="490"/>
      <c r="E11" s="303">
        <v>120962</v>
      </c>
      <c r="F11" s="303">
        <v>32226</v>
      </c>
      <c r="G11" s="303">
        <v>150000</v>
      </c>
      <c r="H11" s="303">
        <v>0</v>
      </c>
      <c r="I11" s="303">
        <v>0</v>
      </c>
      <c r="J11" s="303">
        <v>4790</v>
      </c>
      <c r="K11" s="491">
        <f t="shared" si="1"/>
        <v>307978</v>
      </c>
      <c r="L11" s="492">
        <v>80959</v>
      </c>
      <c r="M11" s="303">
        <v>0</v>
      </c>
      <c r="N11" s="303">
        <v>3102</v>
      </c>
      <c r="O11" s="303">
        <v>171656</v>
      </c>
      <c r="P11" s="303">
        <v>0</v>
      </c>
      <c r="Q11" s="303">
        <v>0</v>
      </c>
      <c r="R11" s="303">
        <f t="shared" si="2"/>
        <v>52261</v>
      </c>
      <c r="S11" s="303">
        <f t="shared" si="3"/>
        <v>307978</v>
      </c>
      <c r="T11" s="493">
        <f t="shared" si="4"/>
        <v>223917</v>
      </c>
      <c r="U11" s="496"/>
    </row>
    <row r="12" spans="1:21">
      <c r="A12" s="488" t="s">
        <v>714</v>
      </c>
      <c r="B12" s="489"/>
      <c r="C12" s="489"/>
      <c r="D12" s="490"/>
      <c r="E12" s="303">
        <v>14050</v>
      </c>
      <c r="F12" s="303">
        <v>3750</v>
      </c>
      <c r="G12" s="303">
        <v>11884</v>
      </c>
      <c r="H12" s="303">
        <v>0</v>
      </c>
      <c r="I12" s="303">
        <v>0</v>
      </c>
      <c r="J12" s="303">
        <v>500</v>
      </c>
      <c r="K12" s="491">
        <f t="shared" si="1"/>
        <v>30184</v>
      </c>
      <c r="L12" s="492">
        <v>2000</v>
      </c>
      <c r="M12" s="303">
        <v>0</v>
      </c>
      <c r="N12" s="303">
        <v>1392</v>
      </c>
      <c r="O12" s="303">
        <v>0</v>
      </c>
      <c r="P12" s="303">
        <v>0</v>
      </c>
      <c r="Q12" s="303">
        <v>0</v>
      </c>
      <c r="R12" s="303">
        <f t="shared" si="2"/>
        <v>26792</v>
      </c>
      <c r="S12" s="303">
        <f t="shared" si="3"/>
        <v>30184</v>
      </c>
      <c r="T12" s="493">
        <f t="shared" si="4"/>
        <v>26792</v>
      </c>
      <c r="U12" s="497"/>
    </row>
    <row r="13" spans="1:21" ht="13.5" thickBot="1">
      <c r="A13" s="498" t="s">
        <v>715</v>
      </c>
      <c r="B13" s="499"/>
      <c r="C13" s="499"/>
      <c r="D13" s="500"/>
      <c r="E13" s="501">
        <v>195275</v>
      </c>
      <c r="F13" s="501">
        <v>52825</v>
      </c>
      <c r="G13" s="501">
        <v>87500</v>
      </c>
      <c r="H13" s="501">
        <v>0</v>
      </c>
      <c r="I13" s="501">
        <v>0</v>
      </c>
      <c r="J13" s="501">
        <v>7200</v>
      </c>
      <c r="K13" s="502">
        <f t="shared" si="1"/>
        <v>342800</v>
      </c>
      <c r="L13" s="503">
        <v>2000</v>
      </c>
      <c r="M13" s="501">
        <v>20739</v>
      </c>
      <c r="N13" s="501">
        <v>1146</v>
      </c>
      <c r="O13" s="501">
        <v>227901</v>
      </c>
      <c r="P13" s="501">
        <v>0</v>
      </c>
      <c r="Q13" s="501">
        <v>0</v>
      </c>
      <c r="R13" s="501">
        <f t="shared" si="2"/>
        <v>91014</v>
      </c>
      <c r="S13" s="501">
        <f t="shared" si="3"/>
        <v>342800</v>
      </c>
      <c r="T13" s="504">
        <f t="shared" si="4"/>
        <v>318915</v>
      </c>
      <c r="U13" s="497"/>
    </row>
    <row r="14" spans="1:21" ht="14.25" thickTop="1" thickBot="1">
      <c r="A14" s="927" t="s">
        <v>483</v>
      </c>
      <c r="B14" s="928"/>
      <c r="C14" s="928"/>
      <c r="D14" s="929"/>
      <c r="E14" s="505">
        <f t="shared" ref="E14:T14" si="5">E6+E10+E11+E12+E13</f>
        <v>556963</v>
      </c>
      <c r="F14" s="505">
        <f t="shared" si="5"/>
        <v>149385</v>
      </c>
      <c r="G14" s="505">
        <f t="shared" si="5"/>
        <v>284972</v>
      </c>
      <c r="H14" s="505">
        <f t="shared" si="5"/>
        <v>0</v>
      </c>
      <c r="I14" s="505">
        <f t="shared" si="5"/>
        <v>0</v>
      </c>
      <c r="J14" s="505">
        <f t="shared" si="5"/>
        <v>30175</v>
      </c>
      <c r="K14" s="506">
        <f t="shared" si="5"/>
        <v>1021495</v>
      </c>
      <c r="L14" s="507">
        <f t="shared" si="5"/>
        <v>91559</v>
      </c>
      <c r="M14" s="505">
        <f t="shared" si="5"/>
        <v>20739</v>
      </c>
      <c r="N14" s="505">
        <f t="shared" si="5"/>
        <v>7246</v>
      </c>
      <c r="O14" s="505">
        <f t="shared" si="5"/>
        <v>694602</v>
      </c>
      <c r="P14" s="505">
        <f t="shared" si="5"/>
        <v>0</v>
      </c>
      <c r="Q14" s="505">
        <f t="shared" si="5"/>
        <v>0</v>
      </c>
      <c r="R14" s="505">
        <f t="shared" si="5"/>
        <v>207349</v>
      </c>
      <c r="S14" s="505">
        <f t="shared" si="5"/>
        <v>1021495</v>
      </c>
      <c r="T14" s="505">
        <f t="shared" si="5"/>
        <v>901951</v>
      </c>
      <c r="U14" s="497"/>
    </row>
    <row r="15" spans="1:21" ht="13.5" thickTop="1">
      <c r="A15" s="508"/>
      <c r="B15" s="509"/>
      <c r="C15" s="509"/>
      <c r="D15" s="509"/>
      <c r="E15" s="510"/>
      <c r="F15" s="510"/>
      <c r="G15" s="510"/>
      <c r="H15" s="510"/>
      <c r="I15" s="510"/>
      <c r="J15" s="510"/>
      <c r="K15" s="510"/>
      <c r="L15" s="510"/>
      <c r="M15" s="510"/>
      <c r="N15" s="510"/>
      <c r="O15" s="510"/>
      <c r="P15" s="510"/>
      <c r="Q15" s="510"/>
      <c r="R15" s="510"/>
      <c r="S15" s="510"/>
      <c r="T15" s="510"/>
    </row>
    <row r="16" spans="1:21">
      <c r="A16" s="508"/>
      <c r="B16" s="509"/>
      <c r="C16" s="509"/>
      <c r="D16" s="509"/>
      <c r="E16" s="510"/>
      <c r="F16" s="510"/>
      <c r="G16" s="510"/>
      <c r="H16" s="510"/>
      <c r="I16" s="510"/>
      <c r="J16" s="510"/>
      <c r="K16" s="510"/>
      <c r="L16" s="510"/>
      <c r="M16" s="510"/>
      <c r="N16" s="510"/>
      <c r="O16" s="510"/>
      <c r="P16" s="510"/>
      <c r="Q16" s="510"/>
      <c r="R16" s="510"/>
      <c r="S16" s="510"/>
      <c r="T16" s="510"/>
    </row>
    <row r="17" spans="1:1">
      <c r="A17" s="508"/>
    </row>
    <row r="18" spans="1:1">
      <c r="A18" s="508"/>
    </row>
    <row r="19" spans="1:1">
      <c r="A19" s="508"/>
    </row>
    <row r="20" spans="1:1">
      <c r="A20" s="508"/>
    </row>
  </sheetData>
  <mergeCells count="3">
    <mergeCell ref="A14:D14"/>
    <mergeCell ref="A2:T3"/>
    <mergeCell ref="D1:T1"/>
  </mergeCells>
  <phoneticPr fontId="51" type="noConversion"/>
  <pageMargins left="0.39370078740157483" right="0.19685039370078741" top="0.5" bottom="0.52" header="0.51181102362204722" footer="0.51181102362204722"/>
  <pageSetup paperSize="9" scale="8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sqref="A1:H1"/>
    </sheetView>
  </sheetViews>
  <sheetFormatPr defaultRowHeight="12.75"/>
  <cols>
    <col min="7" max="7" width="9.140625" style="286"/>
  </cols>
  <sheetData>
    <row r="1" spans="1:8" ht="15.75">
      <c r="A1" s="931" t="s">
        <v>126</v>
      </c>
      <c r="B1" s="931"/>
      <c r="C1" s="931"/>
      <c r="D1" s="931"/>
      <c r="E1" s="931"/>
      <c r="F1" s="931"/>
      <c r="G1" s="931"/>
      <c r="H1" s="931"/>
    </row>
    <row r="2" spans="1:8" ht="15.75">
      <c r="A2" s="279"/>
      <c r="B2" s="279"/>
      <c r="C2" s="279"/>
      <c r="D2" s="279"/>
      <c r="E2" s="279"/>
      <c r="F2" s="279"/>
      <c r="G2" s="280"/>
      <c r="H2" s="279"/>
    </row>
    <row r="3" spans="1:8" ht="15.75">
      <c r="A3" s="920" t="s">
        <v>735</v>
      </c>
      <c r="B3" s="920"/>
      <c r="C3" s="920"/>
      <c r="D3" s="920"/>
      <c r="E3" s="920"/>
      <c r="F3" s="920"/>
      <c r="G3" s="920"/>
      <c r="H3" s="920"/>
    </row>
    <row r="4" spans="1:8" ht="15.75">
      <c r="A4" s="920" t="s">
        <v>736</v>
      </c>
      <c r="B4" s="920"/>
      <c r="C4" s="920"/>
      <c r="D4" s="920"/>
      <c r="E4" s="920"/>
      <c r="F4" s="920"/>
      <c r="G4" s="920"/>
      <c r="H4" s="281"/>
    </row>
    <row r="5" spans="1:8" ht="15.75">
      <c r="A5" s="282"/>
      <c r="B5" s="282"/>
      <c r="C5" s="282"/>
      <c r="D5" s="282"/>
      <c r="E5" s="282"/>
      <c r="F5" s="282"/>
      <c r="G5" s="283"/>
      <c r="H5" s="3"/>
    </row>
    <row r="6" spans="1:8" ht="15.75">
      <c r="A6" s="3"/>
      <c r="B6" s="3"/>
      <c r="C6" s="3"/>
      <c r="D6" s="3"/>
      <c r="E6" s="3"/>
      <c r="F6" s="3"/>
      <c r="G6" s="280" t="s">
        <v>484</v>
      </c>
      <c r="H6" s="3"/>
    </row>
    <row r="7" spans="1:8" ht="15.75">
      <c r="A7" s="3" t="s">
        <v>737</v>
      </c>
      <c r="B7" s="3"/>
      <c r="C7" s="3"/>
      <c r="D7" s="3"/>
      <c r="E7" s="3"/>
      <c r="F7" s="3"/>
      <c r="G7" s="14">
        <v>387</v>
      </c>
      <c r="H7" s="3"/>
    </row>
    <row r="8" spans="1:8" ht="15.75">
      <c r="A8" s="3" t="s">
        <v>738</v>
      </c>
      <c r="B8" s="3"/>
      <c r="C8" s="3"/>
      <c r="D8" s="3"/>
      <c r="E8" s="3"/>
      <c r="F8" s="3"/>
      <c r="G8" s="14">
        <v>1000</v>
      </c>
      <c r="H8" s="3"/>
    </row>
    <row r="9" spans="1:8" ht="15.75">
      <c r="A9" s="3" t="s">
        <v>739</v>
      </c>
      <c r="B9" s="3"/>
      <c r="C9" s="3"/>
      <c r="D9" s="3"/>
      <c r="E9" s="3"/>
      <c r="F9" s="3"/>
      <c r="G9" s="14">
        <v>2000</v>
      </c>
      <c r="H9" s="3"/>
    </row>
    <row r="10" spans="1:8" ht="15.75">
      <c r="A10" s="3" t="s">
        <v>740</v>
      </c>
      <c r="B10" s="3"/>
      <c r="C10" s="3"/>
      <c r="D10" s="3"/>
      <c r="E10" s="3"/>
      <c r="F10" s="3"/>
      <c r="G10" s="14">
        <v>715</v>
      </c>
      <c r="H10" s="3"/>
    </row>
    <row r="11" spans="1:8" ht="15.75">
      <c r="A11" s="3" t="s">
        <v>741</v>
      </c>
      <c r="B11" s="3"/>
      <c r="C11" s="3"/>
      <c r="D11" s="3"/>
      <c r="E11" s="3"/>
      <c r="F11" s="3"/>
      <c r="G11" s="14">
        <v>10315</v>
      </c>
      <c r="H11" s="3"/>
    </row>
    <row r="12" spans="1:8" ht="15.75">
      <c r="A12" s="3"/>
      <c r="B12" s="3"/>
      <c r="C12" s="3"/>
      <c r="D12" s="3"/>
      <c r="E12" s="3"/>
      <c r="F12" s="3"/>
      <c r="G12" s="14"/>
      <c r="H12" s="3"/>
    </row>
    <row r="13" spans="1:8" ht="15.75">
      <c r="A13" s="281" t="s">
        <v>483</v>
      </c>
      <c r="B13" s="3"/>
      <c r="C13" s="3"/>
      <c r="D13" s="3"/>
      <c r="E13" s="3"/>
      <c r="F13" s="3"/>
      <c r="G13" s="284">
        <f>SUM(G7:G12)</f>
        <v>14417</v>
      </c>
      <c r="H13" s="3"/>
    </row>
    <row r="14" spans="1:8" ht="15.75">
      <c r="A14" s="3"/>
      <c r="B14" s="3"/>
      <c r="C14" s="3"/>
      <c r="D14" s="3"/>
      <c r="E14" s="3"/>
      <c r="F14" s="3"/>
      <c r="G14" s="14"/>
      <c r="H14" s="3"/>
    </row>
    <row r="15" spans="1:8" ht="15.75">
      <c r="A15" s="3"/>
      <c r="B15" s="3"/>
      <c r="C15" s="3"/>
      <c r="D15" s="3"/>
      <c r="E15" s="3"/>
      <c r="F15" s="3"/>
      <c r="G15" s="14"/>
      <c r="H15" s="3"/>
    </row>
    <row r="16" spans="1:8" ht="15.75">
      <c r="A16" s="3" t="s">
        <v>742</v>
      </c>
      <c r="B16" s="3"/>
      <c r="C16" s="3"/>
      <c r="D16" s="3"/>
      <c r="E16" s="3"/>
      <c r="F16" s="3"/>
      <c r="G16" s="14">
        <v>3334</v>
      </c>
      <c r="H16" s="3"/>
    </row>
    <row r="17" spans="1:8" ht="15.75">
      <c r="A17" s="3"/>
      <c r="B17" s="3"/>
      <c r="C17" s="3"/>
      <c r="D17" s="3"/>
      <c r="E17" s="3"/>
      <c r="F17" s="3"/>
      <c r="G17" s="14"/>
      <c r="H17" s="3"/>
    </row>
    <row r="18" spans="1:8" ht="15.75">
      <c r="A18" s="3" t="s">
        <v>743</v>
      </c>
      <c r="B18" s="3"/>
      <c r="C18" s="3"/>
      <c r="D18" s="3"/>
      <c r="E18" s="3"/>
      <c r="F18" s="3"/>
      <c r="G18" s="14">
        <v>1600</v>
      </c>
      <c r="H18" s="3"/>
    </row>
    <row r="19" spans="1:8" ht="15.75">
      <c r="A19" s="3"/>
      <c r="B19" s="3"/>
      <c r="C19" s="3"/>
      <c r="D19" s="3"/>
      <c r="E19" s="3"/>
      <c r="F19" s="3"/>
      <c r="G19" s="14"/>
      <c r="H19" s="3"/>
    </row>
    <row r="20" spans="1:8" ht="15.75">
      <c r="A20" s="3" t="s">
        <v>744</v>
      </c>
      <c r="B20" s="3"/>
      <c r="C20" s="3"/>
      <c r="D20" s="3"/>
      <c r="E20" s="3"/>
      <c r="F20" s="3"/>
      <c r="G20" s="14"/>
      <c r="H20" s="3"/>
    </row>
    <row r="21" spans="1:8" ht="15.75">
      <c r="A21" s="285" t="s">
        <v>745</v>
      </c>
    </row>
    <row r="22" spans="1:8" ht="15.75">
      <c r="A22" s="285" t="s">
        <v>746</v>
      </c>
    </row>
  </sheetData>
  <mergeCells count="3">
    <mergeCell ref="A3:H3"/>
    <mergeCell ref="A4:G4"/>
    <mergeCell ref="A1:H1"/>
  </mergeCells>
  <phoneticPr fontId="25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45"/>
  <sheetViews>
    <sheetView zoomScaleNormal="100" workbookViewId="0">
      <selection activeCell="B1" sqref="B1:G1"/>
    </sheetView>
  </sheetViews>
  <sheetFormatPr defaultRowHeight="12.75"/>
  <cols>
    <col min="1" max="1" width="6.7109375" style="155" customWidth="1"/>
    <col min="2" max="2" width="33.7109375" style="156" customWidth="1"/>
    <col min="3" max="3" width="45.7109375" style="155" customWidth="1"/>
    <col min="4" max="4" width="16.42578125" style="157" customWidth="1"/>
    <col min="5" max="5" width="14.7109375" style="157" customWidth="1"/>
    <col min="6" max="6" width="15.85546875" style="156" customWidth="1"/>
    <col min="7" max="7" width="16.140625" style="157" customWidth="1"/>
    <col min="8" max="8" width="10.42578125" style="153" customWidth="1"/>
    <col min="9" max="9" width="9.85546875" style="154" bestFit="1" customWidth="1"/>
    <col min="10" max="16384" width="9.140625" style="154"/>
  </cols>
  <sheetData>
    <row r="1" spans="1:8">
      <c r="A1" s="206"/>
      <c r="B1" s="932" t="s">
        <v>127</v>
      </c>
      <c r="C1" s="933"/>
      <c r="D1" s="933"/>
      <c r="E1" s="933"/>
      <c r="F1" s="933"/>
      <c r="G1" s="934"/>
    </row>
    <row r="2" spans="1:8" s="156" customFormat="1">
      <c r="A2" s="155"/>
      <c r="B2" s="935"/>
      <c r="C2" s="933"/>
      <c r="D2" s="933"/>
      <c r="E2" s="933"/>
      <c r="F2" s="933"/>
      <c r="G2" s="934"/>
      <c r="H2" s="153"/>
    </row>
    <row r="3" spans="1:8" s="156" customFormat="1" ht="13.5">
      <c r="A3" s="938" t="s">
        <v>571</v>
      </c>
      <c r="B3" s="938"/>
      <c r="C3" s="938"/>
      <c r="D3" s="938"/>
      <c r="E3" s="938"/>
      <c r="F3" s="938"/>
      <c r="G3" s="938"/>
      <c r="H3" s="153"/>
    </row>
    <row r="4" spans="1:8" s="156" customFormat="1" ht="13.5">
      <c r="A4" s="938" t="s">
        <v>205</v>
      </c>
      <c r="B4" s="938"/>
      <c r="C4" s="938"/>
      <c r="D4" s="938"/>
      <c r="E4" s="938"/>
      <c r="F4" s="938"/>
      <c r="G4" s="938"/>
      <c r="H4" s="153"/>
    </row>
    <row r="5" spans="1:8" s="156" customFormat="1" ht="14.25" customHeight="1">
      <c r="A5" s="155"/>
      <c r="B5" s="159"/>
      <c r="C5" s="155"/>
      <c r="D5" s="157"/>
      <c r="E5" s="157"/>
      <c r="G5" s="157"/>
      <c r="H5" s="153"/>
    </row>
    <row r="6" spans="1:8" s="167" customFormat="1" ht="13.5">
      <c r="A6" s="160"/>
      <c r="B6" s="161"/>
      <c r="C6" s="162"/>
      <c r="D6" s="163"/>
      <c r="E6" s="163"/>
      <c r="F6" s="164"/>
      <c r="G6" s="165"/>
      <c r="H6" s="166"/>
    </row>
    <row r="7" spans="1:8" s="156" customFormat="1" ht="15.75">
      <c r="A7" s="937" t="s">
        <v>572</v>
      </c>
      <c r="B7" s="937"/>
      <c r="C7" s="937"/>
      <c r="D7" s="937"/>
      <c r="E7" s="937"/>
      <c r="F7" s="937"/>
      <c r="G7" s="937"/>
      <c r="H7" s="153"/>
    </row>
    <row r="8" spans="1:8" s="156" customFormat="1" ht="13.5">
      <c r="A8" s="194"/>
      <c r="B8" s="262"/>
      <c r="C8" s="263"/>
      <c r="D8" s="262"/>
      <c r="E8" s="262"/>
      <c r="F8" s="199"/>
      <c r="G8" s="264" t="s">
        <v>573</v>
      </c>
      <c r="H8" s="153"/>
    </row>
    <row r="9" spans="1:8" s="171" customFormat="1" ht="12.75" customHeight="1">
      <c r="A9" s="265" t="s">
        <v>574</v>
      </c>
      <c r="B9" s="266" t="s">
        <v>575</v>
      </c>
      <c r="C9" s="266" t="s">
        <v>576</v>
      </c>
      <c r="D9" s="266" t="s">
        <v>558</v>
      </c>
      <c r="E9" s="266" t="s">
        <v>638</v>
      </c>
      <c r="F9" s="266" t="s">
        <v>637</v>
      </c>
      <c r="G9" s="267" t="s">
        <v>557</v>
      </c>
      <c r="H9" s="170"/>
    </row>
    <row r="10" spans="1:8" s="171" customFormat="1" ht="12.75" customHeight="1">
      <c r="A10" s="265"/>
      <c r="B10" s="266"/>
      <c r="C10" s="266"/>
      <c r="D10" s="266"/>
      <c r="E10" s="266"/>
      <c r="F10" s="266"/>
      <c r="G10" s="267"/>
      <c r="H10" s="170"/>
    </row>
    <row r="11" spans="1:8" s="171" customFormat="1" ht="13.5">
      <c r="A11" s="194">
        <v>1</v>
      </c>
      <c r="B11" s="172" t="s">
        <v>578</v>
      </c>
      <c r="C11" s="173" t="s">
        <v>579</v>
      </c>
      <c r="D11" s="178"/>
      <c r="E11" s="178"/>
      <c r="F11" s="199"/>
      <c r="G11" s="195"/>
      <c r="H11" s="170"/>
    </row>
    <row r="12" spans="1:8" s="171" customFormat="1" ht="12.75" customHeight="1">
      <c r="A12" s="194"/>
      <c r="B12" s="196" t="s">
        <v>503</v>
      </c>
      <c r="C12" s="194"/>
      <c r="D12" s="178"/>
      <c r="E12" s="178"/>
      <c r="F12" s="199"/>
      <c r="G12" s="195"/>
      <c r="H12" s="170"/>
    </row>
    <row r="13" spans="1:8" s="171" customFormat="1" ht="12.75" customHeight="1">
      <c r="A13" s="194"/>
      <c r="B13" s="197" t="s">
        <v>577</v>
      </c>
      <c r="C13" s="198"/>
      <c r="D13" s="178">
        <v>141232143</v>
      </c>
      <c r="E13" s="178"/>
      <c r="F13" s="178">
        <v>63944706</v>
      </c>
      <c r="G13" s="195">
        <f>SUM(D13:F13)</f>
        <v>205176849</v>
      </c>
      <c r="H13" s="170"/>
    </row>
    <row r="14" spans="1:8" s="171" customFormat="1" ht="12.75" customHeight="1">
      <c r="A14" s="268"/>
      <c r="B14" s="202" t="s">
        <v>485</v>
      </c>
      <c r="C14" s="203"/>
      <c r="D14" s="204">
        <f>SUM(D13:D13)</f>
        <v>141232143</v>
      </c>
      <c r="E14" s="204">
        <f>SUM(E13:E13)</f>
        <v>0</v>
      </c>
      <c r="F14" s="204">
        <f>SUM(F13:F13)</f>
        <v>63944706</v>
      </c>
      <c r="G14" s="204">
        <f>SUM(G13:G13)</f>
        <v>205176849</v>
      </c>
      <c r="H14" s="170"/>
    </row>
    <row r="15" spans="1:8" s="171" customFormat="1" ht="12.75" customHeight="1">
      <c r="A15" s="265"/>
      <c r="B15" s="266"/>
      <c r="C15" s="266"/>
      <c r="D15" s="266"/>
      <c r="E15" s="266"/>
      <c r="F15" s="266"/>
      <c r="G15" s="267"/>
      <c r="H15" s="170"/>
    </row>
    <row r="16" spans="1:8" s="171" customFormat="1" ht="24.75" customHeight="1">
      <c r="A16" s="269">
        <v>2</v>
      </c>
      <c r="B16" s="270" t="s">
        <v>580</v>
      </c>
      <c r="C16" s="173" t="s">
        <v>581</v>
      </c>
      <c r="D16" s="266"/>
      <c r="E16" s="266"/>
      <c r="F16" s="266"/>
      <c r="G16" s="267"/>
      <c r="H16" s="170"/>
    </row>
    <row r="17" spans="1:9" s="171" customFormat="1" ht="12.75" customHeight="1">
      <c r="A17" s="168"/>
      <c r="B17" s="175" t="s">
        <v>503</v>
      </c>
      <c r="C17" s="162"/>
      <c r="D17" s="162"/>
      <c r="E17" s="162"/>
      <c r="F17" s="162"/>
      <c r="G17" s="169"/>
      <c r="H17" s="170"/>
    </row>
    <row r="18" spans="1:9" s="171" customFormat="1" ht="12.75" customHeight="1">
      <c r="A18" s="168"/>
      <c r="B18" s="176" t="s">
        <v>577</v>
      </c>
      <c r="C18" s="177"/>
      <c r="D18" s="178">
        <v>16498252</v>
      </c>
      <c r="E18" s="174">
        <v>0</v>
      </c>
      <c r="F18" s="174">
        <v>5499418</v>
      </c>
      <c r="G18" s="157">
        <f>SUM(D18:F18)</f>
        <v>21997670</v>
      </c>
      <c r="H18" s="170"/>
    </row>
    <row r="19" spans="1:9" s="171" customFormat="1" ht="12.75" customHeight="1">
      <c r="A19" s="179"/>
      <c r="B19" s="180" t="s">
        <v>485</v>
      </c>
      <c r="C19" s="181"/>
      <c r="D19" s="182">
        <f>SUM(D18:D18)</f>
        <v>16498252</v>
      </c>
      <c r="E19" s="182">
        <f>SUM(E18:E18)</f>
        <v>0</v>
      </c>
      <c r="F19" s="182">
        <f>SUM(F18:F18)</f>
        <v>5499418</v>
      </c>
      <c r="G19" s="182">
        <f>SUM(G18:G18)</f>
        <v>21997670</v>
      </c>
      <c r="H19" s="170"/>
    </row>
    <row r="20" spans="1:9" s="171" customFormat="1" ht="12.75" customHeight="1">
      <c r="A20" s="168"/>
      <c r="B20" s="162"/>
      <c r="C20" s="162"/>
      <c r="D20" s="162"/>
      <c r="E20" s="162"/>
      <c r="F20" s="162"/>
      <c r="G20" s="169"/>
      <c r="H20" s="170"/>
    </row>
    <row r="21" spans="1:9" s="189" customFormat="1" ht="15.75">
      <c r="A21" s="186"/>
      <c r="B21" s="936" t="s">
        <v>582</v>
      </c>
      <c r="C21" s="936"/>
      <c r="D21" s="187">
        <f>+D14+D19</f>
        <v>157730395</v>
      </c>
      <c r="E21" s="187">
        <f>+E14+E19</f>
        <v>0</v>
      </c>
      <c r="F21" s="187">
        <f>+F14+F19</f>
        <v>69444124</v>
      </c>
      <c r="G21" s="187">
        <f>+G14+G19</f>
        <v>227174519</v>
      </c>
      <c r="H21" s="188"/>
    </row>
    <row r="22" spans="1:9">
      <c r="A22" s="160"/>
      <c r="B22" s="190"/>
      <c r="C22" s="160"/>
      <c r="D22" s="191"/>
      <c r="E22" s="191"/>
    </row>
    <row r="23" spans="1:9" ht="15.75">
      <c r="A23" s="939" t="s">
        <v>583</v>
      </c>
      <c r="B23" s="939"/>
      <c r="C23" s="939"/>
      <c r="D23" s="939"/>
      <c r="E23" s="939"/>
      <c r="F23" s="939"/>
      <c r="G23" s="939"/>
    </row>
    <row r="24" spans="1:9" s="156" customFormat="1" ht="13.5">
      <c r="A24" s="940" t="s">
        <v>573</v>
      </c>
      <c r="B24" s="940"/>
      <c r="C24" s="940"/>
      <c r="D24" s="940"/>
      <c r="E24" s="940"/>
      <c r="F24" s="940"/>
      <c r="G24" s="940"/>
      <c r="H24" s="153"/>
    </row>
    <row r="25" spans="1:9" s="164" customFormat="1" ht="14.25" customHeight="1">
      <c r="A25" s="168" t="s">
        <v>574</v>
      </c>
      <c r="B25" s="158" t="s">
        <v>575</v>
      </c>
      <c r="C25" s="162" t="s">
        <v>576</v>
      </c>
      <c r="D25" s="162" t="s">
        <v>558</v>
      </c>
      <c r="E25" s="162" t="s">
        <v>638</v>
      </c>
      <c r="F25" s="162" t="s">
        <v>637</v>
      </c>
      <c r="G25" s="169" t="s">
        <v>557</v>
      </c>
      <c r="H25" s="166"/>
    </row>
    <row r="26" spans="1:9" ht="15.75" customHeight="1">
      <c r="A26" s="160"/>
      <c r="B26" s="192"/>
      <c r="C26" s="160"/>
      <c r="D26" s="193"/>
      <c r="E26" s="193"/>
    </row>
    <row r="27" spans="1:9" s="167" customFormat="1">
      <c r="A27" s="194">
        <v>1</v>
      </c>
      <c r="B27" s="172" t="s">
        <v>578</v>
      </c>
      <c r="C27" s="173" t="s">
        <v>579</v>
      </c>
      <c r="D27" s="178"/>
      <c r="E27" s="178"/>
      <c r="F27" s="195"/>
      <c r="G27" s="195"/>
      <c r="H27" s="166"/>
    </row>
    <row r="28" spans="1:9" s="167" customFormat="1">
      <c r="A28" s="194"/>
      <c r="B28" s="196" t="s">
        <v>503</v>
      </c>
      <c r="C28" s="194"/>
      <c r="D28" s="178"/>
      <c r="E28" s="178"/>
      <c r="F28" s="195"/>
      <c r="G28" s="195"/>
      <c r="H28" s="166"/>
    </row>
    <row r="29" spans="1:9" s="167" customFormat="1">
      <c r="A29" s="194"/>
      <c r="B29" s="197" t="s">
        <v>584</v>
      </c>
      <c r="C29" s="198" t="s">
        <v>585</v>
      </c>
      <c r="D29" s="178">
        <v>8208472</v>
      </c>
      <c r="E29" s="178">
        <v>0</v>
      </c>
      <c r="F29" s="195">
        <v>10022099</v>
      </c>
      <c r="G29" s="195">
        <f t="shared" ref="G29:G34" si="0">SUM(D29:F29)</f>
        <v>18230571</v>
      </c>
      <c r="H29" s="157"/>
      <c r="I29" s="205"/>
    </row>
    <row r="30" spans="1:9" s="167" customFormat="1">
      <c r="A30" s="194"/>
      <c r="B30" s="196"/>
      <c r="C30" s="198" t="s">
        <v>586</v>
      </c>
      <c r="D30" s="178">
        <v>2303566</v>
      </c>
      <c r="E30" s="178">
        <v>0</v>
      </c>
      <c r="F30" s="195">
        <v>2516198</v>
      </c>
      <c r="G30" s="195">
        <f t="shared" si="0"/>
        <v>4819764</v>
      </c>
      <c r="H30" s="157"/>
    </row>
    <row r="31" spans="1:9" s="167" customFormat="1">
      <c r="A31" s="194"/>
      <c r="B31" s="196"/>
      <c r="C31" s="198" t="s">
        <v>588</v>
      </c>
      <c r="D31" s="178">
        <v>41994981</v>
      </c>
      <c r="E31" s="178">
        <v>0</v>
      </c>
      <c r="F31" s="195">
        <v>1955391</v>
      </c>
      <c r="G31" s="195">
        <f t="shared" si="0"/>
        <v>43950372</v>
      </c>
      <c r="H31" s="157"/>
    </row>
    <row r="32" spans="1:9" s="167" customFormat="1">
      <c r="A32" s="194"/>
      <c r="B32" s="199"/>
      <c r="C32" s="200" t="s">
        <v>589</v>
      </c>
      <c r="D32" s="178">
        <v>102550869</v>
      </c>
      <c r="E32" s="178">
        <v>0</v>
      </c>
      <c r="F32" s="195"/>
      <c r="G32" s="195">
        <f t="shared" si="0"/>
        <v>102550869</v>
      </c>
      <c r="H32" s="157"/>
    </row>
    <row r="33" spans="1:9" s="167" customFormat="1">
      <c r="A33" s="194"/>
      <c r="B33" s="199"/>
      <c r="C33" s="200" t="s">
        <v>590</v>
      </c>
      <c r="D33" s="178">
        <v>15448233</v>
      </c>
      <c r="E33" s="178">
        <v>0</v>
      </c>
      <c r="F33" s="195">
        <v>5526916</v>
      </c>
      <c r="G33" s="195">
        <f t="shared" si="0"/>
        <v>20975149</v>
      </c>
      <c r="H33" s="157"/>
    </row>
    <row r="34" spans="1:9" s="167" customFormat="1">
      <c r="A34" s="194"/>
      <c r="B34" s="199"/>
      <c r="C34" s="200" t="s">
        <v>591</v>
      </c>
      <c r="D34" s="178">
        <v>14650124</v>
      </c>
      <c r="E34" s="178">
        <v>0</v>
      </c>
      <c r="F34" s="195">
        <v>0</v>
      </c>
      <c r="G34" s="195">
        <f t="shared" si="0"/>
        <v>14650124</v>
      </c>
      <c r="H34" s="157"/>
    </row>
    <row r="35" spans="1:9" s="167" customFormat="1" ht="13.5">
      <c r="A35" s="201"/>
      <c r="B35" s="202" t="s">
        <v>485</v>
      </c>
      <c r="C35" s="203"/>
      <c r="D35" s="204">
        <f>SUM(D29:D34)</f>
        <v>185156245</v>
      </c>
      <c r="E35" s="204">
        <f>SUM(E29:E34)</f>
        <v>0</v>
      </c>
      <c r="F35" s="204">
        <f>SUM(F29:F34)</f>
        <v>20020604</v>
      </c>
      <c r="G35" s="204">
        <f>SUM(G29:G34)</f>
        <v>205176849</v>
      </c>
      <c r="H35" s="157"/>
    </row>
    <row r="36" spans="1:9" s="167" customFormat="1" ht="16.5" customHeight="1">
      <c r="A36" s="160"/>
      <c r="B36" s="161"/>
      <c r="C36" s="162"/>
      <c r="D36" s="163"/>
      <c r="E36" s="163"/>
      <c r="F36" s="165"/>
      <c r="G36" s="165"/>
      <c r="H36" s="166"/>
    </row>
    <row r="37" spans="1:9" s="167" customFormat="1" ht="25.5">
      <c r="A37" s="183">
        <v>2</v>
      </c>
      <c r="B37" s="184" t="s">
        <v>580</v>
      </c>
      <c r="C37" s="185" t="s">
        <v>581</v>
      </c>
      <c r="D37" s="163"/>
      <c r="E37" s="163"/>
      <c r="F37" s="165"/>
      <c r="G37" s="165"/>
      <c r="H37" s="166"/>
    </row>
    <row r="38" spans="1:9" s="167" customFormat="1">
      <c r="A38" s="160"/>
      <c r="B38" s="175" t="s">
        <v>503</v>
      </c>
      <c r="C38" s="160"/>
      <c r="D38" s="174"/>
      <c r="E38" s="174"/>
      <c r="F38" s="157"/>
      <c r="G38" s="157"/>
      <c r="H38" s="166"/>
    </row>
    <row r="39" spans="1:9" s="167" customFormat="1">
      <c r="A39" s="160"/>
      <c r="B39" s="176" t="s">
        <v>584</v>
      </c>
      <c r="C39" s="177" t="s">
        <v>585</v>
      </c>
      <c r="D39" s="174">
        <v>840000</v>
      </c>
      <c r="E39" s="174">
        <v>0</v>
      </c>
      <c r="F39" s="157">
        <v>0</v>
      </c>
      <c r="G39" s="157">
        <f>SUM(D39:F39)</f>
        <v>840000</v>
      </c>
      <c r="H39" s="166"/>
      <c r="I39" s="205"/>
    </row>
    <row r="40" spans="1:9" s="167" customFormat="1">
      <c r="A40" s="160"/>
      <c r="B40" s="176"/>
      <c r="C40" s="177" t="s">
        <v>586</v>
      </c>
      <c r="D40" s="174">
        <v>226800</v>
      </c>
      <c r="E40" s="174">
        <v>0</v>
      </c>
      <c r="F40" s="174">
        <v>0</v>
      </c>
      <c r="G40" s="157">
        <f>SUM(D40:F40)</f>
        <v>226800</v>
      </c>
      <c r="H40" s="166"/>
    </row>
    <row r="41" spans="1:9" s="167" customFormat="1">
      <c r="A41" s="160"/>
      <c r="B41" s="176"/>
      <c r="C41" s="177" t="s">
        <v>587</v>
      </c>
      <c r="D41" s="174">
        <v>1651000</v>
      </c>
      <c r="E41" s="174">
        <v>0</v>
      </c>
      <c r="F41" s="157">
        <v>0</v>
      </c>
      <c r="G41" s="157">
        <f>SUM(D41:F41)</f>
        <v>1651000</v>
      </c>
      <c r="H41" s="166"/>
      <c r="I41" s="205"/>
    </row>
    <row r="42" spans="1:9" s="167" customFormat="1">
      <c r="A42" s="160"/>
      <c r="B42" s="176"/>
      <c r="C42" s="177" t="s">
        <v>592</v>
      </c>
      <c r="D42" s="174">
        <v>19279870</v>
      </c>
      <c r="E42" s="174">
        <v>0</v>
      </c>
      <c r="F42" s="157">
        <v>0</v>
      </c>
      <c r="G42" s="157">
        <f>SUM(D42:F42)</f>
        <v>19279870</v>
      </c>
      <c r="H42" s="166"/>
    </row>
    <row r="43" spans="1:9" s="167" customFormat="1" ht="13.5">
      <c r="A43" s="179"/>
      <c r="B43" s="180" t="s">
        <v>485</v>
      </c>
      <c r="C43" s="181"/>
      <c r="D43" s="182">
        <f>SUM(D39:D42)</f>
        <v>21997670</v>
      </c>
      <c r="E43" s="182">
        <f>SUM(E39:E42)</f>
        <v>0</v>
      </c>
      <c r="F43" s="182">
        <f>SUM(F39:F42)</f>
        <v>0</v>
      </c>
      <c r="G43" s="182">
        <f>SUM(G39:G42)</f>
        <v>21997670</v>
      </c>
      <c r="H43" s="166"/>
      <c r="I43" s="205"/>
    </row>
    <row r="44" spans="1:9" ht="15.75" customHeight="1">
      <c r="A44" s="160"/>
      <c r="B44" s="192"/>
      <c r="C44" s="160"/>
      <c r="D44" s="193"/>
      <c r="E44" s="193"/>
    </row>
    <row r="45" spans="1:9" s="189" customFormat="1" ht="15.75">
      <c r="A45" s="936" t="s">
        <v>593</v>
      </c>
      <c r="B45" s="936"/>
      <c r="C45" s="936"/>
      <c r="D45" s="187">
        <f>+D35+D43</f>
        <v>207153915</v>
      </c>
      <c r="E45" s="187">
        <f>+E35+E43</f>
        <v>0</v>
      </c>
      <c r="F45" s="187">
        <f>+F35+F43</f>
        <v>20020604</v>
      </c>
      <c r="G45" s="187">
        <f>+G35+G43</f>
        <v>227174519</v>
      </c>
      <c r="H45" s="188"/>
    </row>
  </sheetData>
  <sheetProtection selectLockedCells="1" selectUnlockedCells="1"/>
  <mergeCells count="9">
    <mergeCell ref="B1:G1"/>
    <mergeCell ref="B2:G2"/>
    <mergeCell ref="A45:C45"/>
    <mergeCell ref="A7:G7"/>
    <mergeCell ref="A3:G3"/>
    <mergeCell ref="A4:G4"/>
    <mergeCell ref="B21:C21"/>
    <mergeCell ref="A23:G23"/>
    <mergeCell ref="A24:G24"/>
  </mergeCells>
  <phoneticPr fontId="43" type="noConversion"/>
  <printOptions horizontalCentered="1"/>
  <pageMargins left="0.39374999999999999" right="0.39374999999999999" top="0.78749999999999998" bottom="0.59027777777777768" header="0.51180555555555551" footer="0.51180555555555551"/>
  <pageSetup paperSize="9" scale="78" firstPageNumber="0" orientation="landscape" horizontalDpi="300" verticalDpi="300" r:id="rId1"/>
  <headerFooter alignWithMargins="0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310"/>
  <sheetViews>
    <sheetView view="pageBreakPreview" zoomScale="85" zoomScaleNormal="80" zoomScaleSheetLayoutView="85" workbookViewId="0">
      <selection activeCell="K1" sqref="K1"/>
    </sheetView>
  </sheetViews>
  <sheetFormatPr defaultRowHeight="16.5"/>
  <cols>
    <col min="1" max="1" width="5.85546875" style="97" bestFit="1" customWidth="1"/>
    <col min="2" max="2" width="7.7109375" style="44" bestFit="1" customWidth="1"/>
    <col min="3" max="3" width="65.42578125" style="44" customWidth="1"/>
    <col min="4" max="4" width="9.42578125" style="44" customWidth="1"/>
    <col min="5" max="5" width="9" style="44" bestFit="1" customWidth="1"/>
    <col min="6" max="6" width="12.42578125" style="44" bestFit="1" customWidth="1"/>
    <col min="7" max="7" width="10.28515625" style="44" bestFit="1" customWidth="1"/>
    <col min="8" max="8" width="10.42578125" style="12" bestFit="1" customWidth="1"/>
    <col min="9" max="9" width="9.5703125" style="12" bestFit="1" customWidth="1"/>
    <col min="10" max="10" width="12.140625" style="12" bestFit="1" customWidth="1"/>
    <col min="11" max="11" width="9.140625" style="12"/>
    <col min="12" max="16384" width="9.140625" style="11"/>
  </cols>
  <sheetData>
    <row r="1" spans="1:11" s="15" customFormat="1">
      <c r="A1" s="664"/>
      <c r="B1" s="666"/>
      <c r="C1" s="666"/>
      <c r="D1" s="666"/>
      <c r="E1" s="666"/>
      <c r="F1" s="666"/>
      <c r="G1" s="712"/>
      <c r="H1" s="667"/>
      <c r="I1" s="667"/>
      <c r="J1" s="667"/>
      <c r="K1" s="663" t="s">
        <v>93</v>
      </c>
    </row>
    <row r="2" spans="1:11" s="15" customFormat="1">
      <c r="A2" s="664"/>
      <c r="B2" s="666"/>
      <c r="C2" s="666"/>
      <c r="D2" s="666"/>
      <c r="E2" s="666"/>
      <c r="F2" s="666"/>
      <c r="G2" s="667"/>
      <c r="H2" s="667"/>
      <c r="I2" s="667"/>
      <c r="J2" s="667"/>
      <c r="K2" s="719"/>
    </row>
    <row r="3" spans="1:11" s="12" customFormat="1">
      <c r="A3" s="32"/>
      <c r="B3" s="32"/>
      <c r="C3" s="32" t="s">
        <v>503</v>
      </c>
      <c r="D3" s="32"/>
      <c r="E3" s="32"/>
      <c r="F3" s="32"/>
      <c r="G3" s="32"/>
      <c r="H3" s="667"/>
      <c r="I3" s="667"/>
      <c r="J3" s="667"/>
      <c r="K3" s="667"/>
    </row>
    <row r="4" spans="1:11" s="12" customFormat="1" ht="17.25" thickBot="1">
      <c r="A4" s="71"/>
      <c r="B4" s="71"/>
      <c r="C4" s="71" t="s">
        <v>604</v>
      </c>
      <c r="D4" s="71"/>
      <c r="E4" s="71"/>
      <c r="F4" s="71"/>
      <c r="G4" s="71"/>
      <c r="H4" s="669"/>
      <c r="I4" s="669"/>
      <c r="J4" s="669"/>
      <c r="K4" s="669"/>
    </row>
    <row r="5" spans="1:11" s="12" customFormat="1" ht="17.25" thickBot="1">
      <c r="A5" s="72"/>
      <c r="B5" s="73"/>
      <c r="C5" s="98"/>
      <c r="D5" s="730" t="s">
        <v>409</v>
      </c>
      <c r="E5" s="731"/>
      <c r="F5" s="731"/>
      <c r="G5" s="735"/>
      <c r="H5" s="733" t="s">
        <v>21</v>
      </c>
      <c r="I5" s="734"/>
      <c r="J5" s="734"/>
      <c r="K5" s="734"/>
    </row>
    <row r="6" spans="1:11" s="69" customFormat="1" ht="30.75" thickBot="1">
      <c r="A6" s="74"/>
      <c r="B6" s="75"/>
      <c r="C6" s="76"/>
      <c r="D6" s="104" t="s">
        <v>484</v>
      </c>
      <c r="E6" s="233" t="s">
        <v>562</v>
      </c>
      <c r="F6" s="234" t="s">
        <v>563</v>
      </c>
      <c r="G6" s="107" t="s">
        <v>564</v>
      </c>
      <c r="H6" s="104" t="s">
        <v>484</v>
      </c>
      <c r="I6" s="105" t="s">
        <v>562</v>
      </c>
      <c r="J6" s="105" t="s">
        <v>563</v>
      </c>
      <c r="K6" s="683" t="s">
        <v>564</v>
      </c>
    </row>
    <row r="7" spans="1:11" s="12" customFormat="1">
      <c r="A7" s="77" t="s">
        <v>424</v>
      </c>
      <c r="B7" s="78" t="s">
        <v>425</v>
      </c>
      <c r="C7" s="79" t="s">
        <v>426</v>
      </c>
      <c r="D7" s="210"/>
      <c r="E7" s="230"/>
      <c r="F7" s="230"/>
      <c r="G7" s="244"/>
      <c r="H7" s="210"/>
      <c r="I7" s="230"/>
      <c r="J7" s="230"/>
      <c r="K7" s="684"/>
    </row>
    <row r="8" spans="1:11" s="12" customFormat="1">
      <c r="A8" s="57"/>
      <c r="B8" s="80"/>
      <c r="C8" s="42"/>
      <c r="D8" s="208"/>
      <c r="E8" s="46"/>
      <c r="F8" s="46"/>
      <c r="G8" s="228"/>
      <c r="H8" s="208"/>
      <c r="I8" s="46"/>
      <c r="J8" s="46"/>
      <c r="K8" s="217"/>
    </row>
    <row r="9" spans="1:11" s="12" customFormat="1">
      <c r="A9" s="57">
        <v>101</v>
      </c>
      <c r="B9" s="80"/>
      <c r="C9" s="42" t="s">
        <v>595</v>
      </c>
      <c r="D9" s="208"/>
      <c r="E9" s="46"/>
      <c r="F9" s="46"/>
      <c r="G9" s="228"/>
      <c r="H9" s="208"/>
      <c r="I9" s="46"/>
      <c r="J9" s="46"/>
      <c r="K9" s="217"/>
    </row>
    <row r="10" spans="1:11" s="12" customFormat="1">
      <c r="A10" s="81"/>
      <c r="B10" s="58" t="s">
        <v>427</v>
      </c>
      <c r="C10" s="39" t="s">
        <v>455</v>
      </c>
      <c r="D10" s="209">
        <v>76676</v>
      </c>
      <c r="E10" s="43">
        <v>76676</v>
      </c>
      <c r="F10" s="43">
        <v>0</v>
      </c>
      <c r="G10" s="248">
        <v>0</v>
      </c>
      <c r="H10" s="209">
        <v>74268</v>
      </c>
      <c r="I10" s="43">
        <v>74268</v>
      </c>
      <c r="J10" s="43">
        <v>0</v>
      </c>
      <c r="K10" s="677">
        <v>0</v>
      </c>
    </row>
    <row r="11" spans="1:11" s="12" customFormat="1">
      <c r="A11" s="81"/>
      <c r="B11" s="58" t="s">
        <v>438</v>
      </c>
      <c r="C11" s="39" t="s">
        <v>631</v>
      </c>
      <c r="D11" s="209">
        <v>20584</v>
      </c>
      <c r="E11" s="43">
        <v>20584</v>
      </c>
      <c r="F11" s="43">
        <v>0</v>
      </c>
      <c r="G11" s="248">
        <v>0</v>
      </c>
      <c r="H11" s="209">
        <v>19979</v>
      </c>
      <c r="I11" s="43">
        <v>19979</v>
      </c>
      <c r="J11" s="43">
        <v>0</v>
      </c>
      <c r="K11" s="677">
        <v>0</v>
      </c>
    </row>
    <row r="12" spans="1:11" s="12" customFormat="1">
      <c r="A12" s="81"/>
      <c r="B12" s="58" t="s">
        <v>439</v>
      </c>
      <c r="C12" s="39" t="s">
        <v>489</v>
      </c>
      <c r="D12" s="209">
        <v>7588</v>
      </c>
      <c r="E12" s="43">
        <v>7588</v>
      </c>
      <c r="F12" s="43">
        <v>0</v>
      </c>
      <c r="G12" s="248">
        <v>0</v>
      </c>
      <c r="H12" s="209">
        <v>6970</v>
      </c>
      <c r="I12" s="43">
        <v>6970</v>
      </c>
      <c r="J12" s="43">
        <v>0</v>
      </c>
      <c r="K12" s="677">
        <v>0</v>
      </c>
    </row>
    <row r="13" spans="1:11" s="12" customFormat="1">
      <c r="A13" s="81"/>
      <c r="B13" s="58" t="s">
        <v>447</v>
      </c>
      <c r="C13" s="39" t="s">
        <v>614</v>
      </c>
      <c r="D13" s="209"/>
      <c r="E13" s="43"/>
      <c r="F13" s="43"/>
      <c r="G13" s="248"/>
      <c r="H13" s="209"/>
      <c r="I13" s="43"/>
      <c r="J13" s="43"/>
      <c r="K13" s="677"/>
    </row>
    <row r="14" spans="1:11" s="12" customFormat="1">
      <c r="A14" s="81"/>
      <c r="B14" s="58"/>
      <c r="C14" s="39" t="s">
        <v>608</v>
      </c>
      <c r="D14" s="209">
        <v>775</v>
      </c>
      <c r="E14" s="43">
        <v>775</v>
      </c>
      <c r="F14" s="43">
        <v>0</v>
      </c>
      <c r="G14" s="248">
        <v>0</v>
      </c>
      <c r="H14" s="209">
        <v>775</v>
      </c>
      <c r="I14" s="43">
        <v>775</v>
      </c>
      <c r="J14" s="43">
        <v>0</v>
      </c>
      <c r="K14" s="677">
        <v>0</v>
      </c>
    </row>
    <row r="15" spans="1:11" s="29" customFormat="1">
      <c r="A15" s="82"/>
      <c r="B15" s="83"/>
      <c r="C15" s="52" t="s">
        <v>617</v>
      </c>
      <c r="D15" s="149">
        <f t="shared" ref="D15:K15" si="0">SUM(D14)</f>
        <v>775</v>
      </c>
      <c r="E15" s="54">
        <f t="shared" si="0"/>
        <v>775</v>
      </c>
      <c r="F15" s="54">
        <f t="shared" si="0"/>
        <v>0</v>
      </c>
      <c r="G15" s="249">
        <f t="shared" si="0"/>
        <v>0</v>
      </c>
      <c r="H15" s="149">
        <f t="shared" si="0"/>
        <v>775</v>
      </c>
      <c r="I15" s="54">
        <f t="shared" si="0"/>
        <v>775</v>
      </c>
      <c r="J15" s="54">
        <f t="shared" si="0"/>
        <v>0</v>
      </c>
      <c r="K15" s="673">
        <f t="shared" si="0"/>
        <v>0</v>
      </c>
    </row>
    <row r="16" spans="1:11" s="12" customFormat="1">
      <c r="A16" s="81"/>
      <c r="B16" s="58" t="s">
        <v>449</v>
      </c>
      <c r="C16" s="39" t="s">
        <v>448</v>
      </c>
      <c r="D16" s="209"/>
      <c r="E16" s="43"/>
      <c r="F16" s="43"/>
      <c r="G16" s="248"/>
      <c r="H16" s="209"/>
      <c r="I16" s="43"/>
      <c r="J16" s="43"/>
      <c r="K16" s="677"/>
    </row>
    <row r="17" spans="1:11" s="12" customFormat="1">
      <c r="A17" s="81"/>
      <c r="B17" s="58"/>
      <c r="C17" s="39" t="s">
        <v>620</v>
      </c>
      <c r="D17" s="209">
        <v>1000</v>
      </c>
      <c r="E17" s="43">
        <v>1000</v>
      </c>
      <c r="F17" s="43"/>
      <c r="G17" s="248"/>
      <c r="H17" s="209">
        <v>2100</v>
      </c>
      <c r="I17" s="43">
        <v>2100</v>
      </c>
      <c r="J17" s="43"/>
      <c r="K17" s="677"/>
    </row>
    <row r="18" spans="1:11" s="29" customFormat="1">
      <c r="A18" s="82"/>
      <c r="B18" s="83"/>
      <c r="C18" s="52" t="s">
        <v>618</v>
      </c>
      <c r="D18" s="149">
        <f t="shared" ref="D18:K18" si="1">SUM(D17)</f>
        <v>1000</v>
      </c>
      <c r="E18" s="54">
        <f t="shared" si="1"/>
        <v>1000</v>
      </c>
      <c r="F18" s="54">
        <f t="shared" si="1"/>
        <v>0</v>
      </c>
      <c r="G18" s="249">
        <f t="shared" si="1"/>
        <v>0</v>
      </c>
      <c r="H18" s="149">
        <f t="shared" si="1"/>
        <v>2100</v>
      </c>
      <c r="I18" s="54">
        <f t="shared" si="1"/>
        <v>2100</v>
      </c>
      <c r="J18" s="54">
        <f t="shared" si="1"/>
        <v>0</v>
      </c>
      <c r="K18" s="673">
        <f t="shared" si="1"/>
        <v>0</v>
      </c>
    </row>
    <row r="19" spans="1:11" s="12" customFormat="1">
      <c r="A19" s="81"/>
      <c r="B19" s="58"/>
      <c r="C19" s="42" t="s">
        <v>430</v>
      </c>
      <c r="D19" s="151">
        <f t="shared" ref="D19:K19" si="2">D10+D11+D12+D15+D18</f>
        <v>106623</v>
      </c>
      <c r="E19" s="84">
        <f t="shared" si="2"/>
        <v>106623</v>
      </c>
      <c r="F19" s="84">
        <f t="shared" si="2"/>
        <v>0</v>
      </c>
      <c r="G19" s="363">
        <f t="shared" si="2"/>
        <v>0</v>
      </c>
      <c r="H19" s="151">
        <f t="shared" si="2"/>
        <v>104092</v>
      </c>
      <c r="I19" s="84">
        <f t="shared" si="2"/>
        <v>104092</v>
      </c>
      <c r="J19" s="84">
        <f t="shared" si="2"/>
        <v>0</v>
      </c>
      <c r="K19" s="685">
        <f t="shared" si="2"/>
        <v>0</v>
      </c>
    </row>
    <row r="20" spans="1:11" s="12" customFormat="1">
      <c r="A20" s="81"/>
      <c r="B20" s="58"/>
      <c r="C20" s="39"/>
      <c r="D20" s="211"/>
      <c r="E20" s="44"/>
      <c r="F20" s="44"/>
      <c r="G20" s="245"/>
      <c r="H20" s="211"/>
      <c r="I20" s="44"/>
      <c r="J20" s="44"/>
      <c r="K20" s="670"/>
    </row>
    <row r="21" spans="1:11" s="12" customFormat="1">
      <c r="A21" s="57">
        <v>102</v>
      </c>
      <c r="B21" s="80"/>
      <c r="C21" s="42" t="s">
        <v>596</v>
      </c>
      <c r="D21" s="212"/>
      <c r="E21" s="47"/>
      <c r="F21" s="47"/>
      <c r="G21" s="246"/>
      <c r="H21" s="212"/>
      <c r="I21" s="47"/>
      <c r="J21" s="47"/>
      <c r="K21" s="672"/>
    </row>
    <row r="22" spans="1:11" s="12" customFormat="1">
      <c r="A22" s="81"/>
      <c r="B22" s="58" t="s">
        <v>427</v>
      </c>
      <c r="C22" s="39" t="s">
        <v>455</v>
      </c>
      <c r="D22" s="209">
        <v>150000</v>
      </c>
      <c r="E22" s="43">
        <v>150000</v>
      </c>
      <c r="F22" s="43"/>
      <c r="G22" s="248"/>
      <c r="H22" s="209">
        <v>156007</v>
      </c>
      <c r="I22" s="43">
        <v>156007</v>
      </c>
      <c r="J22" s="43"/>
      <c r="K22" s="677"/>
    </row>
    <row r="23" spans="1:11" s="12" customFormat="1">
      <c r="A23" s="81"/>
      <c r="B23" s="58" t="s">
        <v>438</v>
      </c>
      <c r="C23" s="39" t="s">
        <v>631</v>
      </c>
      <c r="D23" s="209">
        <v>40000</v>
      </c>
      <c r="E23" s="43">
        <v>40000</v>
      </c>
      <c r="F23" s="43"/>
      <c r="G23" s="248"/>
      <c r="H23" s="209">
        <v>41789</v>
      </c>
      <c r="I23" s="43">
        <v>41789</v>
      </c>
      <c r="J23" s="43"/>
      <c r="K23" s="677"/>
    </row>
    <row r="24" spans="1:11" s="12" customFormat="1">
      <c r="A24" s="81"/>
      <c r="B24" s="58" t="s">
        <v>439</v>
      </c>
      <c r="C24" s="39" t="s">
        <v>489</v>
      </c>
      <c r="D24" s="209">
        <v>28000</v>
      </c>
      <c r="E24" s="43">
        <v>22142</v>
      </c>
      <c r="F24" s="43">
        <v>5858</v>
      </c>
      <c r="G24" s="248"/>
      <c r="H24" s="209">
        <v>28149</v>
      </c>
      <c r="I24" s="43">
        <v>22291</v>
      </c>
      <c r="J24" s="43">
        <v>5858</v>
      </c>
      <c r="K24" s="677"/>
    </row>
    <row r="25" spans="1:11" s="12" customFormat="1">
      <c r="A25" s="81"/>
      <c r="B25" s="58" t="s">
        <v>447</v>
      </c>
      <c r="C25" s="39" t="s">
        <v>614</v>
      </c>
      <c r="D25" s="209"/>
      <c r="E25" s="43"/>
      <c r="F25" s="43"/>
      <c r="G25" s="248"/>
      <c r="H25" s="209"/>
      <c r="I25" s="43"/>
      <c r="J25" s="43"/>
      <c r="K25" s="677"/>
    </row>
    <row r="26" spans="1:11" s="12" customFormat="1">
      <c r="A26" s="81"/>
      <c r="B26" s="58"/>
      <c r="C26" s="39" t="s">
        <v>608</v>
      </c>
      <c r="D26" s="209">
        <v>650</v>
      </c>
      <c r="E26" s="43">
        <v>650</v>
      </c>
      <c r="F26" s="43"/>
      <c r="G26" s="248"/>
      <c r="H26" s="209">
        <v>650</v>
      </c>
      <c r="I26" s="43">
        <v>650</v>
      </c>
      <c r="J26" s="43"/>
      <c r="K26" s="677"/>
    </row>
    <row r="27" spans="1:11" s="29" customFormat="1">
      <c r="A27" s="82"/>
      <c r="B27" s="83"/>
      <c r="C27" s="52" t="s">
        <v>617</v>
      </c>
      <c r="D27" s="149">
        <f t="shared" ref="D27:K27" si="3">SUM(D26:D26)</f>
        <v>650</v>
      </c>
      <c r="E27" s="54">
        <f t="shared" si="3"/>
        <v>650</v>
      </c>
      <c r="F27" s="54">
        <f t="shared" si="3"/>
        <v>0</v>
      </c>
      <c r="G27" s="249">
        <f t="shared" si="3"/>
        <v>0</v>
      </c>
      <c r="H27" s="149">
        <f t="shared" si="3"/>
        <v>650</v>
      </c>
      <c r="I27" s="54">
        <f t="shared" si="3"/>
        <v>650</v>
      </c>
      <c r="J27" s="54">
        <f t="shared" si="3"/>
        <v>0</v>
      </c>
      <c r="K27" s="673">
        <f t="shared" si="3"/>
        <v>0</v>
      </c>
    </row>
    <row r="28" spans="1:11" s="29" customFormat="1">
      <c r="A28" s="82"/>
      <c r="B28" s="58" t="s">
        <v>449</v>
      </c>
      <c r="C28" s="39" t="s">
        <v>448</v>
      </c>
      <c r="D28" s="209"/>
      <c r="E28" s="43"/>
      <c r="F28" s="43"/>
      <c r="G28" s="248"/>
      <c r="H28" s="209"/>
      <c r="I28" s="43"/>
      <c r="J28" s="43"/>
      <c r="K28" s="677"/>
    </row>
    <row r="29" spans="1:11" s="29" customFormat="1">
      <c r="A29" s="82"/>
      <c r="B29" s="83"/>
      <c r="C29" s="39" t="s">
        <v>621</v>
      </c>
      <c r="D29" s="209">
        <v>1160</v>
      </c>
      <c r="E29" s="43">
        <v>1160</v>
      </c>
      <c r="F29" s="43"/>
      <c r="G29" s="248"/>
      <c r="H29" s="209">
        <v>1160</v>
      </c>
      <c r="I29" s="43">
        <v>1160</v>
      </c>
      <c r="J29" s="43"/>
      <c r="K29" s="677"/>
    </row>
    <row r="30" spans="1:11" s="29" customFormat="1">
      <c r="A30" s="82"/>
      <c r="B30" s="83"/>
      <c r="C30" s="39" t="s">
        <v>632</v>
      </c>
      <c r="D30" s="209">
        <v>12000</v>
      </c>
      <c r="E30" s="43">
        <v>12000</v>
      </c>
      <c r="F30" s="43"/>
      <c r="G30" s="248"/>
      <c r="H30" s="209">
        <v>14886</v>
      </c>
      <c r="I30" s="43">
        <v>14886</v>
      </c>
      <c r="J30" s="43"/>
      <c r="K30" s="677"/>
    </row>
    <row r="31" spans="1:11" s="29" customFormat="1">
      <c r="A31" s="82"/>
      <c r="B31" s="83"/>
      <c r="C31" s="62" t="s">
        <v>161</v>
      </c>
      <c r="D31" s="227">
        <v>2100</v>
      </c>
      <c r="E31" s="91">
        <v>2100</v>
      </c>
      <c r="F31" s="91"/>
      <c r="G31" s="255"/>
      <c r="H31" s="227">
        <v>2100</v>
      </c>
      <c r="I31" s="91">
        <v>2100</v>
      </c>
      <c r="J31" s="91"/>
      <c r="K31" s="686"/>
    </row>
    <row r="32" spans="1:11" s="29" customFormat="1">
      <c r="A32" s="82"/>
      <c r="B32" s="83"/>
      <c r="C32" s="52" t="s">
        <v>619</v>
      </c>
      <c r="D32" s="149">
        <f t="shared" ref="D32:K32" si="4">SUM(D29:D31)</f>
        <v>15260</v>
      </c>
      <c r="E32" s="54">
        <f t="shared" si="4"/>
        <v>15260</v>
      </c>
      <c r="F32" s="54">
        <f t="shared" si="4"/>
        <v>0</v>
      </c>
      <c r="G32" s="249">
        <f t="shared" si="4"/>
        <v>0</v>
      </c>
      <c r="H32" s="149">
        <f t="shared" si="4"/>
        <v>18146</v>
      </c>
      <c r="I32" s="54">
        <f t="shared" si="4"/>
        <v>18146</v>
      </c>
      <c r="J32" s="54">
        <f t="shared" si="4"/>
        <v>0</v>
      </c>
      <c r="K32" s="673">
        <f t="shared" si="4"/>
        <v>0</v>
      </c>
    </row>
    <row r="33" spans="1:11" s="12" customFormat="1">
      <c r="A33" s="81"/>
      <c r="B33" s="58"/>
      <c r="C33" s="42" t="s">
        <v>495</v>
      </c>
      <c r="D33" s="151">
        <f t="shared" ref="D33:K33" si="5">D22+D23+D24+D32+D27</f>
        <v>233910</v>
      </c>
      <c r="E33" s="84">
        <f t="shared" si="5"/>
        <v>228052</v>
      </c>
      <c r="F33" s="84">
        <f t="shared" si="5"/>
        <v>5858</v>
      </c>
      <c r="G33" s="363">
        <f t="shared" si="5"/>
        <v>0</v>
      </c>
      <c r="H33" s="151">
        <f t="shared" si="5"/>
        <v>244741</v>
      </c>
      <c r="I33" s="84">
        <f t="shared" si="5"/>
        <v>238883</v>
      </c>
      <c r="J33" s="84">
        <f t="shared" si="5"/>
        <v>5858</v>
      </c>
      <c r="K33" s="685">
        <f t="shared" si="5"/>
        <v>0</v>
      </c>
    </row>
    <row r="34" spans="1:11" s="12" customFormat="1">
      <c r="A34" s="81"/>
      <c r="B34" s="58"/>
      <c r="C34" s="42"/>
      <c r="D34" s="208"/>
      <c r="E34" s="46"/>
      <c r="F34" s="46"/>
      <c r="G34" s="228"/>
      <c r="H34" s="208"/>
      <c r="I34" s="46"/>
      <c r="J34" s="46"/>
      <c r="K34" s="217"/>
    </row>
    <row r="35" spans="1:11" s="12" customFormat="1">
      <c r="A35" s="57">
        <v>103</v>
      </c>
      <c r="B35" s="80"/>
      <c r="C35" s="42" t="s">
        <v>602</v>
      </c>
      <c r="D35" s="212"/>
      <c r="E35" s="47"/>
      <c r="F35" s="47"/>
      <c r="G35" s="246"/>
      <c r="H35" s="212"/>
      <c r="I35" s="47"/>
      <c r="J35" s="47"/>
      <c r="K35" s="672"/>
    </row>
    <row r="36" spans="1:11" s="12" customFormat="1">
      <c r="A36" s="81"/>
      <c r="B36" s="58" t="s">
        <v>427</v>
      </c>
      <c r="C36" s="39" t="s">
        <v>455</v>
      </c>
      <c r="D36" s="209">
        <v>120962</v>
      </c>
      <c r="E36" s="43">
        <v>120962</v>
      </c>
      <c r="F36" s="43"/>
      <c r="G36" s="248"/>
      <c r="H36" s="209">
        <v>129737</v>
      </c>
      <c r="I36" s="43">
        <v>129737</v>
      </c>
      <c r="J36" s="43"/>
      <c r="K36" s="677"/>
    </row>
    <row r="37" spans="1:11" s="12" customFormat="1">
      <c r="A37" s="81"/>
      <c r="B37" s="58" t="s">
        <v>438</v>
      </c>
      <c r="C37" s="39" t="s">
        <v>631</v>
      </c>
      <c r="D37" s="209">
        <v>32226</v>
      </c>
      <c r="E37" s="43">
        <v>32226</v>
      </c>
      <c r="F37" s="43"/>
      <c r="G37" s="248"/>
      <c r="H37" s="209">
        <v>34776</v>
      </c>
      <c r="I37" s="43">
        <v>34776</v>
      </c>
      <c r="J37" s="43"/>
      <c r="K37" s="677"/>
    </row>
    <row r="38" spans="1:11" s="12" customFormat="1">
      <c r="A38" s="81"/>
      <c r="B38" s="58" t="s">
        <v>439</v>
      </c>
      <c r="C38" s="39" t="s">
        <v>489</v>
      </c>
      <c r="D38" s="209">
        <v>150000</v>
      </c>
      <c r="E38" s="43">
        <v>150000</v>
      </c>
      <c r="F38" s="43"/>
      <c r="G38" s="248"/>
      <c r="H38" s="209">
        <v>131941</v>
      </c>
      <c r="I38" s="43">
        <v>131941</v>
      </c>
      <c r="J38" s="43"/>
      <c r="K38" s="677"/>
    </row>
    <row r="39" spans="1:11" s="12" customFormat="1">
      <c r="A39" s="81"/>
      <c r="B39" s="58" t="s">
        <v>447</v>
      </c>
      <c r="C39" s="39" t="s">
        <v>614</v>
      </c>
      <c r="D39" s="209"/>
      <c r="E39" s="43"/>
      <c r="F39" s="43"/>
      <c r="G39" s="248"/>
      <c r="H39" s="209"/>
      <c r="I39" s="43"/>
      <c r="J39" s="43"/>
      <c r="K39" s="677"/>
    </row>
    <row r="40" spans="1:11" s="12" customFormat="1">
      <c r="A40" s="81"/>
      <c r="B40" s="58"/>
      <c r="C40" s="39" t="s">
        <v>623</v>
      </c>
      <c r="D40" s="209">
        <v>700</v>
      </c>
      <c r="E40" s="43">
        <v>700</v>
      </c>
      <c r="F40" s="43"/>
      <c r="G40" s="248"/>
      <c r="H40" s="209">
        <v>700</v>
      </c>
      <c r="I40" s="43">
        <v>700</v>
      </c>
      <c r="J40" s="43"/>
      <c r="K40" s="677"/>
    </row>
    <row r="41" spans="1:11" s="12" customFormat="1">
      <c r="A41" s="81"/>
      <c r="B41" s="58"/>
      <c r="C41" s="39" t="s">
        <v>624</v>
      </c>
      <c r="D41" s="209">
        <v>500</v>
      </c>
      <c r="E41" s="43">
        <v>500</v>
      </c>
      <c r="F41" s="43"/>
      <c r="G41" s="248"/>
      <c r="H41" s="209">
        <v>500</v>
      </c>
      <c r="I41" s="43">
        <v>500</v>
      </c>
      <c r="J41" s="43"/>
      <c r="K41" s="677"/>
    </row>
    <row r="42" spans="1:11" s="12" customFormat="1">
      <c r="A42" s="81"/>
      <c r="B42" s="58"/>
      <c r="C42" s="39" t="s">
        <v>625</v>
      </c>
      <c r="D42" s="209">
        <v>1200</v>
      </c>
      <c r="E42" s="43">
        <v>1200</v>
      </c>
      <c r="F42" s="43"/>
      <c r="G42" s="248"/>
      <c r="H42" s="209">
        <v>1200</v>
      </c>
      <c r="I42" s="43">
        <v>1200</v>
      </c>
      <c r="J42" s="43"/>
      <c r="K42" s="677"/>
    </row>
    <row r="43" spans="1:11" s="12" customFormat="1">
      <c r="A43" s="81"/>
      <c r="B43" s="58"/>
      <c r="C43" s="39" t="s">
        <v>622</v>
      </c>
      <c r="D43" s="209">
        <v>1890</v>
      </c>
      <c r="E43" s="43">
        <v>1890</v>
      </c>
      <c r="F43" s="43"/>
      <c r="G43" s="248"/>
      <c r="H43" s="209">
        <v>1890</v>
      </c>
      <c r="I43" s="43">
        <v>1890</v>
      </c>
      <c r="J43" s="43"/>
      <c r="K43" s="677"/>
    </row>
    <row r="44" spans="1:11" s="29" customFormat="1">
      <c r="A44" s="82"/>
      <c r="B44" s="83"/>
      <c r="C44" s="52" t="s">
        <v>483</v>
      </c>
      <c r="D44" s="149">
        <f t="shared" ref="D44:K44" si="6">SUM(D40:D43)</f>
        <v>4290</v>
      </c>
      <c r="E44" s="54">
        <f t="shared" si="6"/>
        <v>4290</v>
      </c>
      <c r="F44" s="54">
        <f t="shared" si="6"/>
        <v>0</v>
      </c>
      <c r="G44" s="55">
        <f t="shared" si="6"/>
        <v>0</v>
      </c>
      <c r="H44" s="149">
        <f t="shared" si="6"/>
        <v>4290</v>
      </c>
      <c r="I44" s="54">
        <f t="shared" si="6"/>
        <v>4290</v>
      </c>
      <c r="J44" s="54">
        <f t="shared" si="6"/>
        <v>0</v>
      </c>
      <c r="K44" s="676">
        <f t="shared" si="6"/>
        <v>0</v>
      </c>
    </row>
    <row r="45" spans="1:11" s="29" customFormat="1">
      <c r="A45" s="82"/>
      <c r="B45" s="58" t="s">
        <v>449</v>
      </c>
      <c r="C45" s="39" t="s">
        <v>448</v>
      </c>
      <c r="D45" s="149"/>
      <c r="E45" s="54"/>
      <c r="F45" s="54"/>
      <c r="G45" s="55"/>
      <c r="H45" s="149"/>
      <c r="I45" s="54"/>
      <c r="J45" s="54"/>
      <c r="K45" s="676"/>
    </row>
    <row r="46" spans="1:11" s="29" customFormat="1">
      <c r="A46" s="82"/>
      <c r="B46" s="58"/>
      <c r="C46" s="39" t="s">
        <v>626</v>
      </c>
      <c r="D46" s="149">
        <v>500</v>
      </c>
      <c r="E46" s="54">
        <v>500</v>
      </c>
      <c r="F46" s="54"/>
      <c r="G46" s="55"/>
      <c r="H46" s="149">
        <v>500</v>
      </c>
      <c r="I46" s="54">
        <v>500</v>
      </c>
      <c r="J46" s="54"/>
      <c r="K46" s="676"/>
    </row>
    <row r="47" spans="1:11" s="29" customFormat="1">
      <c r="A47" s="82"/>
      <c r="B47" s="83"/>
      <c r="C47" s="52" t="s">
        <v>618</v>
      </c>
      <c r="D47" s="149">
        <f t="shared" ref="D47:K47" si="7">SUM(D46)</f>
        <v>500</v>
      </c>
      <c r="E47" s="54">
        <f t="shared" si="7"/>
        <v>500</v>
      </c>
      <c r="F47" s="54">
        <f t="shared" si="7"/>
        <v>0</v>
      </c>
      <c r="G47" s="249">
        <f t="shared" si="7"/>
        <v>0</v>
      </c>
      <c r="H47" s="149">
        <f t="shared" si="7"/>
        <v>500</v>
      </c>
      <c r="I47" s="54">
        <f t="shared" si="7"/>
        <v>500</v>
      </c>
      <c r="J47" s="54">
        <f t="shared" si="7"/>
        <v>0</v>
      </c>
      <c r="K47" s="673">
        <f t="shared" si="7"/>
        <v>0</v>
      </c>
    </row>
    <row r="48" spans="1:11" s="12" customFormat="1">
      <c r="A48" s="81"/>
      <c r="B48" s="58"/>
      <c r="C48" s="42" t="s">
        <v>446</v>
      </c>
      <c r="D48" s="151">
        <f t="shared" ref="D48:K48" si="8">SUM(D36:D38)+D44+D47</f>
        <v>307978</v>
      </c>
      <c r="E48" s="84">
        <f t="shared" si="8"/>
        <v>307978</v>
      </c>
      <c r="F48" s="84">
        <f t="shared" si="8"/>
        <v>0</v>
      </c>
      <c r="G48" s="363">
        <f t="shared" si="8"/>
        <v>0</v>
      </c>
      <c r="H48" s="151">
        <f t="shared" si="8"/>
        <v>301244</v>
      </c>
      <c r="I48" s="84">
        <f t="shared" si="8"/>
        <v>301244</v>
      </c>
      <c r="J48" s="84">
        <f t="shared" si="8"/>
        <v>0</v>
      </c>
      <c r="K48" s="685">
        <f t="shared" si="8"/>
        <v>0</v>
      </c>
    </row>
    <row r="49" spans="1:11" s="12" customFormat="1">
      <c r="A49" s="81"/>
      <c r="B49" s="58"/>
      <c r="C49" s="39"/>
      <c r="D49" s="211"/>
      <c r="E49" s="44"/>
      <c r="F49" s="44"/>
      <c r="G49" s="245"/>
      <c r="H49" s="211"/>
      <c r="I49" s="44"/>
      <c r="J49" s="44"/>
      <c r="K49" s="670"/>
    </row>
    <row r="50" spans="1:11" s="12" customFormat="1">
      <c r="A50" s="57">
        <v>104</v>
      </c>
      <c r="B50" s="58"/>
      <c r="C50" s="42" t="s">
        <v>597</v>
      </c>
      <c r="D50" s="212"/>
      <c r="E50" s="47"/>
      <c r="F50" s="47"/>
      <c r="G50" s="246"/>
      <c r="H50" s="212"/>
      <c r="I50" s="47"/>
      <c r="J50" s="47"/>
      <c r="K50" s="672"/>
    </row>
    <row r="51" spans="1:11" s="12" customFormat="1">
      <c r="A51" s="81"/>
      <c r="B51" s="58" t="s">
        <v>427</v>
      </c>
      <c r="C51" s="39" t="s">
        <v>455</v>
      </c>
      <c r="D51" s="209">
        <v>14050</v>
      </c>
      <c r="E51" s="43">
        <v>14050</v>
      </c>
      <c r="F51" s="43"/>
      <c r="G51" s="248"/>
      <c r="H51" s="209">
        <v>16426</v>
      </c>
      <c r="I51" s="43">
        <v>16426</v>
      </c>
      <c r="J51" s="43"/>
      <c r="K51" s="677"/>
    </row>
    <row r="52" spans="1:11" s="12" customFormat="1">
      <c r="A52" s="81"/>
      <c r="B52" s="58" t="s">
        <v>438</v>
      </c>
      <c r="C52" s="39" t="s">
        <v>631</v>
      </c>
      <c r="D52" s="209">
        <v>3750</v>
      </c>
      <c r="E52" s="43">
        <v>3750</v>
      </c>
      <c r="F52" s="43"/>
      <c r="G52" s="248"/>
      <c r="H52" s="209">
        <v>4440</v>
      </c>
      <c r="I52" s="43">
        <v>4440</v>
      </c>
      <c r="J52" s="43"/>
      <c r="K52" s="677"/>
    </row>
    <row r="53" spans="1:11" s="12" customFormat="1">
      <c r="A53" s="81"/>
      <c r="B53" s="58" t="s">
        <v>439</v>
      </c>
      <c r="C53" s="39" t="s">
        <v>489</v>
      </c>
      <c r="D53" s="209">
        <v>11884</v>
      </c>
      <c r="E53" s="43">
        <v>11884</v>
      </c>
      <c r="F53" s="43"/>
      <c r="G53" s="248"/>
      <c r="H53" s="209">
        <v>14562</v>
      </c>
      <c r="I53" s="43">
        <v>14562</v>
      </c>
      <c r="J53" s="43"/>
      <c r="K53" s="677"/>
    </row>
    <row r="54" spans="1:11" s="12" customFormat="1">
      <c r="A54" s="81"/>
      <c r="B54" s="58" t="s">
        <v>447</v>
      </c>
      <c r="C54" s="39" t="s">
        <v>614</v>
      </c>
      <c r="D54" s="209"/>
      <c r="E54" s="43"/>
      <c r="F54" s="43"/>
      <c r="G54" s="248"/>
      <c r="H54" s="209"/>
      <c r="I54" s="43"/>
      <c r="J54" s="43"/>
      <c r="K54" s="677"/>
    </row>
    <row r="55" spans="1:11" s="12" customFormat="1">
      <c r="A55" s="81"/>
      <c r="B55" s="58"/>
      <c r="C55" s="39" t="s">
        <v>608</v>
      </c>
      <c r="D55" s="209">
        <v>500</v>
      </c>
      <c r="E55" s="43">
        <v>500</v>
      </c>
      <c r="F55" s="43"/>
      <c r="G55" s="248"/>
      <c r="H55" s="209">
        <v>500</v>
      </c>
      <c r="I55" s="43">
        <v>500</v>
      </c>
      <c r="J55" s="43"/>
      <c r="K55" s="677"/>
    </row>
    <row r="56" spans="1:11" s="12" customFormat="1">
      <c r="A56" s="81"/>
      <c r="B56" s="83"/>
      <c r="C56" s="52" t="s">
        <v>617</v>
      </c>
      <c r="D56" s="209">
        <f t="shared" ref="D56:K56" si="9">SUM(D55)</f>
        <v>500</v>
      </c>
      <c r="E56" s="43">
        <f t="shared" si="9"/>
        <v>500</v>
      </c>
      <c r="F56" s="43">
        <f t="shared" si="9"/>
        <v>0</v>
      </c>
      <c r="G56" s="248">
        <f t="shared" si="9"/>
        <v>0</v>
      </c>
      <c r="H56" s="209">
        <f t="shared" si="9"/>
        <v>500</v>
      </c>
      <c r="I56" s="43">
        <f t="shared" si="9"/>
        <v>500</v>
      </c>
      <c r="J56" s="43">
        <f t="shared" si="9"/>
        <v>0</v>
      </c>
      <c r="K56" s="677">
        <f t="shared" si="9"/>
        <v>0</v>
      </c>
    </row>
    <row r="57" spans="1:11" s="12" customFormat="1">
      <c r="A57" s="81"/>
      <c r="B57" s="58"/>
      <c r="C57" s="42" t="s">
        <v>605</v>
      </c>
      <c r="D57" s="151">
        <f t="shared" ref="D57:K57" si="10">SUM(D51:D53)+D56</f>
        <v>30184</v>
      </c>
      <c r="E57" s="84">
        <f t="shared" si="10"/>
        <v>30184</v>
      </c>
      <c r="F57" s="84">
        <f t="shared" si="10"/>
        <v>0</v>
      </c>
      <c r="G57" s="363">
        <f t="shared" si="10"/>
        <v>0</v>
      </c>
      <c r="H57" s="151">
        <f t="shared" si="10"/>
        <v>35928</v>
      </c>
      <c r="I57" s="84">
        <f t="shared" si="10"/>
        <v>35928</v>
      </c>
      <c r="J57" s="84">
        <f t="shared" si="10"/>
        <v>0</v>
      </c>
      <c r="K57" s="685">
        <f t="shared" si="10"/>
        <v>0</v>
      </c>
    </row>
    <row r="58" spans="1:11" s="12" customFormat="1">
      <c r="A58" s="81"/>
      <c r="B58" s="58"/>
      <c r="C58" s="42"/>
      <c r="D58" s="212"/>
      <c r="E58" s="47"/>
      <c r="F58" s="47"/>
      <c r="G58" s="246"/>
      <c r="H58" s="212"/>
      <c r="I58" s="47"/>
      <c r="J58" s="47"/>
      <c r="K58" s="672"/>
    </row>
    <row r="59" spans="1:11" s="12" customFormat="1">
      <c r="A59" s="81"/>
      <c r="B59" s="58"/>
      <c r="C59" s="42" t="s">
        <v>601</v>
      </c>
      <c r="D59" s="151">
        <f t="shared" ref="D59:K59" si="11">SUM(D19,D33,D48,D57)</f>
        <v>678695</v>
      </c>
      <c r="E59" s="84">
        <f t="shared" si="11"/>
        <v>672837</v>
      </c>
      <c r="F59" s="84">
        <f t="shared" si="11"/>
        <v>5858</v>
      </c>
      <c r="G59" s="363">
        <f t="shared" si="11"/>
        <v>0</v>
      </c>
      <c r="H59" s="151">
        <f t="shared" si="11"/>
        <v>686005</v>
      </c>
      <c r="I59" s="84">
        <f t="shared" si="11"/>
        <v>680147</v>
      </c>
      <c r="J59" s="84">
        <f t="shared" si="11"/>
        <v>5858</v>
      </c>
      <c r="K59" s="685">
        <f t="shared" si="11"/>
        <v>0</v>
      </c>
    </row>
    <row r="60" spans="1:11" s="12" customFormat="1">
      <c r="A60" s="81"/>
      <c r="B60" s="58"/>
      <c r="C60" s="42"/>
      <c r="D60" s="212"/>
      <c r="E60" s="47"/>
      <c r="F60" s="47"/>
      <c r="G60" s="246"/>
      <c r="H60" s="212"/>
      <c r="I60" s="47"/>
      <c r="J60" s="47"/>
      <c r="K60" s="672"/>
    </row>
    <row r="61" spans="1:11" s="12" customFormat="1">
      <c r="A61" s="57">
        <v>105</v>
      </c>
      <c r="B61" s="58"/>
      <c r="C61" s="42" t="s">
        <v>603</v>
      </c>
      <c r="D61" s="212"/>
      <c r="E61" s="47"/>
      <c r="F61" s="47"/>
      <c r="G61" s="246"/>
      <c r="H61" s="212"/>
      <c r="I61" s="47"/>
      <c r="J61" s="47"/>
      <c r="K61" s="672"/>
    </row>
    <row r="62" spans="1:11" s="12" customFormat="1">
      <c r="A62" s="81"/>
      <c r="B62" s="58" t="s">
        <v>427</v>
      </c>
      <c r="C62" s="39" t="s">
        <v>455</v>
      </c>
      <c r="D62" s="209">
        <v>195275</v>
      </c>
      <c r="E62" s="43">
        <v>195275</v>
      </c>
      <c r="F62" s="43"/>
      <c r="G62" s="248"/>
      <c r="H62" s="209">
        <v>201113</v>
      </c>
      <c r="I62" s="43">
        <v>201113</v>
      </c>
      <c r="J62" s="43"/>
      <c r="K62" s="677"/>
    </row>
    <row r="63" spans="1:11" s="12" customFormat="1">
      <c r="A63" s="81"/>
      <c r="B63" s="58" t="s">
        <v>438</v>
      </c>
      <c r="C63" s="39" t="s">
        <v>631</v>
      </c>
      <c r="D63" s="209">
        <v>52825</v>
      </c>
      <c r="E63" s="43">
        <v>52825</v>
      </c>
      <c r="F63" s="43"/>
      <c r="G63" s="248"/>
      <c r="H63" s="209">
        <v>53863</v>
      </c>
      <c r="I63" s="43">
        <v>53863</v>
      </c>
      <c r="J63" s="43"/>
      <c r="K63" s="677"/>
    </row>
    <row r="64" spans="1:11" s="12" customFormat="1">
      <c r="A64" s="81"/>
      <c r="B64" s="58" t="s">
        <v>439</v>
      </c>
      <c r="C64" s="39" t="s">
        <v>489</v>
      </c>
      <c r="D64" s="209"/>
      <c r="E64" s="43"/>
      <c r="F64" s="43"/>
      <c r="G64" s="248"/>
      <c r="H64" s="209"/>
      <c r="I64" s="43"/>
      <c r="J64" s="43"/>
      <c r="K64" s="677"/>
    </row>
    <row r="65" spans="1:11" s="12" customFormat="1">
      <c r="A65" s="81"/>
      <c r="B65" s="58"/>
      <c r="C65" s="39" t="s">
        <v>676</v>
      </c>
      <c r="D65" s="209">
        <v>85000</v>
      </c>
      <c r="E65" s="43">
        <v>85000</v>
      </c>
      <c r="F65" s="43"/>
      <c r="G65" s="248"/>
      <c r="H65" s="209">
        <v>83000</v>
      </c>
      <c r="I65" s="43">
        <v>83000</v>
      </c>
      <c r="J65" s="43"/>
      <c r="K65" s="677"/>
    </row>
    <row r="66" spans="1:11" s="12" customFormat="1">
      <c r="A66" s="81"/>
      <c r="B66" s="58"/>
      <c r="C66" s="39" t="s">
        <v>677</v>
      </c>
      <c r="D66" s="209">
        <v>2500</v>
      </c>
      <c r="E66" s="43">
        <v>2500</v>
      </c>
      <c r="F66" s="43"/>
      <c r="G66" s="248"/>
      <c r="H66" s="209">
        <v>2500</v>
      </c>
      <c r="I66" s="43">
        <v>2500</v>
      </c>
      <c r="J66" s="43"/>
      <c r="K66" s="677"/>
    </row>
    <row r="67" spans="1:11" s="29" customFormat="1">
      <c r="A67" s="82"/>
      <c r="B67" s="83"/>
      <c r="C67" s="52" t="s">
        <v>674</v>
      </c>
      <c r="D67" s="149">
        <f>SUM(D65:D66)</f>
        <v>87500</v>
      </c>
      <c r="E67" s="54">
        <f>SUM(E65:E66)</f>
        <v>87500</v>
      </c>
      <c r="F67" s="54"/>
      <c r="G67" s="249"/>
      <c r="H67" s="149">
        <f>SUM(H65:H66)</f>
        <v>85500</v>
      </c>
      <c r="I67" s="54">
        <f>SUM(I65:I66)</f>
        <v>85500</v>
      </c>
      <c r="J67" s="54"/>
      <c r="K67" s="673"/>
    </row>
    <row r="68" spans="1:11" s="12" customFormat="1">
      <c r="A68" s="81"/>
      <c r="B68" s="58" t="s">
        <v>447</v>
      </c>
      <c r="C68" s="39" t="s">
        <v>614</v>
      </c>
      <c r="D68" s="209"/>
      <c r="E68" s="43"/>
      <c r="F68" s="43"/>
      <c r="G68" s="248"/>
      <c r="H68" s="209"/>
      <c r="I68" s="43"/>
      <c r="J68" s="43"/>
      <c r="K68" s="677"/>
    </row>
    <row r="69" spans="1:11" s="12" customFormat="1">
      <c r="A69" s="81"/>
      <c r="B69" s="58"/>
      <c r="C69" s="39" t="s">
        <v>639</v>
      </c>
      <c r="D69" s="209">
        <v>1500</v>
      </c>
      <c r="E69" s="43">
        <v>1500</v>
      </c>
      <c r="F69" s="43"/>
      <c r="G69" s="248"/>
      <c r="H69" s="209">
        <v>3500</v>
      </c>
      <c r="I69" s="43">
        <v>3500</v>
      </c>
      <c r="J69" s="43"/>
      <c r="K69" s="677"/>
    </row>
    <row r="70" spans="1:11" s="12" customFormat="1">
      <c r="A70" s="81"/>
      <c r="B70" s="58"/>
      <c r="C70" s="39" t="s">
        <v>640</v>
      </c>
      <c r="D70" s="209">
        <v>2000</v>
      </c>
      <c r="E70" s="43">
        <v>2000</v>
      </c>
      <c r="F70" s="43"/>
      <c r="G70" s="248"/>
      <c r="H70" s="209">
        <v>2000</v>
      </c>
      <c r="I70" s="43">
        <v>2000</v>
      </c>
      <c r="J70" s="43"/>
      <c r="K70" s="677"/>
    </row>
    <row r="71" spans="1:11" s="12" customFormat="1">
      <c r="A71" s="81"/>
      <c r="B71" s="58"/>
      <c r="C71" s="39" t="s">
        <v>641</v>
      </c>
      <c r="D71" s="209">
        <v>700</v>
      </c>
      <c r="E71" s="43">
        <v>700</v>
      </c>
      <c r="F71" s="43"/>
      <c r="G71" s="248"/>
      <c r="H71" s="209">
        <v>700</v>
      </c>
      <c r="I71" s="43">
        <v>700</v>
      </c>
      <c r="J71" s="43"/>
      <c r="K71" s="677"/>
    </row>
    <row r="72" spans="1:11" s="12" customFormat="1">
      <c r="A72" s="81"/>
      <c r="B72" s="58"/>
      <c r="C72" s="39" t="s">
        <v>671</v>
      </c>
      <c r="D72" s="209">
        <v>3000</v>
      </c>
      <c r="E72" s="43">
        <v>3000</v>
      </c>
      <c r="F72" s="43"/>
      <c r="G72" s="248"/>
      <c r="H72" s="209">
        <v>6000</v>
      </c>
      <c r="I72" s="43">
        <v>6000</v>
      </c>
      <c r="J72" s="43"/>
      <c r="K72" s="677"/>
    </row>
    <row r="73" spans="1:11" s="12" customFormat="1">
      <c r="A73" s="82"/>
      <c r="B73" s="83"/>
      <c r="C73" s="52" t="s">
        <v>627</v>
      </c>
      <c r="D73" s="149">
        <f t="shared" ref="D73:K73" si="12">SUM(D69:D72)</f>
        <v>7200</v>
      </c>
      <c r="E73" s="54">
        <f t="shared" si="12"/>
        <v>7200</v>
      </c>
      <c r="F73" s="54">
        <f t="shared" si="12"/>
        <v>0</v>
      </c>
      <c r="G73" s="249">
        <f t="shared" si="12"/>
        <v>0</v>
      </c>
      <c r="H73" s="149">
        <f t="shared" si="12"/>
        <v>12200</v>
      </c>
      <c r="I73" s="54">
        <f t="shared" si="12"/>
        <v>12200</v>
      </c>
      <c r="J73" s="54">
        <f t="shared" si="12"/>
        <v>0</v>
      </c>
      <c r="K73" s="673">
        <f t="shared" si="12"/>
        <v>0</v>
      </c>
    </row>
    <row r="74" spans="1:11" s="12" customFormat="1">
      <c r="A74" s="81"/>
      <c r="B74" s="58"/>
      <c r="C74" s="42" t="s">
        <v>432</v>
      </c>
      <c r="D74" s="208">
        <f t="shared" ref="D74:K74" si="13">D62+D63+D67+D73</f>
        <v>342800</v>
      </c>
      <c r="E74" s="46">
        <f t="shared" si="13"/>
        <v>342800</v>
      </c>
      <c r="F74" s="46">
        <f t="shared" si="13"/>
        <v>0</v>
      </c>
      <c r="G74" s="228">
        <f t="shared" si="13"/>
        <v>0</v>
      </c>
      <c r="H74" s="208">
        <f t="shared" si="13"/>
        <v>352676</v>
      </c>
      <c r="I74" s="46">
        <f t="shared" si="13"/>
        <v>352676</v>
      </c>
      <c r="J74" s="46">
        <f t="shared" si="13"/>
        <v>0</v>
      </c>
      <c r="K74" s="217">
        <f t="shared" si="13"/>
        <v>0</v>
      </c>
    </row>
    <row r="75" spans="1:11" s="12" customFormat="1">
      <c r="A75" s="81"/>
      <c r="B75" s="58"/>
      <c r="C75" s="60"/>
      <c r="D75" s="218"/>
      <c r="E75" s="225"/>
      <c r="F75" s="225"/>
      <c r="G75" s="364"/>
      <c r="H75" s="218"/>
      <c r="I75" s="225"/>
      <c r="J75" s="225"/>
      <c r="K75" s="687"/>
    </row>
    <row r="76" spans="1:11" s="12" customFormat="1">
      <c r="A76" s="57">
        <v>106</v>
      </c>
      <c r="B76" s="58"/>
      <c r="C76" s="42" t="s">
        <v>503</v>
      </c>
      <c r="D76" s="212"/>
      <c r="E76" s="47"/>
      <c r="F76" s="47"/>
      <c r="G76" s="246"/>
      <c r="H76" s="212"/>
      <c r="I76" s="47"/>
      <c r="J76" s="47"/>
      <c r="K76" s="672"/>
    </row>
    <row r="77" spans="1:11" s="12" customFormat="1">
      <c r="A77" s="81"/>
      <c r="B77" s="58" t="s">
        <v>427</v>
      </c>
      <c r="C77" s="39" t="s">
        <v>455</v>
      </c>
      <c r="D77" s="150"/>
      <c r="E77" s="61"/>
      <c r="F77" s="61"/>
      <c r="G77" s="365"/>
      <c r="H77" s="150"/>
      <c r="I77" s="61"/>
      <c r="J77" s="61"/>
      <c r="K77" s="152"/>
    </row>
    <row r="78" spans="1:11" s="12" customFormat="1">
      <c r="A78" s="81"/>
      <c r="B78" s="58"/>
      <c r="C78" s="39" t="s">
        <v>642</v>
      </c>
      <c r="D78" s="209">
        <v>3527</v>
      </c>
      <c r="E78" s="43"/>
      <c r="F78" s="43">
        <v>3527</v>
      </c>
      <c r="G78" s="248"/>
      <c r="H78" s="209">
        <v>3527</v>
      </c>
      <c r="I78" s="43"/>
      <c r="J78" s="43">
        <v>3527</v>
      </c>
      <c r="K78" s="677"/>
    </row>
    <row r="79" spans="1:11" s="12" customFormat="1">
      <c r="A79" s="81"/>
      <c r="B79" s="58"/>
      <c r="C79" s="39" t="s">
        <v>643</v>
      </c>
      <c r="D79" s="209">
        <v>1391</v>
      </c>
      <c r="E79" s="43"/>
      <c r="F79" s="43">
        <v>1391</v>
      </c>
      <c r="G79" s="248"/>
      <c r="H79" s="209">
        <v>8336</v>
      </c>
      <c r="I79" s="43"/>
      <c r="J79" s="43">
        <v>8336</v>
      </c>
      <c r="K79" s="677"/>
    </row>
    <row r="80" spans="1:11" s="12" customFormat="1">
      <c r="A80" s="81"/>
      <c r="B80" s="58"/>
      <c r="C80" s="39" t="s">
        <v>644</v>
      </c>
      <c r="D80" s="209">
        <v>22460</v>
      </c>
      <c r="E80" s="43">
        <v>22460</v>
      </c>
      <c r="F80" s="43"/>
      <c r="G80" s="248"/>
      <c r="H80" s="209">
        <v>22460</v>
      </c>
      <c r="I80" s="43">
        <v>22460</v>
      </c>
      <c r="J80" s="43"/>
      <c r="K80" s="677"/>
    </row>
    <row r="81" spans="1:11" s="12" customFormat="1">
      <c r="A81" s="81"/>
      <c r="B81" s="58"/>
      <c r="C81" s="39" t="s">
        <v>645</v>
      </c>
      <c r="D81" s="209">
        <v>9757</v>
      </c>
      <c r="E81" s="43"/>
      <c r="F81" s="43">
        <v>9757</v>
      </c>
      <c r="G81" s="248"/>
      <c r="H81" s="209">
        <v>10379</v>
      </c>
      <c r="I81" s="43"/>
      <c r="J81" s="43">
        <v>10379</v>
      </c>
      <c r="K81" s="677"/>
    </row>
    <row r="82" spans="1:11" s="12" customFormat="1">
      <c r="A82" s="81"/>
      <c r="B82" s="58"/>
      <c r="C82" s="39" t="s">
        <v>646</v>
      </c>
      <c r="D82" s="209">
        <v>8208</v>
      </c>
      <c r="E82" s="43"/>
      <c r="F82" s="43">
        <v>8208</v>
      </c>
      <c r="G82" s="248"/>
      <c r="H82" s="209">
        <v>8208</v>
      </c>
      <c r="I82" s="43"/>
      <c r="J82" s="43">
        <v>8208</v>
      </c>
      <c r="K82" s="677"/>
    </row>
    <row r="83" spans="1:11" s="12" customFormat="1">
      <c r="A83" s="81"/>
      <c r="B83" s="58"/>
      <c r="C83" s="39" t="s">
        <v>673</v>
      </c>
      <c r="D83" s="209">
        <v>840</v>
      </c>
      <c r="E83" s="43">
        <v>840</v>
      </c>
      <c r="F83" s="43"/>
      <c r="G83" s="248"/>
      <c r="H83" s="209">
        <v>840</v>
      </c>
      <c r="I83" s="43">
        <v>840</v>
      </c>
      <c r="J83" s="43"/>
      <c r="K83" s="677"/>
    </row>
    <row r="84" spans="1:11" s="12" customFormat="1">
      <c r="A84" s="81"/>
      <c r="B84" s="58"/>
      <c r="C84" s="60" t="s">
        <v>547</v>
      </c>
      <c r="D84" s="150">
        <f t="shared" ref="D84:K84" si="14">SUM(D78:D83)</f>
        <v>46183</v>
      </c>
      <c r="E84" s="61">
        <f t="shared" si="14"/>
        <v>23300</v>
      </c>
      <c r="F84" s="61">
        <f t="shared" si="14"/>
        <v>22883</v>
      </c>
      <c r="G84" s="365">
        <f t="shared" si="14"/>
        <v>0</v>
      </c>
      <c r="H84" s="150">
        <f t="shared" si="14"/>
        <v>53750</v>
      </c>
      <c r="I84" s="61">
        <f t="shared" si="14"/>
        <v>23300</v>
      </c>
      <c r="J84" s="61">
        <f t="shared" si="14"/>
        <v>30450</v>
      </c>
      <c r="K84" s="152">
        <f t="shared" si="14"/>
        <v>0</v>
      </c>
    </row>
    <row r="85" spans="1:11" s="12" customFormat="1">
      <c r="A85" s="81"/>
      <c r="B85" s="58"/>
      <c r="C85" s="60"/>
      <c r="D85" s="150"/>
      <c r="E85" s="61"/>
      <c r="F85" s="61"/>
      <c r="G85" s="365"/>
      <c r="H85" s="150"/>
      <c r="I85" s="61"/>
      <c r="J85" s="61"/>
      <c r="K85" s="152"/>
    </row>
    <row r="86" spans="1:11" s="12" customFormat="1">
      <c r="A86" s="81"/>
      <c r="B86" s="58" t="s">
        <v>438</v>
      </c>
      <c r="C86" s="39" t="s">
        <v>631</v>
      </c>
      <c r="D86" s="150"/>
      <c r="E86" s="61"/>
      <c r="F86" s="61"/>
      <c r="G86" s="365"/>
      <c r="H86" s="150"/>
      <c r="I86" s="61"/>
      <c r="J86" s="61"/>
      <c r="K86" s="152"/>
    </row>
    <row r="87" spans="1:11" s="12" customFormat="1">
      <c r="A87" s="81"/>
      <c r="B87" s="58"/>
      <c r="C87" s="39" t="s">
        <v>642</v>
      </c>
      <c r="D87" s="209">
        <v>952</v>
      </c>
      <c r="E87" s="43"/>
      <c r="F87" s="43">
        <v>952</v>
      </c>
      <c r="G87" s="248"/>
      <c r="H87" s="209">
        <v>952</v>
      </c>
      <c r="I87" s="43"/>
      <c r="J87" s="43">
        <v>952</v>
      </c>
      <c r="K87" s="677"/>
    </row>
    <row r="88" spans="1:11" s="29" customFormat="1">
      <c r="A88" s="82"/>
      <c r="B88" s="83"/>
      <c r="C88" s="39" t="s">
        <v>643</v>
      </c>
      <c r="D88" s="209">
        <v>188</v>
      </c>
      <c r="E88" s="43"/>
      <c r="F88" s="43">
        <v>188</v>
      </c>
      <c r="G88" s="248"/>
      <c r="H88" s="209">
        <v>1127</v>
      </c>
      <c r="I88" s="43"/>
      <c r="J88" s="43">
        <v>1127</v>
      </c>
      <c r="K88" s="673"/>
    </row>
    <row r="89" spans="1:11" s="12" customFormat="1">
      <c r="A89" s="81"/>
      <c r="B89" s="58"/>
      <c r="C89" s="39" t="s">
        <v>644</v>
      </c>
      <c r="D89" s="209">
        <v>6064</v>
      </c>
      <c r="E89" s="43">
        <v>6064</v>
      </c>
      <c r="F89" s="43"/>
      <c r="G89" s="248"/>
      <c r="H89" s="209">
        <v>6064</v>
      </c>
      <c r="I89" s="43">
        <v>6064</v>
      </c>
      <c r="J89" s="43"/>
      <c r="K89" s="677"/>
    </row>
    <row r="90" spans="1:11" s="12" customFormat="1">
      <c r="A90" s="81"/>
      <c r="B90" s="58"/>
      <c r="C90" s="39" t="s">
        <v>645</v>
      </c>
      <c r="D90" s="209">
        <v>2989</v>
      </c>
      <c r="E90" s="43"/>
      <c r="F90" s="43">
        <v>2989</v>
      </c>
      <c r="G90" s="248"/>
      <c r="H90" s="209">
        <v>3157</v>
      </c>
      <c r="I90" s="43"/>
      <c r="J90" s="43">
        <v>3157</v>
      </c>
      <c r="K90" s="677"/>
    </row>
    <row r="91" spans="1:11" s="12" customFormat="1">
      <c r="A91" s="81"/>
      <c r="B91" s="58"/>
      <c r="C91" s="39" t="s">
        <v>646</v>
      </c>
      <c r="D91" s="209">
        <v>2304</v>
      </c>
      <c r="E91" s="43"/>
      <c r="F91" s="43">
        <v>2304</v>
      </c>
      <c r="G91" s="248"/>
      <c r="H91" s="209">
        <v>2304</v>
      </c>
      <c r="I91" s="43"/>
      <c r="J91" s="43">
        <v>2304</v>
      </c>
      <c r="K91" s="677"/>
    </row>
    <row r="92" spans="1:11" s="12" customFormat="1">
      <c r="A92" s="81"/>
      <c r="B92" s="58"/>
      <c r="C92" s="39" t="s">
        <v>673</v>
      </c>
      <c r="D92" s="209">
        <v>227</v>
      </c>
      <c r="E92" s="43">
        <v>227</v>
      </c>
      <c r="F92" s="43"/>
      <c r="G92" s="248"/>
      <c r="H92" s="209">
        <v>227</v>
      </c>
      <c r="I92" s="43">
        <v>227</v>
      </c>
      <c r="J92" s="43"/>
      <c r="K92" s="677"/>
    </row>
    <row r="93" spans="1:11" s="12" customFormat="1">
      <c r="A93" s="81"/>
      <c r="B93" s="58"/>
      <c r="C93" s="60" t="s">
        <v>548</v>
      </c>
      <c r="D93" s="150">
        <f t="shared" ref="D93:K93" si="15">SUM(D87:D92)</f>
        <v>12724</v>
      </c>
      <c r="E93" s="61">
        <f t="shared" si="15"/>
        <v>6291</v>
      </c>
      <c r="F93" s="61">
        <f t="shared" si="15"/>
        <v>6433</v>
      </c>
      <c r="G93" s="365">
        <f t="shared" si="15"/>
        <v>0</v>
      </c>
      <c r="H93" s="150">
        <f t="shared" si="15"/>
        <v>13831</v>
      </c>
      <c r="I93" s="61">
        <f t="shared" si="15"/>
        <v>6291</v>
      </c>
      <c r="J93" s="61">
        <f t="shared" si="15"/>
        <v>7540</v>
      </c>
      <c r="K93" s="152">
        <f t="shared" si="15"/>
        <v>0</v>
      </c>
    </row>
    <row r="94" spans="1:11" s="12" customFormat="1">
      <c r="A94" s="81"/>
      <c r="B94" s="58"/>
      <c r="C94" s="60"/>
      <c r="D94" s="218"/>
      <c r="E94" s="225"/>
      <c r="F94" s="225"/>
      <c r="G94" s="364"/>
      <c r="H94" s="218"/>
      <c r="I94" s="225"/>
      <c r="J94" s="225"/>
      <c r="K94" s="687"/>
    </row>
    <row r="95" spans="1:11" s="12" customFormat="1">
      <c r="A95" s="81"/>
      <c r="B95" s="58" t="s">
        <v>439</v>
      </c>
      <c r="C95" s="39" t="s">
        <v>489</v>
      </c>
      <c r="D95" s="150"/>
      <c r="E95" s="61"/>
      <c r="F95" s="61"/>
      <c r="G95" s="365"/>
      <c r="H95" s="150"/>
      <c r="I95" s="61"/>
      <c r="J95" s="61"/>
      <c r="K95" s="152"/>
    </row>
    <row r="96" spans="1:11" s="12" customFormat="1">
      <c r="A96" s="81"/>
      <c r="B96" s="44"/>
      <c r="C96" s="39" t="s">
        <v>516</v>
      </c>
      <c r="D96" s="209">
        <v>1358</v>
      </c>
      <c r="E96" s="43"/>
      <c r="F96" s="43">
        <v>1358</v>
      </c>
      <c r="G96" s="248"/>
      <c r="H96" s="209">
        <v>1298</v>
      </c>
      <c r="I96" s="43"/>
      <c r="J96" s="43">
        <v>1298</v>
      </c>
      <c r="K96" s="677"/>
    </row>
    <row r="97" spans="1:11" s="12" customFormat="1">
      <c r="A97" s="81"/>
      <c r="B97" s="58"/>
      <c r="C97" s="39" t="s">
        <v>517</v>
      </c>
      <c r="D97" s="209">
        <v>3415</v>
      </c>
      <c r="E97" s="43">
        <v>3415</v>
      </c>
      <c r="F97" s="43"/>
      <c r="G97" s="248"/>
      <c r="H97" s="209">
        <v>3415</v>
      </c>
      <c r="I97" s="43">
        <v>3415</v>
      </c>
      <c r="J97" s="43"/>
      <c r="K97" s="677"/>
    </row>
    <row r="98" spans="1:11" s="12" customFormat="1">
      <c r="A98" s="81"/>
      <c r="B98" s="58"/>
      <c r="C98" s="39" t="s">
        <v>518</v>
      </c>
      <c r="D98" s="209">
        <v>2600</v>
      </c>
      <c r="E98" s="43">
        <v>2600</v>
      </c>
      <c r="F98" s="43"/>
      <c r="G98" s="248"/>
      <c r="H98" s="209">
        <v>2600</v>
      </c>
      <c r="I98" s="43">
        <v>2600</v>
      </c>
      <c r="J98" s="43"/>
      <c r="K98" s="677"/>
    </row>
    <row r="99" spans="1:11" s="12" customFormat="1">
      <c r="A99" s="81"/>
      <c r="B99" s="58"/>
      <c r="C99" s="39" t="s">
        <v>519</v>
      </c>
      <c r="D99" s="209">
        <v>2000</v>
      </c>
      <c r="E99" s="43">
        <v>2000</v>
      </c>
      <c r="F99" s="43"/>
      <c r="G99" s="248"/>
      <c r="H99" s="209">
        <v>2000</v>
      </c>
      <c r="I99" s="43">
        <v>2000</v>
      </c>
      <c r="J99" s="43"/>
      <c r="K99" s="677"/>
    </row>
    <row r="100" spans="1:11" s="12" customFormat="1">
      <c r="A100" s="81"/>
      <c r="B100" s="58"/>
      <c r="C100" s="39" t="s">
        <v>520</v>
      </c>
      <c r="D100" s="209">
        <v>50000</v>
      </c>
      <c r="E100" s="43">
        <v>50000</v>
      </c>
      <c r="F100" s="43"/>
      <c r="G100" s="248"/>
      <c r="H100" s="209">
        <v>57000</v>
      </c>
      <c r="I100" s="43">
        <v>57000</v>
      </c>
      <c r="J100" s="43"/>
      <c r="K100" s="677"/>
    </row>
    <row r="101" spans="1:11" s="12" customFormat="1">
      <c r="A101" s="81"/>
      <c r="B101" s="58"/>
      <c r="C101" s="39" t="s">
        <v>521</v>
      </c>
      <c r="D101" s="209">
        <v>15000</v>
      </c>
      <c r="E101" s="43">
        <v>15000</v>
      </c>
      <c r="F101" s="43"/>
      <c r="G101" s="248"/>
      <c r="H101" s="209">
        <v>23000</v>
      </c>
      <c r="I101" s="43">
        <v>23000</v>
      </c>
      <c r="J101" s="43"/>
      <c r="K101" s="677"/>
    </row>
    <row r="102" spans="1:11" s="12" customFormat="1">
      <c r="A102" s="81"/>
      <c r="B102" s="58"/>
      <c r="C102" s="39" t="s">
        <v>522</v>
      </c>
      <c r="D102" s="209">
        <v>5000</v>
      </c>
      <c r="E102" s="43">
        <v>5000</v>
      </c>
      <c r="F102" s="43"/>
      <c r="G102" s="248"/>
      <c r="H102" s="209">
        <v>5000</v>
      </c>
      <c r="I102" s="43">
        <v>5000</v>
      </c>
      <c r="J102" s="43"/>
      <c r="K102" s="677"/>
    </row>
    <row r="103" spans="1:11" s="12" customFormat="1">
      <c r="A103" s="81"/>
      <c r="B103" s="58"/>
      <c r="C103" s="39" t="s">
        <v>523</v>
      </c>
      <c r="D103" s="209">
        <v>16000</v>
      </c>
      <c r="E103" s="43">
        <v>16000</v>
      </c>
      <c r="F103" s="43"/>
      <c r="G103" s="248"/>
      <c r="H103" s="209">
        <v>21000</v>
      </c>
      <c r="I103" s="43">
        <v>21000</v>
      </c>
      <c r="J103" s="43"/>
      <c r="K103" s="677"/>
    </row>
    <row r="104" spans="1:11" s="12" customFormat="1">
      <c r="A104" s="81"/>
      <c r="B104" s="58"/>
      <c r="C104" s="39" t="s">
        <v>524</v>
      </c>
      <c r="D104" s="209">
        <v>5885</v>
      </c>
      <c r="E104" s="43">
        <v>5885</v>
      </c>
      <c r="F104" s="43"/>
      <c r="G104" s="248"/>
      <c r="H104" s="209">
        <v>5885</v>
      </c>
      <c r="I104" s="43">
        <v>5885</v>
      </c>
      <c r="J104" s="43"/>
      <c r="K104" s="677"/>
    </row>
    <row r="105" spans="1:11" s="12" customFormat="1">
      <c r="A105" s="81"/>
      <c r="B105" s="58"/>
      <c r="C105" s="39" t="s">
        <v>525</v>
      </c>
      <c r="D105" s="209"/>
      <c r="E105" s="43"/>
      <c r="F105" s="43"/>
      <c r="G105" s="248"/>
      <c r="H105" s="209"/>
      <c r="I105" s="43"/>
      <c r="J105" s="43"/>
      <c r="K105" s="677"/>
    </row>
    <row r="106" spans="1:11" s="12" customFormat="1">
      <c r="A106" s="81"/>
      <c r="B106" s="58"/>
      <c r="C106" s="39" t="s">
        <v>526</v>
      </c>
      <c r="D106" s="209">
        <v>50000</v>
      </c>
      <c r="E106" s="43">
        <v>50000</v>
      </c>
      <c r="F106" s="43"/>
      <c r="G106" s="248"/>
      <c r="H106" s="209">
        <v>45463</v>
      </c>
      <c r="I106" s="43">
        <v>45463</v>
      </c>
      <c r="J106" s="43"/>
      <c r="K106" s="677"/>
    </row>
    <row r="107" spans="1:11" s="12" customFormat="1">
      <c r="A107" s="81"/>
      <c r="B107" s="58"/>
      <c r="C107" s="39" t="s">
        <v>846</v>
      </c>
      <c r="D107" s="209">
        <v>4000</v>
      </c>
      <c r="E107" s="43">
        <v>4000</v>
      </c>
      <c r="F107" s="43"/>
      <c r="G107" s="248"/>
      <c r="H107" s="209">
        <v>4000</v>
      </c>
      <c r="I107" s="43">
        <v>4000</v>
      </c>
      <c r="J107" s="43"/>
      <c r="K107" s="677"/>
    </row>
    <row r="108" spans="1:11" s="12" customFormat="1">
      <c r="A108" s="81"/>
      <c r="B108" s="58"/>
      <c r="C108" s="39" t="s">
        <v>847</v>
      </c>
      <c r="D108" s="209">
        <v>20000</v>
      </c>
      <c r="E108" s="43">
        <v>20000</v>
      </c>
      <c r="F108" s="43"/>
      <c r="G108" s="248"/>
      <c r="H108" s="209">
        <v>20000</v>
      </c>
      <c r="I108" s="43">
        <v>20000</v>
      </c>
      <c r="J108" s="43"/>
      <c r="K108" s="677"/>
    </row>
    <row r="109" spans="1:11" s="12" customFormat="1">
      <c r="A109" s="81"/>
      <c r="B109" s="58"/>
      <c r="C109" s="39" t="s">
        <v>848</v>
      </c>
      <c r="D109" s="209">
        <v>50000</v>
      </c>
      <c r="E109" s="43">
        <v>50000</v>
      </c>
      <c r="F109" s="43"/>
      <c r="G109" s="248"/>
      <c r="H109" s="209">
        <v>60000</v>
      </c>
      <c r="I109" s="43">
        <v>60000</v>
      </c>
      <c r="J109" s="43"/>
      <c r="K109" s="677"/>
    </row>
    <row r="110" spans="1:11" s="12" customFormat="1">
      <c r="A110" s="81"/>
      <c r="B110" s="58"/>
      <c r="C110" s="39" t="s">
        <v>527</v>
      </c>
      <c r="D110" s="209">
        <v>100</v>
      </c>
      <c r="E110" s="43">
        <v>100</v>
      </c>
      <c r="F110" s="43"/>
      <c r="G110" s="248"/>
      <c r="H110" s="209">
        <v>100</v>
      </c>
      <c r="I110" s="43">
        <v>100</v>
      </c>
      <c r="J110" s="43"/>
      <c r="K110" s="677"/>
    </row>
    <row r="111" spans="1:11" s="12" customFormat="1">
      <c r="A111" s="81"/>
      <c r="B111" s="58"/>
      <c r="C111" s="39" t="s">
        <v>528</v>
      </c>
      <c r="D111" s="209">
        <v>40000</v>
      </c>
      <c r="E111" s="43">
        <v>40000</v>
      </c>
      <c r="F111" s="43"/>
      <c r="G111" s="248"/>
      <c r="H111" s="209">
        <v>38950</v>
      </c>
      <c r="I111" s="43">
        <v>38950</v>
      </c>
      <c r="J111" s="43"/>
      <c r="K111" s="677"/>
    </row>
    <row r="112" spans="1:11" s="12" customFormat="1">
      <c r="A112" s="81"/>
      <c r="B112" s="58"/>
      <c r="C112" s="39" t="s">
        <v>651</v>
      </c>
      <c r="D112" s="209">
        <v>1000</v>
      </c>
      <c r="E112" s="43">
        <v>1000</v>
      </c>
      <c r="F112" s="43"/>
      <c r="G112" s="248"/>
      <c r="H112" s="209">
        <v>1000</v>
      </c>
      <c r="I112" s="43">
        <v>1000</v>
      </c>
      <c r="J112" s="43"/>
      <c r="K112" s="677"/>
    </row>
    <row r="113" spans="1:11" s="12" customFormat="1">
      <c r="A113" s="81"/>
      <c r="B113" s="58"/>
      <c r="C113" s="39" t="s">
        <v>529</v>
      </c>
      <c r="D113" s="209">
        <v>5000</v>
      </c>
      <c r="E113" s="43">
        <v>5000</v>
      </c>
      <c r="F113" s="43"/>
      <c r="G113" s="248"/>
      <c r="H113" s="209">
        <v>5000</v>
      </c>
      <c r="I113" s="43">
        <v>5000</v>
      </c>
      <c r="J113" s="43"/>
      <c r="K113" s="677"/>
    </row>
    <row r="114" spans="1:11" s="12" customFormat="1">
      <c r="A114" s="81"/>
      <c r="B114" s="58"/>
      <c r="C114" s="39" t="s">
        <v>530</v>
      </c>
      <c r="D114" s="209"/>
      <c r="E114" s="43"/>
      <c r="F114" s="43"/>
      <c r="G114" s="248"/>
      <c r="H114" s="209"/>
      <c r="I114" s="43"/>
      <c r="J114" s="43"/>
      <c r="K114" s="677"/>
    </row>
    <row r="115" spans="1:11" s="12" customFormat="1">
      <c r="A115" s="81"/>
      <c r="B115" s="58"/>
      <c r="C115" s="39" t="s">
        <v>531</v>
      </c>
      <c r="D115" s="209">
        <v>4000</v>
      </c>
      <c r="E115" s="43">
        <v>4000</v>
      </c>
      <c r="F115" s="43"/>
      <c r="G115" s="248"/>
      <c r="H115" s="209">
        <v>4000</v>
      </c>
      <c r="I115" s="43">
        <v>4000</v>
      </c>
      <c r="J115" s="43"/>
      <c r="K115" s="677"/>
    </row>
    <row r="116" spans="1:11" s="12" customFormat="1">
      <c r="A116" s="81"/>
      <c r="B116" s="58"/>
      <c r="C116" s="39" t="s">
        <v>532</v>
      </c>
      <c r="D116" s="209">
        <v>3000</v>
      </c>
      <c r="E116" s="43">
        <v>3000</v>
      </c>
      <c r="F116" s="43"/>
      <c r="G116" s="248"/>
      <c r="H116" s="209">
        <v>0</v>
      </c>
      <c r="I116" s="43">
        <v>0</v>
      </c>
      <c r="J116" s="43"/>
      <c r="K116" s="677"/>
    </row>
    <row r="117" spans="1:11" s="12" customFormat="1">
      <c r="A117" s="81"/>
      <c r="B117" s="58"/>
      <c r="C117" s="39" t="s">
        <v>533</v>
      </c>
      <c r="D117" s="209"/>
      <c r="E117" s="43"/>
      <c r="F117" s="43"/>
      <c r="G117" s="248"/>
      <c r="H117" s="209"/>
      <c r="I117" s="43"/>
      <c r="J117" s="43"/>
      <c r="K117" s="677"/>
    </row>
    <row r="118" spans="1:11" s="12" customFormat="1">
      <c r="A118" s="81"/>
      <c r="B118" s="58"/>
      <c r="C118" s="39" t="s">
        <v>61</v>
      </c>
      <c r="D118" s="209">
        <v>8000</v>
      </c>
      <c r="E118" s="43">
        <v>8000</v>
      </c>
      <c r="F118" s="43"/>
      <c r="G118" s="248"/>
      <c r="H118" s="209">
        <v>8000</v>
      </c>
      <c r="I118" s="43">
        <v>8000</v>
      </c>
      <c r="J118" s="43"/>
      <c r="K118" s="677"/>
    </row>
    <row r="119" spans="1:11" s="12" customFormat="1">
      <c r="A119" s="81"/>
      <c r="B119" s="58"/>
      <c r="C119" s="39" t="s">
        <v>62</v>
      </c>
      <c r="D119" s="209">
        <v>0</v>
      </c>
      <c r="E119" s="43"/>
      <c r="F119" s="43"/>
      <c r="G119" s="248"/>
      <c r="H119" s="209">
        <v>3548</v>
      </c>
      <c r="I119" s="43">
        <v>3548</v>
      </c>
      <c r="J119" s="43"/>
      <c r="K119" s="677"/>
    </row>
    <row r="120" spans="1:11" s="12" customFormat="1" ht="18.75" customHeight="1">
      <c r="A120" s="81"/>
      <c r="B120" s="58"/>
      <c r="C120" s="39" t="s">
        <v>534</v>
      </c>
      <c r="D120" s="209">
        <v>3473</v>
      </c>
      <c r="E120" s="43">
        <v>3473</v>
      </c>
      <c r="F120" s="43"/>
      <c r="G120" s="248"/>
      <c r="H120" s="209">
        <v>3473</v>
      </c>
      <c r="I120" s="43">
        <v>3473</v>
      </c>
      <c r="J120" s="43"/>
      <c r="K120" s="677"/>
    </row>
    <row r="121" spans="1:11" s="12" customFormat="1">
      <c r="A121" s="81"/>
      <c r="B121" s="58"/>
      <c r="C121" s="62" t="s">
        <v>416</v>
      </c>
      <c r="D121" s="227">
        <v>500</v>
      </c>
      <c r="E121" s="91"/>
      <c r="F121" s="91">
        <v>500</v>
      </c>
      <c r="G121" s="255"/>
      <c r="H121" s="227">
        <v>500</v>
      </c>
      <c r="I121" s="91"/>
      <c r="J121" s="91">
        <v>500</v>
      </c>
      <c r="K121" s="686"/>
    </row>
    <row r="122" spans="1:11" s="12" customFormat="1">
      <c r="A122" s="81"/>
      <c r="B122" s="58"/>
      <c r="C122" s="62" t="s">
        <v>410</v>
      </c>
      <c r="D122" s="227">
        <v>5441</v>
      </c>
      <c r="E122" s="91"/>
      <c r="F122" s="91">
        <v>5441</v>
      </c>
      <c r="G122" s="255"/>
      <c r="H122" s="227">
        <v>5441</v>
      </c>
      <c r="I122" s="91"/>
      <c r="J122" s="91">
        <v>5441</v>
      </c>
      <c r="K122" s="686"/>
    </row>
    <row r="123" spans="1:11" s="12" customFormat="1">
      <c r="A123" s="81"/>
      <c r="B123" s="58"/>
      <c r="C123" s="62" t="s">
        <v>411</v>
      </c>
      <c r="D123" s="227">
        <v>1500</v>
      </c>
      <c r="E123" s="91">
        <v>1500</v>
      </c>
      <c r="F123" s="91"/>
      <c r="G123" s="255"/>
      <c r="H123" s="227">
        <v>1500</v>
      </c>
      <c r="I123" s="91">
        <v>1500</v>
      </c>
      <c r="J123" s="91"/>
      <c r="K123" s="686"/>
    </row>
    <row r="124" spans="1:11" s="12" customFormat="1">
      <c r="A124" s="81"/>
      <c r="B124" s="58"/>
      <c r="C124" s="62" t="s">
        <v>850</v>
      </c>
      <c r="D124" s="227">
        <v>4000</v>
      </c>
      <c r="E124" s="91">
        <v>4000</v>
      </c>
      <c r="F124" s="91"/>
      <c r="G124" s="255"/>
      <c r="H124" s="227">
        <v>13000</v>
      </c>
      <c r="I124" s="91">
        <v>13000</v>
      </c>
      <c r="J124" s="91"/>
      <c r="K124" s="686"/>
    </row>
    <row r="125" spans="1:11" s="12" customFormat="1">
      <c r="A125" s="81"/>
      <c r="B125" s="58"/>
      <c r="C125" s="62" t="s">
        <v>851</v>
      </c>
      <c r="D125" s="227">
        <v>30800</v>
      </c>
      <c r="E125" s="91"/>
      <c r="F125" s="91">
        <v>30800</v>
      </c>
      <c r="G125" s="255"/>
      <c r="H125" s="227">
        <v>30800</v>
      </c>
      <c r="I125" s="91"/>
      <c r="J125" s="91">
        <v>30800</v>
      </c>
      <c r="K125" s="686"/>
    </row>
    <row r="126" spans="1:11" s="12" customFormat="1">
      <c r="A126" s="81"/>
      <c r="B126" s="58"/>
      <c r="C126" s="62" t="s">
        <v>852</v>
      </c>
      <c r="D126" s="227">
        <v>1500</v>
      </c>
      <c r="E126" s="91"/>
      <c r="F126" s="91">
        <v>1500</v>
      </c>
      <c r="G126" s="255"/>
      <c r="H126" s="227">
        <v>1500</v>
      </c>
      <c r="I126" s="91"/>
      <c r="J126" s="91">
        <v>1500</v>
      </c>
      <c r="K126" s="686"/>
    </row>
    <row r="127" spans="1:11" s="12" customFormat="1">
      <c r="A127" s="81"/>
      <c r="B127" s="58"/>
      <c r="C127" s="62" t="s">
        <v>853</v>
      </c>
      <c r="D127" s="227">
        <v>15000</v>
      </c>
      <c r="E127" s="91">
        <v>15000</v>
      </c>
      <c r="F127" s="91"/>
      <c r="G127" s="255"/>
      <c r="H127" s="227">
        <v>23000</v>
      </c>
      <c r="I127" s="91">
        <v>23000</v>
      </c>
      <c r="J127" s="91"/>
      <c r="K127" s="686"/>
    </row>
    <row r="128" spans="1:11" s="12" customFormat="1">
      <c r="A128" s="81"/>
      <c r="B128" s="58"/>
      <c r="C128" s="62" t="s">
        <v>854</v>
      </c>
      <c r="D128" s="227">
        <v>50000</v>
      </c>
      <c r="E128" s="91"/>
      <c r="F128" s="91">
        <v>50000</v>
      </c>
      <c r="G128" s="255"/>
      <c r="H128" s="227">
        <v>50000</v>
      </c>
      <c r="I128" s="91"/>
      <c r="J128" s="91">
        <v>50000</v>
      </c>
      <c r="K128" s="686"/>
    </row>
    <row r="129" spans="1:11" s="12" customFormat="1">
      <c r="A129" s="81"/>
      <c r="B129" s="58"/>
      <c r="C129" s="62" t="s">
        <v>855</v>
      </c>
      <c r="D129" s="227">
        <v>3500</v>
      </c>
      <c r="E129" s="91"/>
      <c r="F129" s="91">
        <v>3500</v>
      </c>
      <c r="G129" s="255"/>
      <c r="H129" s="227">
        <v>3500</v>
      </c>
      <c r="I129" s="91"/>
      <c r="J129" s="91">
        <v>3500</v>
      </c>
      <c r="K129" s="686"/>
    </row>
    <row r="130" spans="1:11" s="12" customFormat="1">
      <c r="A130" s="81"/>
      <c r="B130" s="58"/>
      <c r="C130" s="62" t="s">
        <v>221</v>
      </c>
      <c r="D130" s="227">
        <v>1000</v>
      </c>
      <c r="E130" s="91"/>
      <c r="F130" s="91">
        <v>1000</v>
      </c>
      <c r="G130" s="255"/>
      <c r="H130" s="227">
        <v>1000</v>
      </c>
      <c r="I130" s="91"/>
      <c r="J130" s="91">
        <v>1000</v>
      </c>
      <c r="K130" s="686"/>
    </row>
    <row r="131" spans="1:11" s="12" customFormat="1">
      <c r="A131" s="81"/>
      <c r="B131" s="58"/>
      <c r="C131" s="39" t="s">
        <v>856</v>
      </c>
      <c r="D131" s="209">
        <v>174552</v>
      </c>
      <c r="E131" s="43">
        <v>174552</v>
      </c>
      <c r="F131" s="43"/>
      <c r="G131" s="248"/>
      <c r="H131" s="209">
        <v>174552</v>
      </c>
      <c r="I131" s="43">
        <v>174552</v>
      </c>
      <c r="J131" s="43"/>
      <c r="K131" s="677"/>
    </row>
    <row r="132" spans="1:11" s="12" customFormat="1">
      <c r="A132" s="81"/>
      <c r="B132" s="58"/>
      <c r="C132" s="111" t="s">
        <v>857</v>
      </c>
      <c r="D132" s="227">
        <v>5447</v>
      </c>
      <c r="E132" s="91">
        <v>5447</v>
      </c>
      <c r="F132" s="91"/>
      <c r="G132" s="255"/>
      <c r="H132" s="227">
        <v>5447</v>
      </c>
      <c r="I132" s="91">
        <v>5447</v>
      </c>
      <c r="J132" s="91"/>
      <c r="K132" s="686"/>
    </row>
    <row r="133" spans="1:11" s="12" customFormat="1">
      <c r="A133" s="81"/>
      <c r="B133" s="58"/>
      <c r="C133" s="111" t="s">
        <v>858</v>
      </c>
      <c r="D133" s="227">
        <v>1500</v>
      </c>
      <c r="E133" s="91">
        <v>1500</v>
      </c>
      <c r="F133" s="91"/>
      <c r="G133" s="255"/>
      <c r="H133" s="227">
        <v>1500</v>
      </c>
      <c r="I133" s="91">
        <v>1500</v>
      </c>
      <c r="J133" s="91"/>
      <c r="K133" s="686"/>
    </row>
    <row r="134" spans="1:11" s="12" customFormat="1">
      <c r="A134" s="81"/>
      <c r="B134" s="58"/>
      <c r="C134" s="111" t="s">
        <v>859</v>
      </c>
      <c r="D134" s="227">
        <v>4191</v>
      </c>
      <c r="E134" s="91">
        <v>4191</v>
      </c>
      <c r="F134" s="91"/>
      <c r="G134" s="255"/>
      <c r="H134" s="227">
        <v>4191</v>
      </c>
      <c r="I134" s="91">
        <v>4191</v>
      </c>
      <c r="J134" s="91"/>
      <c r="K134" s="686"/>
    </row>
    <row r="135" spans="1:11" s="12" customFormat="1">
      <c r="A135" s="81"/>
      <c r="B135" s="58"/>
      <c r="C135" s="111" t="s">
        <v>860</v>
      </c>
      <c r="D135" s="227">
        <v>19280</v>
      </c>
      <c r="E135" s="91">
        <v>19280</v>
      </c>
      <c r="F135" s="91"/>
      <c r="G135" s="255"/>
      <c r="H135" s="227">
        <v>19280</v>
      </c>
      <c r="I135" s="91">
        <v>19280</v>
      </c>
      <c r="J135" s="91"/>
      <c r="K135" s="686"/>
    </row>
    <row r="136" spans="1:11" s="12" customFormat="1">
      <c r="A136" s="81"/>
      <c r="B136" s="58"/>
      <c r="C136" s="111" t="s">
        <v>861</v>
      </c>
      <c r="D136" s="227">
        <v>15448</v>
      </c>
      <c r="E136" s="91"/>
      <c r="F136" s="91">
        <v>15448</v>
      </c>
      <c r="G136" s="255"/>
      <c r="H136" s="227">
        <v>15448</v>
      </c>
      <c r="I136" s="91"/>
      <c r="J136" s="91">
        <v>15448</v>
      </c>
      <c r="K136" s="686"/>
    </row>
    <row r="137" spans="1:11" s="12" customFormat="1">
      <c r="A137" s="81"/>
      <c r="B137" s="58"/>
      <c r="C137" s="39" t="s">
        <v>862</v>
      </c>
      <c r="D137" s="209">
        <v>2000</v>
      </c>
      <c r="E137" s="43">
        <v>2000</v>
      </c>
      <c r="F137" s="43"/>
      <c r="G137" s="248"/>
      <c r="H137" s="209">
        <v>2000</v>
      </c>
      <c r="I137" s="43">
        <v>2000</v>
      </c>
      <c r="J137" s="43"/>
      <c r="K137" s="677"/>
    </row>
    <row r="138" spans="1:11" s="12" customFormat="1" ht="30">
      <c r="A138" s="81"/>
      <c r="B138" s="58"/>
      <c r="C138" s="62" t="s">
        <v>863</v>
      </c>
      <c r="D138" s="209">
        <v>5000</v>
      </c>
      <c r="E138" s="43">
        <v>5000</v>
      </c>
      <c r="F138" s="43"/>
      <c r="G138" s="248"/>
      <c r="H138" s="209">
        <v>3500</v>
      </c>
      <c r="I138" s="43">
        <v>3500</v>
      </c>
      <c r="J138" s="43"/>
      <c r="K138" s="677"/>
    </row>
    <row r="139" spans="1:11" s="12" customFormat="1">
      <c r="A139" s="81"/>
      <c r="B139" s="58"/>
      <c r="C139" s="39" t="s">
        <v>864</v>
      </c>
      <c r="D139" s="209">
        <v>3000</v>
      </c>
      <c r="E139" s="43">
        <v>3000</v>
      </c>
      <c r="F139" s="43"/>
      <c r="G139" s="248"/>
      <c r="H139" s="209">
        <v>0</v>
      </c>
      <c r="I139" s="43">
        <v>0</v>
      </c>
      <c r="J139" s="43"/>
      <c r="K139" s="677"/>
    </row>
    <row r="140" spans="1:11" s="12" customFormat="1" ht="30">
      <c r="A140" s="81"/>
      <c r="B140" s="58"/>
      <c r="C140" s="111" t="s">
        <v>865</v>
      </c>
      <c r="D140" s="227">
        <v>500</v>
      </c>
      <c r="E140" s="91">
        <v>500</v>
      </c>
      <c r="F140" s="91"/>
      <c r="G140" s="255"/>
      <c r="H140" s="227">
        <v>500</v>
      </c>
      <c r="I140" s="91">
        <v>500</v>
      </c>
      <c r="J140" s="91"/>
      <c r="K140" s="686"/>
    </row>
    <row r="141" spans="1:11" s="12" customFormat="1">
      <c r="A141" s="81"/>
      <c r="B141" s="58"/>
      <c r="C141" s="111" t="s">
        <v>866</v>
      </c>
      <c r="D141" s="227">
        <v>3000</v>
      </c>
      <c r="E141" s="91">
        <v>3000</v>
      </c>
      <c r="F141" s="91"/>
      <c r="G141" s="255"/>
      <c r="H141" s="227">
        <v>3000</v>
      </c>
      <c r="I141" s="91">
        <v>3000</v>
      </c>
      <c r="J141" s="91"/>
      <c r="K141" s="686"/>
    </row>
    <row r="142" spans="1:11" s="12" customFormat="1">
      <c r="A142" s="81"/>
      <c r="B142" s="58"/>
      <c r="C142" s="111" t="s">
        <v>867</v>
      </c>
      <c r="D142" s="227">
        <v>500</v>
      </c>
      <c r="E142" s="91">
        <v>500</v>
      </c>
      <c r="F142" s="91"/>
      <c r="G142" s="255"/>
      <c r="H142" s="227">
        <v>500</v>
      </c>
      <c r="I142" s="91">
        <v>500</v>
      </c>
      <c r="J142" s="91"/>
      <c r="K142" s="686"/>
    </row>
    <row r="143" spans="1:11" s="12" customFormat="1">
      <c r="A143" s="81"/>
      <c r="B143" s="58"/>
      <c r="C143" s="111" t="s">
        <v>868</v>
      </c>
      <c r="D143" s="227">
        <v>500</v>
      </c>
      <c r="E143" s="91">
        <v>500</v>
      </c>
      <c r="F143" s="91"/>
      <c r="G143" s="255"/>
      <c r="H143" s="227">
        <v>500</v>
      </c>
      <c r="I143" s="91">
        <v>500</v>
      </c>
      <c r="J143" s="91"/>
      <c r="K143" s="686"/>
    </row>
    <row r="144" spans="1:11" s="12" customFormat="1">
      <c r="A144" s="81"/>
      <c r="B144" s="58"/>
      <c r="C144" s="111" t="s">
        <v>869</v>
      </c>
      <c r="D144" s="227">
        <v>15000</v>
      </c>
      <c r="E144" s="91">
        <v>15000</v>
      </c>
      <c r="F144" s="91"/>
      <c r="G144" s="255"/>
      <c r="H144" s="227">
        <v>8144</v>
      </c>
      <c r="I144" s="91">
        <v>8144</v>
      </c>
      <c r="J144" s="91"/>
      <c r="K144" s="686"/>
    </row>
    <row r="145" spans="1:11" s="12" customFormat="1">
      <c r="A145" s="81"/>
      <c r="B145" s="58"/>
      <c r="C145" s="111" t="s">
        <v>870</v>
      </c>
      <c r="D145" s="227">
        <v>700</v>
      </c>
      <c r="E145" s="91">
        <v>700</v>
      </c>
      <c r="F145" s="91"/>
      <c r="G145" s="255"/>
      <c r="H145" s="227">
        <v>700</v>
      </c>
      <c r="I145" s="91">
        <v>700</v>
      </c>
      <c r="J145" s="91"/>
      <c r="K145" s="686"/>
    </row>
    <row r="146" spans="1:11" s="12" customFormat="1">
      <c r="A146" s="81"/>
      <c r="B146" s="58"/>
      <c r="C146" s="111" t="s">
        <v>871</v>
      </c>
      <c r="D146" s="227">
        <v>350</v>
      </c>
      <c r="E146" s="91">
        <v>350</v>
      </c>
      <c r="F146" s="91"/>
      <c r="G146" s="255"/>
      <c r="H146" s="227">
        <v>350</v>
      </c>
      <c r="I146" s="91">
        <v>350</v>
      </c>
      <c r="J146" s="91"/>
      <c r="K146" s="686"/>
    </row>
    <row r="147" spans="1:11" s="12" customFormat="1">
      <c r="A147" s="81"/>
      <c r="B147" s="58"/>
      <c r="C147" s="111" t="s">
        <v>872</v>
      </c>
      <c r="D147" s="227">
        <v>5000</v>
      </c>
      <c r="E147" s="91">
        <v>5000</v>
      </c>
      <c r="F147" s="91"/>
      <c r="G147" s="255"/>
      <c r="H147" s="227">
        <v>0</v>
      </c>
      <c r="I147" s="91">
        <v>0</v>
      </c>
      <c r="J147" s="91"/>
      <c r="K147" s="686"/>
    </row>
    <row r="148" spans="1:11" s="12" customFormat="1">
      <c r="A148" s="81"/>
      <c r="B148" s="58"/>
      <c r="C148" s="111" t="s">
        <v>873</v>
      </c>
      <c r="D148" s="227">
        <v>1500</v>
      </c>
      <c r="E148" s="91">
        <v>1500</v>
      </c>
      <c r="F148" s="91"/>
      <c r="G148" s="255"/>
      <c r="H148" s="227">
        <v>1500</v>
      </c>
      <c r="I148" s="91">
        <v>1500</v>
      </c>
      <c r="J148" s="91"/>
      <c r="K148" s="686"/>
    </row>
    <row r="149" spans="1:11" s="12" customFormat="1">
      <c r="A149" s="81"/>
      <c r="B149" s="58"/>
      <c r="C149" s="675" t="s">
        <v>63</v>
      </c>
      <c r="D149" s="227"/>
      <c r="E149" s="91"/>
      <c r="F149" s="91"/>
      <c r="G149" s="255"/>
      <c r="H149" s="227">
        <v>12114</v>
      </c>
      <c r="I149" s="91">
        <v>12114</v>
      </c>
      <c r="J149" s="91"/>
      <c r="K149" s="686"/>
    </row>
    <row r="150" spans="1:11" s="12" customFormat="1" ht="30">
      <c r="A150" s="81"/>
      <c r="B150" s="58"/>
      <c r="C150" s="688" t="s">
        <v>64</v>
      </c>
      <c r="D150" s="227"/>
      <c r="E150" s="91"/>
      <c r="F150" s="91"/>
      <c r="G150" s="255"/>
      <c r="H150" s="227">
        <v>1953</v>
      </c>
      <c r="I150" s="91">
        <v>1953</v>
      </c>
      <c r="J150" s="91"/>
      <c r="K150" s="686"/>
    </row>
    <row r="151" spans="1:11" s="12" customFormat="1">
      <c r="A151" s="81"/>
      <c r="B151" s="58"/>
      <c r="C151" s="62" t="s">
        <v>933</v>
      </c>
      <c r="D151" s="227"/>
      <c r="E151" s="91"/>
      <c r="F151" s="91"/>
      <c r="G151" s="255"/>
      <c r="H151" s="227">
        <v>845</v>
      </c>
      <c r="I151" s="91">
        <v>845</v>
      </c>
      <c r="J151" s="91"/>
      <c r="K151" s="686"/>
    </row>
    <row r="152" spans="1:11" s="12" customFormat="1">
      <c r="A152" s="81"/>
      <c r="B152" s="58"/>
      <c r="C152" s="60" t="s">
        <v>549</v>
      </c>
      <c r="D152" s="150">
        <f>SUM(D96:D148)</f>
        <v>660540</v>
      </c>
      <c r="E152" s="61">
        <f>SUM(E96:E148)</f>
        <v>550993</v>
      </c>
      <c r="F152" s="61">
        <f>SUM(F96:F148)</f>
        <v>109547</v>
      </c>
      <c r="G152" s="365">
        <f>SUM(G96:G148)</f>
        <v>0</v>
      </c>
      <c r="H152" s="150">
        <f>SUM(H96:H151)</f>
        <v>700997</v>
      </c>
      <c r="I152" s="61">
        <f>SUM(I96:I151)</f>
        <v>591510</v>
      </c>
      <c r="J152" s="61">
        <f>SUM(J96:J148)</f>
        <v>109487</v>
      </c>
      <c r="K152" s="152">
        <f>SUM(K96:K148)</f>
        <v>0</v>
      </c>
    </row>
    <row r="153" spans="1:11" s="12" customFormat="1">
      <c r="A153" s="81"/>
      <c r="B153" s="58"/>
      <c r="C153" s="60"/>
      <c r="D153" s="150"/>
      <c r="E153" s="61"/>
      <c r="F153" s="61"/>
      <c r="G153" s="365"/>
      <c r="H153" s="720"/>
      <c r="K153" s="689"/>
    </row>
    <row r="154" spans="1:11" s="12" customFormat="1">
      <c r="A154" s="81"/>
      <c r="B154" s="58" t="s">
        <v>429</v>
      </c>
      <c r="C154" s="39" t="s">
        <v>612</v>
      </c>
      <c r="D154" s="209"/>
      <c r="E154" s="43"/>
      <c r="F154" s="43"/>
      <c r="G154" s="248"/>
      <c r="H154" s="720"/>
      <c r="K154" s="689"/>
    </row>
    <row r="155" spans="1:11" s="12" customFormat="1">
      <c r="A155" s="81"/>
      <c r="B155" s="58"/>
      <c r="C155" s="39" t="s">
        <v>732</v>
      </c>
      <c r="D155" s="209">
        <v>14500</v>
      </c>
      <c r="E155" s="43"/>
      <c r="F155" s="43"/>
      <c r="G155" s="248">
        <v>14500</v>
      </c>
      <c r="H155" s="677">
        <v>14500</v>
      </c>
      <c r="I155" s="43"/>
      <c r="J155" s="43"/>
      <c r="K155" s="677">
        <v>14500</v>
      </c>
    </row>
    <row r="156" spans="1:11" s="12" customFormat="1">
      <c r="A156" s="81"/>
      <c r="B156" s="58"/>
      <c r="C156" s="39" t="s">
        <v>874</v>
      </c>
      <c r="D156" s="209">
        <v>3500</v>
      </c>
      <c r="E156" s="43"/>
      <c r="F156" s="43"/>
      <c r="G156" s="248">
        <v>3500</v>
      </c>
      <c r="H156" s="677">
        <v>3500</v>
      </c>
      <c r="I156" s="43"/>
      <c r="J156" s="43"/>
      <c r="K156" s="677">
        <v>3500</v>
      </c>
    </row>
    <row r="157" spans="1:11" s="12" customFormat="1">
      <c r="A157" s="87"/>
      <c r="B157" s="58"/>
      <c r="C157" s="39" t="s">
        <v>875</v>
      </c>
      <c r="D157" s="209">
        <v>200</v>
      </c>
      <c r="E157" s="43"/>
      <c r="F157" s="43">
        <v>200</v>
      </c>
      <c r="G157" s="248"/>
      <c r="H157" s="677">
        <v>200</v>
      </c>
      <c r="I157" s="43"/>
      <c r="J157" s="43">
        <v>200</v>
      </c>
      <c r="K157" s="677"/>
    </row>
    <row r="158" spans="1:11" s="70" customFormat="1">
      <c r="A158" s="88"/>
      <c r="C158" s="39" t="s">
        <v>876</v>
      </c>
      <c r="D158" s="209">
        <v>50</v>
      </c>
      <c r="E158" s="43"/>
      <c r="F158" s="43">
        <v>50</v>
      </c>
      <c r="G158" s="248"/>
      <c r="H158" s="677">
        <v>50</v>
      </c>
      <c r="I158" s="43"/>
      <c r="J158" s="43">
        <v>50</v>
      </c>
      <c r="K158" s="677"/>
    </row>
    <row r="159" spans="1:11" s="70" customFormat="1">
      <c r="A159" s="88"/>
      <c r="B159" s="58"/>
      <c r="C159" s="39" t="s">
        <v>877</v>
      </c>
      <c r="D159" s="209">
        <v>557</v>
      </c>
      <c r="E159" s="43"/>
      <c r="F159" s="43">
        <v>557</v>
      </c>
      <c r="G159" s="248"/>
      <c r="H159" s="110">
        <v>3557</v>
      </c>
      <c r="I159" s="222"/>
      <c r="J159" s="91">
        <v>3557</v>
      </c>
      <c r="K159" s="690"/>
    </row>
    <row r="160" spans="1:11" s="70" customFormat="1">
      <c r="A160" s="88"/>
      <c r="B160" s="83"/>
      <c r="C160" s="39" t="s">
        <v>878</v>
      </c>
      <c r="D160" s="209"/>
      <c r="E160" s="43"/>
      <c r="F160" s="43"/>
      <c r="G160" s="248"/>
      <c r="H160" s="677"/>
      <c r="I160" s="43"/>
      <c r="J160" s="43"/>
      <c r="K160" s="677"/>
    </row>
    <row r="161" spans="1:11" s="70" customFormat="1">
      <c r="A161" s="88"/>
      <c r="B161" s="58"/>
      <c r="C161" s="39" t="s">
        <v>879</v>
      </c>
      <c r="D161" s="209">
        <v>4500</v>
      </c>
      <c r="E161" s="43"/>
      <c r="F161" s="43"/>
      <c r="G161" s="248">
        <v>4500</v>
      </c>
      <c r="H161" s="677">
        <v>4500</v>
      </c>
      <c r="I161" s="43"/>
      <c r="J161" s="43"/>
      <c r="K161" s="677">
        <v>4500</v>
      </c>
    </row>
    <row r="162" spans="1:11" s="70" customFormat="1">
      <c r="A162" s="88"/>
      <c r="B162" s="58"/>
      <c r="C162" s="39" t="s">
        <v>883</v>
      </c>
      <c r="D162" s="209">
        <v>6900</v>
      </c>
      <c r="E162" s="43"/>
      <c r="F162" s="43"/>
      <c r="G162" s="248">
        <v>6900</v>
      </c>
      <c r="H162" s="677">
        <v>6900</v>
      </c>
      <c r="I162" s="43"/>
      <c r="J162" s="43"/>
      <c r="K162" s="677">
        <v>6900</v>
      </c>
    </row>
    <row r="163" spans="1:11" s="70" customFormat="1">
      <c r="A163" s="88"/>
      <c r="B163" s="58"/>
      <c r="C163" s="85" t="s">
        <v>880</v>
      </c>
      <c r="D163" s="209">
        <v>105000</v>
      </c>
      <c r="E163" s="43"/>
      <c r="F163" s="43"/>
      <c r="G163" s="248">
        <v>105000</v>
      </c>
      <c r="H163" s="677">
        <v>105000</v>
      </c>
      <c r="I163" s="43"/>
      <c r="J163" s="43"/>
      <c r="K163" s="677">
        <v>105000</v>
      </c>
    </row>
    <row r="164" spans="1:11" s="70" customFormat="1">
      <c r="A164" s="88"/>
      <c r="B164" s="58"/>
      <c r="C164" s="39" t="s">
        <v>881</v>
      </c>
      <c r="D164" s="209">
        <v>45000</v>
      </c>
      <c r="E164" s="43"/>
      <c r="F164" s="43"/>
      <c r="G164" s="248">
        <v>45000</v>
      </c>
      <c r="H164" s="677">
        <v>45000</v>
      </c>
      <c r="I164" s="43"/>
      <c r="J164" s="43"/>
      <c r="K164" s="677">
        <v>45000</v>
      </c>
    </row>
    <row r="165" spans="1:11" s="70" customFormat="1">
      <c r="A165" s="88"/>
      <c r="B165" s="58"/>
      <c r="C165" s="39" t="s">
        <v>882</v>
      </c>
      <c r="D165" s="209">
        <v>1300</v>
      </c>
      <c r="E165" s="43"/>
      <c r="F165" s="43"/>
      <c r="G165" s="248">
        <v>1300</v>
      </c>
      <c r="H165" s="677">
        <v>1300</v>
      </c>
      <c r="I165" s="43"/>
      <c r="J165" s="43"/>
      <c r="K165" s="677">
        <v>1300</v>
      </c>
    </row>
    <row r="166" spans="1:11" s="70" customFormat="1">
      <c r="A166" s="88"/>
      <c r="B166" s="58"/>
      <c r="C166" s="39" t="s">
        <v>65</v>
      </c>
      <c r="D166" s="209"/>
      <c r="E166" s="43"/>
      <c r="F166" s="43"/>
      <c r="G166" s="248"/>
      <c r="H166" s="677">
        <v>5000</v>
      </c>
      <c r="I166" s="43"/>
      <c r="J166" s="43">
        <v>5000</v>
      </c>
      <c r="K166" s="677"/>
    </row>
    <row r="167" spans="1:11" s="70" customFormat="1">
      <c r="A167" s="88"/>
      <c r="B167" s="58"/>
      <c r="C167" s="39" t="s">
        <v>66</v>
      </c>
      <c r="D167" s="209"/>
      <c r="E167" s="43"/>
      <c r="F167" s="43"/>
      <c r="G167" s="248"/>
      <c r="H167" s="677">
        <v>2000</v>
      </c>
      <c r="I167" s="43"/>
      <c r="J167" s="43">
        <v>2000</v>
      </c>
      <c r="K167" s="677"/>
    </row>
    <row r="168" spans="1:11" s="12" customFormat="1">
      <c r="A168" s="81"/>
      <c r="B168" s="86"/>
      <c r="C168" s="60" t="s">
        <v>550</v>
      </c>
      <c r="D168" s="150">
        <f>SUM(D155:D165)</f>
        <v>181507</v>
      </c>
      <c r="E168" s="61">
        <f>SUM(E155:E165)</f>
        <v>0</v>
      </c>
      <c r="F168" s="61">
        <f>SUM(F155:F165)</f>
        <v>807</v>
      </c>
      <c r="G168" s="365">
        <f>SUM(G155:G165)</f>
        <v>180700</v>
      </c>
      <c r="H168" s="152">
        <f>SUM(H155:H167)</f>
        <v>191507</v>
      </c>
      <c r="I168" s="61">
        <f>SUM(I155:I167)</f>
        <v>0</v>
      </c>
      <c r="J168" s="61">
        <f>SUM(J155:J167)</f>
        <v>10807</v>
      </c>
      <c r="K168" s="152">
        <f>SUM(K155:K165)</f>
        <v>180700</v>
      </c>
    </row>
    <row r="169" spans="1:11" s="12" customFormat="1">
      <c r="A169" s="81"/>
      <c r="B169" s="58"/>
      <c r="C169" s="60"/>
      <c r="D169" s="150"/>
      <c r="E169" s="61"/>
      <c r="F169" s="61"/>
      <c r="G169" s="365"/>
      <c r="H169" s="720"/>
      <c r="K169" s="689"/>
    </row>
    <row r="170" spans="1:11" s="12" customFormat="1">
      <c r="A170" s="81"/>
      <c r="B170" s="58" t="s">
        <v>441</v>
      </c>
      <c r="C170" s="39" t="s">
        <v>613</v>
      </c>
      <c r="D170" s="218"/>
      <c r="E170" s="225"/>
      <c r="F170" s="225"/>
      <c r="G170" s="364"/>
      <c r="H170" s="720"/>
      <c r="K170" s="689"/>
    </row>
    <row r="171" spans="1:11" s="12" customFormat="1">
      <c r="A171" s="81"/>
      <c r="B171" s="58"/>
      <c r="C171" s="39" t="s">
        <v>629</v>
      </c>
      <c r="D171" s="211"/>
      <c r="E171" s="44"/>
      <c r="F171" s="44"/>
      <c r="G171" s="245"/>
      <c r="H171" s="720"/>
      <c r="K171" s="689"/>
    </row>
    <row r="172" spans="1:11" s="12" customFormat="1" ht="16.5" customHeight="1">
      <c r="A172" s="81"/>
      <c r="B172" s="58"/>
      <c r="C172" s="39" t="s">
        <v>536</v>
      </c>
      <c r="D172" s="209">
        <v>600</v>
      </c>
      <c r="E172" s="43">
        <v>600</v>
      </c>
      <c r="F172" s="43"/>
      <c r="G172" s="248"/>
      <c r="H172" s="209">
        <v>600</v>
      </c>
      <c r="I172" s="43">
        <v>600</v>
      </c>
      <c r="J172" s="43"/>
      <c r="K172" s="677"/>
    </row>
    <row r="173" spans="1:11" s="12" customFormat="1" ht="16.5" customHeight="1">
      <c r="A173" s="81"/>
      <c r="B173" s="58"/>
      <c r="C173" s="39" t="s">
        <v>678</v>
      </c>
      <c r="D173" s="209">
        <v>1200</v>
      </c>
      <c r="E173" s="43">
        <v>1200</v>
      </c>
      <c r="F173" s="43"/>
      <c r="G173" s="248"/>
      <c r="H173" s="209">
        <v>1200</v>
      </c>
      <c r="I173" s="43">
        <v>1200</v>
      </c>
      <c r="J173" s="43"/>
      <c r="K173" s="677"/>
    </row>
    <row r="174" spans="1:11" s="12" customFormat="1" ht="16.5" customHeight="1">
      <c r="A174" s="81"/>
      <c r="B174" s="58"/>
      <c r="C174" s="39" t="s">
        <v>679</v>
      </c>
      <c r="D174" s="209">
        <v>1000</v>
      </c>
      <c r="E174" s="43">
        <v>1000</v>
      </c>
      <c r="F174" s="43"/>
      <c r="G174" s="248"/>
      <c r="H174" s="209">
        <v>1000</v>
      </c>
      <c r="I174" s="43">
        <v>1000</v>
      </c>
      <c r="J174" s="43"/>
      <c r="K174" s="677"/>
    </row>
    <row r="175" spans="1:11" s="12" customFormat="1" ht="30">
      <c r="A175" s="81"/>
      <c r="B175" s="58"/>
      <c r="C175" s="62" t="s">
        <v>680</v>
      </c>
      <c r="D175" s="227">
        <v>214779</v>
      </c>
      <c r="E175" s="91">
        <v>214779</v>
      </c>
      <c r="F175" s="91"/>
      <c r="G175" s="255"/>
      <c r="H175" s="227">
        <v>243604</v>
      </c>
      <c r="I175" s="43">
        <v>243604</v>
      </c>
      <c r="K175" s="689"/>
    </row>
    <row r="176" spans="1:11" s="12" customFormat="1" ht="30">
      <c r="A176" s="81"/>
      <c r="B176" s="58"/>
      <c r="C176" s="62" t="s">
        <v>681</v>
      </c>
      <c r="D176" s="227">
        <v>108000</v>
      </c>
      <c r="E176" s="91">
        <v>77256</v>
      </c>
      <c r="F176" s="91">
        <v>30744</v>
      </c>
      <c r="G176" s="255"/>
      <c r="H176" s="227">
        <v>119282</v>
      </c>
      <c r="I176" s="91">
        <v>88538</v>
      </c>
      <c r="J176" s="91">
        <v>30744</v>
      </c>
      <c r="K176" s="686"/>
    </row>
    <row r="177" spans="1:11" s="12" customFormat="1">
      <c r="A177" s="81"/>
      <c r="B177" s="58"/>
      <c r="C177" s="62" t="s">
        <v>682</v>
      </c>
      <c r="D177" s="227">
        <v>6840</v>
      </c>
      <c r="E177" s="91">
        <v>6840</v>
      </c>
      <c r="F177" s="91"/>
      <c r="G177" s="255"/>
      <c r="H177" s="686">
        <v>6840</v>
      </c>
      <c r="I177" s="91">
        <v>6840</v>
      </c>
      <c r="J177" s="91"/>
      <c r="K177" s="686"/>
    </row>
    <row r="178" spans="1:11" s="12" customFormat="1">
      <c r="A178" s="81"/>
      <c r="B178" s="58"/>
      <c r="C178" s="52" t="s">
        <v>483</v>
      </c>
      <c r="D178" s="149">
        <f t="shared" ref="D178:J178" si="16">SUM(D172:D177)</f>
        <v>332419</v>
      </c>
      <c r="E178" s="54">
        <f t="shared" si="16"/>
        <v>301675</v>
      </c>
      <c r="F178" s="54">
        <f t="shared" si="16"/>
        <v>30744</v>
      </c>
      <c r="G178" s="249">
        <f t="shared" si="16"/>
        <v>0</v>
      </c>
      <c r="H178" s="673">
        <f t="shared" si="16"/>
        <v>372526</v>
      </c>
      <c r="I178" s="54">
        <f t="shared" si="16"/>
        <v>341782</v>
      </c>
      <c r="J178" s="54">
        <f t="shared" si="16"/>
        <v>30744</v>
      </c>
      <c r="K178" s="673">
        <v>0</v>
      </c>
    </row>
    <row r="179" spans="1:11" s="12" customFormat="1">
      <c r="A179" s="81"/>
      <c r="B179" s="58"/>
      <c r="C179" s="52"/>
      <c r="D179" s="149"/>
      <c r="E179" s="54"/>
      <c r="F179" s="54"/>
      <c r="G179" s="249"/>
      <c r="H179" s="720"/>
      <c r="K179" s="689"/>
    </row>
    <row r="180" spans="1:11" s="12" customFormat="1">
      <c r="A180" s="81"/>
      <c r="B180" s="58"/>
      <c r="C180" s="39" t="s">
        <v>630</v>
      </c>
      <c r="D180" s="209"/>
      <c r="E180" s="43"/>
      <c r="F180" s="43"/>
      <c r="G180" s="248"/>
      <c r="H180" s="720"/>
      <c r="K180" s="689"/>
    </row>
    <row r="181" spans="1:11" s="12" customFormat="1">
      <c r="A181" s="81"/>
      <c r="B181" s="58"/>
      <c r="C181" s="39" t="s">
        <v>537</v>
      </c>
      <c r="D181" s="209">
        <v>32922</v>
      </c>
      <c r="E181" s="43">
        <v>32922</v>
      </c>
      <c r="F181" s="43"/>
      <c r="G181" s="248"/>
      <c r="H181" s="677">
        <v>32922</v>
      </c>
      <c r="I181" s="43">
        <v>32922</v>
      </c>
      <c r="K181" s="689"/>
    </row>
    <row r="182" spans="1:11" s="12" customFormat="1">
      <c r="A182" s="81"/>
      <c r="B182" s="58"/>
      <c r="C182" s="39" t="s">
        <v>538</v>
      </c>
      <c r="D182" s="209"/>
      <c r="E182" s="43"/>
      <c r="F182" s="43"/>
      <c r="G182" s="248"/>
      <c r="H182" s="720"/>
      <c r="K182" s="689"/>
    </row>
    <row r="183" spans="1:11" s="12" customFormat="1">
      <c r="A183" s="81"/>
      <c r="B183" s="58"/>
      <c r="C183" s="39" t="s">
        <v>535</v>
      </c>
      <c r="D183" s="209">
        <v>30000</v>
      </c>
      <c r="E183" s="43"/>
      <c r="F183" s="43">
        <v>30000</v>
      </c>
      <c r="G183" s="248"/>
      <c r="H183" s="110">
        <v>30500</v>
      </c>
      <c r="J183" s="43">
        <v>30500</v>
      </c>
      <c r="K183" s="689"/>
    </row>
    <row r="184" spans="1:11" s="12" customFormat="1">
      <c r="A184" s="81"/>
      <c r="B184" s="58"/>
      <c r="C184" s="39" t="s">
        <v>675</v>
      </c>
      <c r="D184" s="209">
        <v>760</v>
      </c>
      <c r="E184" s="43">
        <v>760</v>
      </c>
      <c r="F184" s="43"/>
      <c r="G184" s="248"/>
      <c r="H184" s="677">
        <v>760</v>
      </c>
      <c r="I184" s="43">
        <v>760</v>
      </c>
      <c r="J184" s="43"/>
      <c r="K184" s="677"/>
    </row>
    <row r="185" spans="1:11" s="12" customFormat="1">
      <c r="A185" s="81"/>
      <c r="B185" s="58"/>
      <c r="C185" s="39" t="s">
        <v>539</v>
      </c>
      <c r="D185" s="209">
        <v>3500</v>
      </c>
      <c r="E185" s="43"/>
      <c r="F185" s="43">
        <v>3500</v>
      </c>
      <c r="G185" s="248"/>
      <c r="H185" s="677">
        <v>3500</v>
      </c>
      <c r="I185" s="43"/>
      <c r="J185" s="43">
        <v>3500</v>
      </c>
      <c r="K185" s="677"/>
    </row>
    <row r="186" spans="1:11" s="12" customFormat="1">
      <c r="A186" s="81"/>
      <c r="B186" s="58"/>
      <c r="C186" s="39" t="s">
        <v>540</v>
      </c>
      <c r="D186" s="209">
        <v>318</v>
      </c>
      <c r="E186" s="43">
        <v>318</v>
      </c>
      <c r="F186" s="43"/>
      <c r="G186" s="248"/>
      <c r="H186" s="677">
        <v>318</v>
      </c>
      <c r="I186" s="43">
        <v>318</v>
      </c>
      <c r="J186" s="43"/>
      <c r="K186" s="677"/>
    </row>
    <row r="187" spans="1:11" s="12" customFormat="1">
      <c r="A187" s="81"/>
      <c r="B187" s="58"/>
      <c r="C187" s="39" t="s">
        <v>615</v>
      </c>
      <c r="D187" s="209">
        <v>3380</v>
      </c>
      <c r="E187" s="43">
        <v>3380</v>
      </c>
      <c r="F187" s="43"/>
      <c r="G187" s="248"/>
      <c r="H187" s="677">
        <v>3380</v>
      </c>
      <c r="I187" s="43">
        <v>3380</v>
      </c>
      <c r="J187" s="43"/>
      <c r="K187" s="677"/>
    </row>
    <row r="188" spans="1:11" s="12" customFormat="1">
      <c r="A188" s="81"/>
      <c r="B188" s="58"/>
      <c r="C188" s="39" t="s">
        <v>541</v>
      </c>
      <c r="D188" s="209">
        <v>2660</v>
      </c>
      <c r="E188" s="43"/>
      <c r="F188" s="43">
        <v>2660</v>
      </c>
      <c r="G188" s="248"/>
      <c r="H188" s="677">
        <v>1305</v>
      </c>
      <c r="I188" s="43"/>
      <c r="J188" s="43">
        <v>1305</v>
      </c>
      <c r="K188" s="677"/>
    </row>
    <row r="189" spans="1:11" s="12" customFormat="1">
      <c r="A189" s="81"/>
      <c r="B189" s="58"/>
      <c r="C189" s="62" t="s">
        <v>683</v>
      </c>
      <c r="D189" s="227">
        <v>3000</v>
      </c>
      <c r="E189" s="91"/>
      <c r="F189" s="91">
        <v>3000</v>
      </c>
      <c r="G189" s="255"/>
      <c r="H189" s="686">
        <v>3000</v>
      </c>
      <c r="I189" s="91"/>
      <c r="J189" s="91">
        <v>3000</v>
      </c>
      <c r="K189" s="686"/>
    </row>
    <row r="190" spans="1:11" s="29" customFormat="1">
      <c r="A190" s="82"/>
      <c r="B190" s="58"/>
      <c r="C190" s="62" t="s">
        <v>684</v>
      </c>
      <c r="D190" s="227">
        <v>1000</v>
      </c>
      <c r="E190" s="91"/>
      <c r="F190" s="91">
        <v>1000</v>
      </c>
      <c r="G190" s="255"/>
      <c r="H190" s="686">
        <v>1000</v>
      </c>
      <c r="I190" s="91"/>
      <c r="J190" s="91">
        <v>1000</v>
      </c>
      <c r="K190" s="686"/>
    </row>
    <row r="191" spans="1:11" s="12" customFormat="1">
      <c r="A191" s="81"/>
      <c r="B191" s="58"/>
      <c r="C191" s="62" t="s">
        <v>685</v>
      </c>
      <c r="D191" s="227">
        <v>3000</v>
      </c>
      <c r="E191" s="91"/>
      <c r="F191" s="91">
        <v>3000</v>
      </c>
      <c r="G191" s="255"/>
      <c r="H191" s="686">
        <v>3378</v>
      </c>
      <c r="I191" s="91"/>
      <c r="J191" s="91">
        <v>3378</v>
      </c>
      <c r="K191" s="686"/>
    </row>
    <row r="192" spans="1:11" s="12" customFormat="1">
      <c r="A192" s="81"/>
      <c r="B192" s="58"/>
      <c r="C192" s="62" t="s">
        <v>686</v>
      </c>
      <c r="D192" s="227">
        <v>1000</v>
      </c>
      <c r="E192" s="91"/>
      <c r="F192" s="91">
        <v>1000</v>
      </c>
      <c r="G192" s="255"/>
      <c r="H192" s="686">
        <v>1000</v>
      </c>
      <c r="I192" s="91"/>
      <c r="J192" s="91">
        <v>1000</v>
      </c>
      <c r="K192" s="686"/>
    </row>
    <row r="193" spans="1:11" s="12" customFormat="1">
      <c r="A193" s="81"/>
      <c r="B193" s="58"/>
      <c r="C193" s="62" t="s">
        <v>687</v>
      </c>
      <c r="D193" s="227">
        <v>50</v>
      </c>
      <c r="E193" s="91">
        <v>0</v>
      </c>
      <c r="F193" s="91">
        <v>50</v>
      </c>
      <c r="G193" s="255">
        <v>0</v>
      </c>
      <c r="H193" s="686">
        <v>50</v>
      </c>
      <c r="I193" s="91">
        <v>0</v>
      </c>
      <c r="J193" s="91">
        <v>50</v>
      </c>
      <c r="K193" s="686">
        <v>0</v>
      </c>
    </row>
    <row r="194" spans="1:11" s="12" customFormat="1">
      <c r="A194" s="81"/>
      <c r="B194" s="58"/>
      <c r="C194" s="62" t="s">
        <v>67</v>
      </c>
      <c r="D194" s="227"/>
      <c r="E194" s="91"/>
      <c r="F194" s="91"/>
      <c r="G194" s="255"/>
      <c r="H194" s="686">
        <v>300</v>
      </c>
      <c r="I194" s="91"/>
      <c r="J194" s="91">
        <v>300</v>
      </c>
      <c r="K194" s="686"/>
    </row>
    <row r="195" spans="1:11" s="12" customFormat="1">
      <c r="A195" s="81"/>
      <c r="B195" s="58"/>
      <c r="C195" s="52" t="s">
        <v>483</v>
      </c>
      <c r="D195" s="149">
        <f>SUM(D181:D193)</f>
        <v>81590</v>
      </c>
      <c r="E195" s="54">
        <f>SUM(E181:E193)</f>
        <v>37380</v>
      </c>
      <c r="F195" s="54">
        <f>SUM(F181:F193)</f>
        <v>44210</v>
      </c>
      <c r="G195" s="249">
        <f>SUM(G181:G193)</f>
        <v>0</v>
      </c>
      <c r="H195" s="673">
        <f>SUM(H181:H194)</f>
        <v>81413</v>
      </c>
      <c r="I195" s="54">
        <f>SUM(I181:I193)</f>
        <v>37380</v>
      </c>
      <c r="J195" s="54">
        <f>SUM(J183:J194)</f>
        <v>44033</v>
      </c>
      <c r="K195" s="673">
        <f>SUM(K181:K193)</f>
        <v>0</v>
      </c>
    </row>
    <row r="196" spans="1:11" s="12" customFormat="1">
      <c r="A196" s="81"/>
      <c r="B196" s="58"/>
      <c r="C196" s="60"/>
      <c r="D196" s="150"/>
      <c r="E196" s="61"/>
      <c r="F196" s="61"/>
      <c r="G196" s="365"/>
      <c r="H196" s="720"/>
      <c r="K196" s="689"/>
    </row>
    <row r="197" spans="1:11" s="12" customFormat="1">
      <c r="A197" s="37"/>
      <c r="B197" s="86"/>
      <c r="C197" s="39" t="s">
        <v>688</v>
      </c>
      <c r="D197" s="150"/>
      <c r="E197" s="61"/>
      <c r="F197" s="61"/>
      <c r="G197" s="365"/>
      <c r="H197" s="720"/>
      <c r="K197" s="689"/>
    </row>
    <row r="198" spans="1:11" s="12" customFormat="1">
      <c r="A198" s="37"/>
      <c r="B198" s="86"/>
      <c r="C198" s="60" t="s">
        <v>694</v>
      </c>
      <c r="D198" s="150"/>
      <c r="E198" s="61"/>
      <c r="F198" s="61"/>
      <c r="G198" s="365"/>
      <c r="H198" s="720"/>
      <c r="K198" s="689"/>
    </row>
    <row r="199" spans="1:11" s="12" customFormat="1">
      <c r="A199" s="37"/>
      <c r="B199" s="86"/>
      <c r="C199" s="62" t="s">
        <v>689</v>
      </c>
      <c r="D199" s="227">
        <v>2000</v>
      </c>
      <c r="E199" s="91">
        <v>2000</v>
      </c>
      <c r="F199" s="61"/>
      <c r="G199" s="365"/>
      <c r="H199" s="686">
        <v>2000</v>
      </c>
      <c r="I199" s="91">
        <v>2000</v>
      </c>
      <c r="K199" s="689"/>
    </row>
    <row r="200" spans="1:11" s="12" customFormat="1" ht="15.75" customHeight="1">
      <c r="A200" s="37"/>
      <c r="B200" s="86"/>
      <c r="C200" s="62" t="s">
        <v>690</v>
      </c>
      <c r="D200" s="227">
        <v>5000</v>
      </c>
      <c r="E200" s="91">
        <v>5000</v>
      </c>
      <c r="F200" s="61"/>
      <c r="G200" s="365"/>
      <c r="H200" s="686">
        <v>0</v>
      </c>
      <c r="I200" s="91">
        <v>0</v>
      </c>
      <c r="K200" s="689"/>
    </row>
    <row r="201" spans="1:11" s="12" customFormat="1">
      <c r="A201" s="37"/>
      <c r="B201" s="86"/>
      <c r="C201" s="62" t="s">
        <v>691</v>
      </c>
      <c r="D201" s="227">
        <v>12000</v>
      </c>
      <c r="E201" s="91"/>
      <c r="F201" s="91">
        <v>12000</v>
      </c>
      <c r="G201" s="255"/>
      <c r="H201" s="110">
        <v>0</v>
      </c>
      <c r="K201" s="689"/>
    </row>
    <row r="202" spans="1:11" s="12" customFormat="1">
      <c r="A202" s="37"/>
      <c r="B202" s="86"/>
      <c r="C202" s="62" t="s">
        <v>692</v>
      </c>
      <c r="D202" s="227">
        <v>5000</v>
      </c>
      <c r="E202" s="91">
        <v>5000</v>
      </c>
      <c r="F202" s="91"/>
      <c r="G202" s="255"/>
      <c r="H202" s="686">
        <v>0</v>
      </c>
      <c r="I202" s="91">
        <v>0</v>
      </c>
      <c r="J202" s="91"/>
      <c r="K202" s="686"/>
    </row>
    <row r="203" spans="1:11" s="12" customFormat="1">
      <c r="A203" s="37"/>
      <c r="B203" s="86"/>
      <c r="C203" s="62" t="s">
        <v>693</v>
      </c>
      <c r="D203" s="227">
        <v>1500</v>
      </c>
      <c r="E203" s="91"/>
      <c r="F203" s="91">
        <v>1500</v>
      </c>
      <c r="G203" s="255"/>
      <c r="H203" s="227">
        <v>1500</v>
      </c>
      <c r="I203" s="91"/>
      <c r="J203" s="91">
        <v>1500</v>
      </c>
      <c r="K203" s="686"/>
    </row>
    <row r="204" spans="1:11" s="12" customFormat="1">
      <c r="A204" s="37"/>
      <c r="B204" s="86"/>
      <c r="C204" s="62" t="s">
        <v>184</v>
      </c>
      <c r="D204" s="227">
        <v>5000</v>
      </c>
      <c r="E204" s="91"/>
      <c r="F204" s="91">
        <v>5000</v>
      </c>
      <c r="G204" s="255"/>
      <c r="H204" s="227">
        <v>0</v>
      </c>
      <c r="I204" s="91"/>
      <c r="J204" s="91">
        <v>0</v>
      </c>
      <c r="K204" s="686"/>
    </row>
    <row r="205" spans="1:11" s="12" customFormat="1">
      <c r="A205" s="37"/>
      <c r="B205" s="86"/>
      <c r="C205" s="62" t="s">
        <v>68</v>
      </c>
      <c r="D205" s="227"/>
      <c r="E205" s="91"/>
      <c r="F205" s="91"/>
      <c r="G205" s="255"/>
      <c r="H205" s="227">
        <v>0</v>
      </c>
      <c r="I205" s="91">
        <v>0</v>
      </c>
      <c r="J205" s="91"/>
      <c r="K205" s="686"/>
    </row>
    <row r="206" spans="1:11" s="12" customFormat="1">
      <c r="A206" s="37"/>
      <c r="B206" s="86"/>
      <c r="C206" s="60" t="s">
        <v>695</v>
      </c>
      <c r="D206" s="150"/>
      <c r="E206" s="61"/>
      <c r="F206" s="61"/>
      <c r="G206" s="365"/>
      <c r="H206" s="150"/>
      <c r="I206" s="61"/>
      <c r="J206" s="61"/>
      <c r="K206" s="152"/>
    </row>
    <row r="207" spans="1:11" s="12" customFormat="1">
      <c r="A207" s="37"/>
      <c r="B207" s="58"/>
      <c r="C207" s="62" t="s">
        <v>69</v>
      </c>
      <c r="D207" s="227">
        <v>5000</v>
      </c>
      <c r="E207" s="91">
        <v>5000</v>
      </c>
      <c r="F207" s="91"/>
      <c r="G207" s="255"/>
      <c r="H207" s="686">
        <v>100</v>
      </c>
      <c r="I207" s="91">
        <v>100</v>
      </c>
      <c r="J207" s="91"/>
      <c r="K207" s="686"/>
    </row>
    <row r="208" spans="1:11" s="12" customFormat="1" ht="30">
      <c r="A208" s="37"/>
      <c r="B208" s="58"/>
      <c r="C208" s="62" t="s">
        <v>70</v>
      </c>
      <c r="D208" s="227">
        <v>3000</v>
      </c>
      <c r="E208" s="91">
        <v>3000</v>
      </c>
      <c r="F208" s="91"/>
      <c r="G208" s="255"/>
      <c r="H208" s="110">
        <f>1738-1700-38</f>
        <v>0</v>
      </c>
      <c r="I208" s="91">
        <v>0</v>
      </c>
      <c r="K208" s="689"/>
    </row>
    <row r="209" spans="1:11" s="12" customFormat="1">
      <c r="A209" s="37"/>
      <c r="B209" s="58"/>
      <c r="C209" s="62" t="s">
        <v>71</v>
      </c>
      <c r="D209" s="227">
        <v>145116</v>
      </c>
      <c r="E209" s="91">
        <v>145116</v>
      </c>
      <c r="F209" s="91"/>
      <c r="G209" s="255"/>
      <c r="H209" s="686">
        <v>126531</v>
      </c>
      <c r="I209" s="91">
        <v>126531</v>
      </c>
      <c r="J209" s="91"/>
      <c r="K209" s="686"/>
    </row>
    <row r="210" spans="1:11" s="12" customFormat="1">
      <c r="A210" s="37"/>
      <c r="B210" s="58"/>
      <c r="C210" s="62" t="s">
        <v>72</v>
      </c>
      <c r="D210" s="227">
        <v>35000</v>
      </c>
      <c r="E210" s="91">
        <v>35000</v>
      </c>
      <c r="F210" s="91"/>
      <c r="G210" s="255"/>
      <c r="H210" s="686">
        <v>35000</v>
      </c>
      <c r="I210" s="91">
        <v>35000</v>
      </c>
      <c r="J210" s="91"/>
      <c r="K210" s="686"/>
    </row>
    <row r="211" spans="1:11" s="12" customFormat="1">
      <c r="A211" s="37"/>
      <c r="B211" s="58"/>
      <c r="C211" s="62" t="s">
        <v>73</v>
      </c>
      <c r="D211" s="227">
        <v>400</v>
      </c>
      <c r="E211" s="91">
        <v>400</v>
      </c>
      <c r="F211" s="91"/>
      <c r="G211" s="255"/>
      <c r="H211" s="686">
        <v>0</v>
      </c>
      <c r="I211" s="91">
        <v>0</v>
      </c>
      <c r="J211" s="91"/>
      <c r="K211" s="686"/>
    </row>
    <row r="212" spans="1:11" s="12" customFormat="1">
      <c r="A212" s="37"/>
      <c r="B212" s="58"/>
      <c r="C212" s="60" t="s">
        <v>485</v>
      </c>
      <c r="D212" s="150">
        <f>SUM(D198:D211)</f>
        <v>219016</v>
      </c>
      <c r="E212" s="61">
        <f>SUM(E198:E211)</f>
        <v>200516</v>
      </c>
      <c r="F212" s="61">
        <f>SUM(F198:F210)</f>
        <v>18500</v>
      </c>
      <c r="G212" s="365">
        <f>SUM(G198:G210)</f>
        <v>0</v>
      </c>
      <c r="H212" s="152">
        <f>SUM(H199:H211)</f>
        <v>165131</v>
      </c>
      <c r="I212" s="61">
        <f>SUM(I198:I211)</f>
        <v>163631</v>
      </c>
      <c r="J212" s="61">
        <f>SUM(J198:J210)</f>
        <v>1500</v>
      </c>
      <c r="K212" s="152">
        <f>SUM(K198:K210)</f>
        <v>0</v>
      </c>
    </row>
    <row r="213" spans="1:11" s="12" customFormat="1">
      <c r="A213" s="37"/>
      <c r="B213" s="58"/>
      <c r="C213" s="60"/>
      <c r="D213" s="218"/>
      <c r="E213" s="225"/>
      <c r="F213" s="225"/>
      <c r="G213" s="364"/>
      <c r="H213" s="720"/>
      <c r="K213" s="689"/>
    </row>
    <row r="214" spans="1:11" s="12" customFormat="1">
      <c r="A214" s="37"/>
      <c r="B214" s="86"/>
      <c r="C214" s="39" t="s">
        <v>696</v>
      </c>
      <c r="D214" s="150">
        <v>5000</v>
      </c>
      <c r="E214" s="61">
        <v>5000</v>
      </c>
      <c r="F214" s="61"/>
      <c r="G214" s="365"/>
      <c r="H214" s="110">
        <v>0</v>
      </c>
      <c r="I214" s="43">
        <v>0</v>
      </c>
      <c r="K214" s="689"/>
    </row>
    <row r="215" spans="1:11" s="12" customFormat="1">
      <c r="A215" s="37"/>
      <c r="B215" s="58"/>
      <c r="C215" s="39"/>
      <c r="D215" s="209"/>
      <c r="E215" s="43"/>
      <c r="F215" s="43"/>
      <c r="G215" s="248"/>
      <c r="H215" s="720"/>
      <c r="K215" s="689"/>
    </row>
    <row r="216" spans="1:11" s="12" customFormat="1">
      <c r="A216" s="37"/>
      <c r="B216" s="58"/>
      <c r="C216" s="60" t="s">
        <v>634</v>
      </c>
      <c r="D216" s="150">
        <f t="shared" ref="D216:K216" si="17">D178+D195+D212+D214</f>
        <v>638025</v>
      </c>
      <c r="E216" s="61">
        <f t="shared" si="17"/>
        <v>544571</v>
      </c>
      <c r="F216" s="61">
        <f t="shared" si="17"/>
        <v>93454</v>
      </c>
      <c r="G216" s="365">
        <f t="shared" si="17"/>
        <v>0</v>
      </c>
      <c r="H216" s="152">
        <f t="shared" si="17"/>
        <v>619070</v>
      </c>
      <c r="I216" s="61">
        <f t="shared" si="17"/>
        <v>542793</v>
      </c>
      <c r="J216" s="61">
        <f t="shared" si="17"/>
        <v>76277</v>
      </c>
      <c r="K216" s="152">
        <f t="shared" si="17"/>
        <v>0</v>
      </c>
    </row>
    <row r="217" spans="1:11" s="12" customFormat="1">
      <c r="A217" s="81"/>
      <c r="B217" s="58"/>
      <c r="C217" s="60"/>
      <c r="D217" s="218"/>
      <c r="E217" s="225"/>
      <c r="F217" s="225"/>
      <c r="G217" s="364"/>
      <c r="H217" s="720"/>
      <c r="K217" s="689"/>
    </row>
    <row r="218" spans="1:11" s="12" customFormat="1">
      <c r="A218" s="81"/>
      <c r="B218" s="58" t="s">
        <v>447</v>
      </c>
      <c r="C218" s="39" t="s">
        <v>614</v>
      </c>
      <c r="D218" s="218"/>
      <c r="E218" s="225"/>
      <c r="F218" s="225"/>
      <c r="G218" s="364"/>
      <c r="H218" s="720"/>
      <c r="K218" s="689"/>
    </row>
    <row r="219" spans="1:11" s="12" customFormat="1">
      <c r="A219" s="81"/>
      <c r="B219" s="58"/>
      <c r="C219" s="39" t="s">
        <v>628</v>
      </c>
      <c r="D219" s="209">
        <v>64001</v>
      </c>
      <c r="E219" s="43"/>
      <c r="F219" s="43">
        <v>64001</v>
      </c>
      <c r="G219" s="248"/>
      <c r="H219" s="677">
        <v>64001</v>
      </c>
      <c r="I219" s="43"/>
      <c r="J219" s="43">
        <v>64001</v>
      </c>
      <c r="K219" s="677"/>
    </row>
    <row r="220" spans="1:11" s="12" customFormat="1">
      <c r="A220" s="81"/>
      <c r="B220" s="58"/>
      <c r="C220" s="39" t="s">
        <v>649</v>
      </c>
      <c r="D220" s="209">
        <v>3000</v>
      </c>
      <c r="E220" s="43">
        <v>3000</v>
      </c>
      <c r="F220" s="43"/>
      <c r="G220" s="248"/>
      <c r="H220" s="677">
        <v>3000</v>
      </c>
      <c r="I220" s="43">
        <v>3000</v>
      </c>
      <c r="J220" s="43"/>
      <c r="K220" s="677"/>
    </row>
    <row r="221" spans="1:11" s="12" customFormat="1">
      <c r="A221" s="81"/>
      <c r="B221" s="58"/>
      <c r="C221" s="39" t="s">
        <v>934</v>
      </c>
      <c r="D221" s="209">
        <v>2000</v>
      </c>
      <c r="E221" s="43">
        <v>2000</v>
      </c>
      <c r="F221" s="43"/>
      <c r="G221" s="248"/>
      <c r="H221" s="677">
        <v>2000</v>
      </c>
      <c r="I221" s="43">
        <v>2000</v>
      </c>
      <c r="J221" s="43"/>
      <c r="K221" s="677"/>
    </row>
    <row r="222" spans="1:11" s="12" customFormat="1">
      <c r="A222" s="81"/>
      <c r="B222" s="58"/>
      <c r="C222" s="39" t="s">
        <v>935</v>
      </c>
      <c r="D222" s="209">
        <v>650</v>
      </c>
      <c r="E222" s="43">
        <v>650</v>
      </c>
      <c r="F222" s="43"/>
      <c r="G222" s="248"/>
      <c r="H222" s="677">
        <v>650</v>
      </c>
      <c r="I222" s="43">
        <v>650</v>
      </c>
      <c r="J222" s="43"/>
      <c r="K222" s="677"/>
    </row>
    <row r="223" spans="1:11" s="12" customFormat="1">
      <c r="A223" s="81"/>
      <c r="B223" s="58"/>
      <c r="C223" s="39" t="s">
        <v>884</v>
      </c>
      <c r="D223" s="209">
        <v>4000</v>
      </c>
      <c r="E223" s="43">
        <v>4000</v>
      </c>
      <c r="F223" s="43"/>
      <c r="G223" s="248"/>
      <c r="H223" s="677">
        <v>4000</v>
      </c>
      <c r="I223" s="43">
        <v>4000</v>
      </c>
      <c r="J223" s="43"/>
      <c r="K223" s="677"/>
    </row>
    <row r="224" spans="1:11" s="12" customFormat="1">
      <c r="A224" s="81"/>
      <c r="B224" s="58"/>
      <c r="C224" s="39" t="s">
        <v>885</v>
      </c>
      <c r="D224" s="209"/>
      <c r="E224" s="43"/>
      <c r="F224" s="43"/>
      <c r="G224" s="248"/>
      <c r="H224" s="677"/>
      <c r="I224" s="43"/>
      <c r="J224" s="43"/>
      <c r="K224" s="677"/>
    </row>
    <row r="225" spans="1:11" s="29" customFormat="1">
      <c r="A225" s="82"/>
      <c r="B225" s="83"/>
      <c r="C225" s="52" t="s">
        <v>886</v>
      </c>
      <c r="D225" s="149">
        <v>100</v>
      </c>
      <c r="E225" s="54">
        <v>100</v>
      </c>
      <c r="F225" s="54"/>
      <c r="G225" s="249"/>
      <c r="H225" s="673">
        <v>100</v>
      </c>
      <c r="I225" s="54">
        <v>100</v>
      </c>
      <c r="J225" s="54"/>
      <c r="K225" s="673"/>
    </row>
    <row r="226" spans="1:11" s="12" customFormat="1">
      <c r="A226" s="81"/>
      <c r="B226" s="58"/>
      <c r="C226" s="39" t="s">
        <v>887</v>
      </c>
      <c r="D226" s="209">
        <v>5000</v>
      </c>
      <c r="E226" s="43">
        <v>5000</v>
      </c>
      <c r="F226" s="43"/>
      <c r="G226" s="248"/>
      <c r="H226" s="677">
        <v>0</v>
      </c>
      <c r="I226" s="43">
        <v>0</v>
      </c>
      <c r="J226" s="43"/>
      <c r="K226" s="677"/>
    </row>
    <row r="227" spans="1:11" s="12" customFormat="1">
      <c r="A227" s="81"/>
      <c r="B227" s="58"/>
      <c r="C227" s="39" t="s">
        <v>888</v>
      </c>
      <c r="D227" s="209">
        <v>3000</v>
      </c>
      <c r="E227" s="43">
        <v>3000</v>
      </c>
      <c r="F227" s="43"/>
      <c r="G227" s="248"/>
      <c r="H227" s="677">
        <v>3000</v>
      </c>
      <c r="I227" s="43">
        <v>3000</v>
      </c>
      <c r="J227" s="43"/>
      <c r="K227" s="677"/>
    </row>
    <row r="228" spans="1:11" s="29" customFormat="1">
      <c r="A228" s="82"/>
      <c r="B228" s="83"/>
      <c r="C228" s="111" t="s">
        <v>889</v>
      </c>
      <c r="D228" s="227">
        <v>159196</v>
      </c>
      <c r="E228" s="91"/>
      <c r="F228" s="91">
        <v>159196</v>
      </c>
      <c r="G228" s="255"/>
      <c r="H228" s="686">
        <v>159196</v>
      </c>
      <c r="I228" s="91"/>
      <c r="J228" s="91">
        <v>159196</v>
      </c>
      <c r="K228" s="686"/>
    </row>
    <row r="229" spans="1:11" s="12" customFormat="1">
      <c r="A229" s="81"/>
      <c r="B229" s="58"/>
      <c r="C229" s="111" t="s">
        <v>890</v>
      </c>
      <c r="D229" s="227">
        <v>1651</v>
      </c>
      <c r="E229" s="91">
        <v>1651</v>
      </c>
      <c r="F229" s="91"/>
      <c r="G229" s="255"/>
      <c r="H229" s="686">
        <v>1651</v>
      </c>
      <c r="I229" s="91">
        <v>1651</v>
      </c>
      <c r="J229" s="91"/>
      <c r="K229" s="686"/>
    </row>
    <row r="230" spans="1:11" s="12" customFormat="1">
      <c r="A230" s="81"/>
      <c r="B230" s="58"/>
      <c r="C230" s="111" t="s">
        <v>891</v>
      </c>
      <c r="D230" s="227">
        <v>1439</v>
      </c>
      <c r="E230" s="91">
        <v>1439</v>
      </c>
      <c r="F230" s="91"/>
      <c r="G230" s="255"/>
      <c r="H230" s="686">
        <v>1439</v>
      </c>
      <c r="I230" s="91">
        <v>1439</v>
      </c>
      <c r="J230" s="91"/>
      <c r="K230" s="686"/>
    </row>
    <row r="231" spans="1:11" s="12" customFormat="1">
      <c r="A231" s="81"/>
      <c r="B231" s="58"/>
      <c r="C231" s="111" t="s">
        <v>183</v>
      </c>
      <c r="D231" s="227">
        <v>2000</v>
      </c>
      <c r="E231" s="91">
        <v>2000</v>
      </c>
      <c r="F231" s="91"/>
      <c r="G231" s="255"/>
      <c r="H231" s="686">
        <v>2000</v>
      </c>
      <c r="I231" s="91">
        <v>2000</v>
      </c>
      <c r="J231" s="91"/>
      <c r="K231" s="686"/>
    </row>
    <row r="232" spans="1:11" s="12" customFormat="1">
      <c r="A232" s="81"/>
      <c r="B232" s="58"/>
      <c r="C232" s="111" t="s">
        <v>74</v>
      </c>
      <c r="D232" s="227"/>
      <c r="E232" s="91"/>
      <c r="F232" s="91"/>
      <c r="G232" s="255"/>
      <c r="H232" s="110">
        <v>750</v>
      </c>
      <c r="I232" s="44">
        <v>750</v>
      </c>
      <c r="J232" s="43"/>
      <c r="K232" s="689"/>
    </row>
    <row r="233" spans="1:11" s="12" customFormat="1">
      <c r="A233" s="81"/>
      <c r="B233" s="58"/>
      <c r="C233" s="111" t="s">
        <v>75</v>
      </c>
      <c r="D233" s="227"/>
      <c r="E233" s="91"/>
      <c r="F233" s="91"/>
      <c r="G233" s="255"/>
      <c r="H233" s="110">
        <v>2000</v>
      </c>
      <c r="I233" s="43">
        <v>2000</v>
      </c>
      <c r="J233" s="43"/>
      <c r="K233" s="689"/>
    </row>
    <row r="234" spans="1:11" s="12" customFormat="1">
      <c r="A234" s="81"/>
      <c r="B234" s="58"/>
      <c r="C234" s="111" t="s">
        <v>76</v>
      </c>
      <c r="D234" s="227"/>
      <c r="E234" s="91"/>
      <c r="F234" s="91"/>
      <c r="G234" s="255"/>
      <c r="H234" s="677">
        <v>1435</v>
      </c>
      <c r="I234" s="43">
        <v>1435</v>
      </c>
      <c r="J234" s="43"/>
      <c r="K234" s="689"/>
    </row>
    <row r="235" spans="1:11" s="12" customFormat="1" ht="30">
      <c r="A235" s="81"/>
      <c r="B235" s="58"/>
      <c r="C235" s="111" t="s">
        <v>77</v>
      </c>
      <c r="D235" s="227"/>
      <c r="E235" s="91"/>
      <c r="F235" s="91"/>
      <c r="G235" s="255"/>
      <c r="H235" s="677">
        <v>2500</v>
      </c>
      <c r="I235" s="43">
        <v>2500</v>
      </c>
      <c r="J235" s="43"/>
      <c r="K235" s="691"/>
    </row>
    <row r="236" spans="1:11" s="12" customFormat="1">
      <c r="A236" s="81"/>
      <c r="B236" s="58"/>
      <c r="C236" s="111" t="s">
        <v>78</v>
      </c>
      <c r="D236" s="227"/>
      <c r="E236" s="91"/>
      <c r="F236" s="91"/>
      <c r="G236" s="255"/>
      <c r="H236" s="677">
        <v>2800</v>
      </c>
      <c r="I236" s="43"/>
      <c r="J236" s="43">
        <v>2800</v>
      </c>
      <c r="K236" s="691"/>
    </row>
    <row r="237" spans="1:11" s="12" customFormat="1">
      <c r="A237" s="81"/>
      <c r="B237" s="58"/>
      <c r="C237" s="111" t="s">
        <v>79</v>
      </c>
      <c r="D237" s="227"/>
      <c r="E237" s="91"/>
      <c r="F237" s="91"/>
      <c r="G237" s="255"/>
      <c r="H237" s="677">
        <v>704</v>
      </c>
      <c r="I237" s="43"/>
      <c r="J237" s="43">
        <v>704</v>
      </c>
      <c r="K237" s="691"/>
    </row>
    <row r="238" spans="1:11" s="12" customFormat="1" ht="30">
      <c r="A238" s="81"/>
      <c r="B238" s="58"/>
      <c r="C238" s="111" t="s">
        <v>80</v>
      </c>
      <c r="D238" s="227"/>
      <c r="E238" s="91"/>
      <c r="F238" s="91"/>
      <c r="G238" s="255"/>
      <c r="H238" s="677">
        <v>12108</v>
      </c>
      <c r="I238" s="43">
        <v>12108</v>
      </c>
      <c r="J238" s="43"/>
      <c r="K238" s="691"/>
    </row>
    <row r="239" spans="1:11" s="12" customFormat="1">
      <c r="A239" s="81"/>
      <c r="B239" s="58"/>
      <c r="C239" s="111" t="s">
        <v>81</v>
      </c>
      <c r="D239" s="227"/>
      <c r="E239" s="91"/>
      <c r="F239" s="91"/>
      <c r="G239" s="255"/>
      <c r="H239" s="677">
        <v>3100</v>
      </c>
      <c r="I239" s="43">
        <v>3100</v>
      </c>
      <c r="J239" s="43"/>
      <c r="K239" s="691"/>
    </row>
    <row r="240" spans="1:11" s="12" customFormat="1">
      <c r="A240" s="81"/>
      <c r="B240" s="58"/>
      <c r="C240" s="111" t="s">
        <v>936</v>
      </c>
      <c r="D240" s="227"/>
      <c r="E240" s="91"/>
      <c r="F240" s="91"/>
      <c r="G240" s="255"/>
      <c r="H240" s="677">
        <v>375</v>
      </c>
      <c r="I240" s="43"/>
      <c r="J240" s="43">
        <v>375</v>
      </c>
      <c r="K240" s="691"/>
    </row>
    <row r="241" spans="1:11" s="12" customFormat="1">
      <c r="A241" s="81"/>
      <c r="B241" s="58"/>
      <c r="C241" s="111" t="s">
        <v>937</v>
      </c>
      <c r="D241" s="227"/>
      <c r="E241" s="91"/>
      <c r="F241" s="91"/>
      <c r="G241" s="255"/>
      <c r="H241" s="677">
        <v>3000</v>
      </c>
      <c r="I241" s="43"/>
      <c r="J241" s="43">
        <v>3000</v>
      </c>
      <c r="K241" s="691"/>
    </row>
    <row r="242" spans="1:11" s="12" customFormat="1">
      <c r="A242" s="81"/>
      <c r="B242" s="58"/>
      <c r="C242" s="111" t="s">
        <v>938</v>
      </c>
      <c r="D242" s="227"/>
      <c r="E242" s="91"/>
      <c r="F242" s="91"/>
      <c r="G242" s="255"/>
      <c r="H242" s="677">
        <v>460</v>
      </c>
      <c r="I242" s="43"/>
      <c r="J242" s="43">
        <v>460</v>
      </c>
      <c r="K242" s="691"/>
    </row>
    <row r="243" spans="1:11" s="12" customFormat="1">
      <c r="A243" s="81"/>
      <c r="B243" s="58"/>
      <c r="C243" s="111" t="s">
        <v>939</v>
      </c>
      <c r="D243" s="227"/>
      <c r="E243" s="91"/>
      <c r="F243" s="91"/>
      <c r="G243" s="255"/>
      <c r="H243" s="677">
        <v>572</v>
      </c>
      <c r="I243" s="43"/>
      <c r="J243" s="43">
        <v>572</v>
      </c>
      <c r="K243" s="691"/>
    </row>
    <row r="244" spans="1:11" s="12" customFormat="1">
      <c r="A244" s="81"/>
      <c r="B244" s="58"/>
      <c r="C244" s="60" t="s">
        <v>552</v>
      </c>
      <c r="D244" s="150">
        <f>SUM(D219:D231)</f>
        <v>246037</v>
      </c>
      <c r="E244" s="61">
        <f>SUM(E219:E231)</f>
        <v>22840</v>
      </c>
      <c r="F244" s="61">
        <f>SUM(F219:F230)</f>
        <v>223197</v>
      </c>
      <c r="G244" s="366">
        <f>SUM(G219:G230)</f>
        <v>0</v>
      </c>
      <c r="H244" s="152">
        <f>SUM(H219:H243)</f>
        <v>270841</v>
      </c>
      <c r="I244" s="61">
        <f>SUM(I219:I243)</f>
        <v>39733</v>
      </c>
      <c r="J244" s="61">
        <f>SUM(J219:J243)</f>
        <v>231108</v>
      </c>
      <c r="K244" s="152">
        <f>SUM(K219:K236)</f>
        <v>0</v>
      </c>
    </row>
    <row r="245" spans="1:11" s="12" customFormat="1">
      <c r="A245" s="81"/>
      <c r="B245" s="58"/>
      <c r="C245" s="60"/>
      <c r="D245" s="218"/>
      <c r="E245" s="225"/>
      <c r="F245" s="225"/>
      <c r="G245" s="364"/>
      <c r="H245" s="720"/>
      <c r="K245" s="689"/>
    </row>
    <row r="246" spans="1:11" s="12" customFormat="1">
      <c r="A246" s="81"/>
      <c r="B246" s="58" t="s">
        <v>449</v>
      </c>
      <c r="C246" s="39" t="s">
        <v>448</v>
      </c>
      <c r="D246" s="218"/>
      <c r="E246" s="225"/>
      <c r="F246" s="225"/>
      <c r="G246" s="364"/>
      <c r="H246" s="720"/>
      <c r="K246" s="689"/>
    </row>
    <row r="247" spans="1:11" s="12" customFormat="1">
      <c r="A247" s="81"/>
      <c r="B247" s="58"/>
      <c r="C247" s="62" t="s">
        <v>648</v>
      </c>
      <c r="D247" s="227">
        <v>8000</v>
      </c>
      <c r="E247" s="91">
        <v>8000</v>
      </c>
      <c r="F247" s="91"/>
      <c r="G247" s="255"/>
      <c r="H247" s="227">
        <v>32300</v>
      </c>
      <c r="I247" s="91">
        <v>32300</v>
      </c>
      <c r="K247" s="689"/>
    </row>
    <row r="248" spans="1:11" s="12" customFormat="1">
      <c r="A248" s="81"/>
      <c r="B248" s="58"/>
      <c r="C248" s="62" t="s">
        <v>647</v>
      </c>
      <c r="D248" s="227">
        <v>8000</v>
      </c>
      <c r="E248" s="91">
        <v>8000</v>
      </c>
      <c r="F248" s="91"/>
      <c r="G248" s="255"/>
      <c r="H248" s="227">
        <v>15000</v>
      </c>
      <c r="I248" s="91">
        <v>15000</v>
      </c>
      <c r="K248" s="689"/>
    </row>
    <row r="249" spans="1:11" s="12" customFormat="1" ht="30">
      <c r="A249" s="81"/>
      <c r="B249" s="58"/>
      <c r="C249" s="62" t="s">
        <v>650</v>
      </c>
      <c r="D249" s="227">
        <v>15000</v>
      </c>
      <c r="E249" s="91">
        <v>15000</v>
      </c>
      <c r="F249" s="91"/>
      <c r="G249" s="255"/>
      <c r="H249" s="227">
        <v>15000</v>
      </c>
      <c r="I249" s="91">
        <v>15000</v>
      </c>
      <c r="K249" s="689"/>
    </row>
    <row r="250" spans="1:11" s="12" customFormat="1">
      <c r="A250" s="81"/>
      <c r="B250" s="58"/>
      <c r="C250" s="62" t="s">
        <v>849</v>
      </c>
      <c r="D250" s="227">
        <v>1000</v>
      </c>
      <c r="E250" s="91">
        <v>1000</v>
      </c>
      <c r="F250" s="91"/>
      <c r="G250" s="255"/>
      <c r="H250" s="227">
        <v>1000</v>
      </c>
      <c r="I250" s="91">
        <v>1000</v>
      </c>
      <c r="K250" s="689"/>
    </row>
    <row r="251" spans="1:11" s="12" customFormat="1">
      <c r="A251" s="81"/>
      <c r="B251" s="58"/>
      <c r="C251" s="62" t="s">
        <v>892</v>
      </c>
      <c r="D251" s="227">
        <v>1000</v>
      </c>
      <c r="E251" s="91">
        <v>1000</v>
      </c>
      <c r="F251" s="91"/>
      <c r="G251" s="255"/>
      <c r="H251" s="686">
        <v>1000</v>
      </c>
      <c r="I251" s="91">
        <v>1000</v>
      </c>
      <c r="K251" s="689"/>
    </row>
    <row r="252" spans="1:11" s="12" customFormat="1">
      <c r="A252" s="81"/>
      <c r="B252" s="58"/>
      <c r="C252" s="62" t="s">
        <v>893</v>
      </c>
      <c r="D252" s="227">
        <v>4000</v>
      </c>
      <c r="E252" s="91">
        <v>4000</v>
      </c>
      <c r="F252" s="91"/>
      <c r="G252" s="255"/>
      <c r="H252" s="686">
        <v>6700</v>
      </c>
      <c r="I252" s="91">
        <v>6700</v>
      </c>
      <c r="K252" s="689"/>
    </row>
    <row r="253" spans="1:11" s="12" customFormat="1">
      <c r="A253" s="81"/>
      <c r="B253" s="58"/>
      <c r="C253" s="62" t="s">
        <v>894</v>
      </c>
      <c r="D253" s="227">
        <v>3000</v>
      </c>
      <c r="E253" s="91">
        <v>3000</v>
      </c>
      <c r="F253" s="91"/>
      <c r="G253" s="255"/>
      <c r="H253" s="686">
        <v>4500</v>
      </c>
      <c r="I253" s="91">
        <v>4500</v>
      </c>
      <c r="K253" s="689"/>
    </row>
    <row r="254" spans="1:11" s="12" customFormat="1">
      <c r="A254" s="81"/>
      <c r="B254" s="58"/>
      <c r="C254" s="62" t="s">
        <v>895</v>
      </c>
      <c r="D254" s="227">
        <v>2000</v>
      </c>
      <c r="E254" s="91">
        <v>2000</v>
      </c>
      <c r="F254" s="91"/>
      <c r="G254" s="255"/>
      <c r="H254" s="686">
        <v>2000</v>
      </c>
      <c r="I254" s="91">
        <v>2000</v>
      </c>
      <c r="K254" s="689"/>
    </row>
    <row r="255" spans="1:11" s="12" customFormat="1" ht="30">
      <c r="A255" s="81"/>
      <c r="B255" s="58"/>
      <c r="C255" s="62" t="s">
        <v>896</v>
      </c>
      <c r="D255" s="227">
        <v>5000</v>
      </c>
      <c r="E255" s="91">
        <v>5000</v>
      </c>
      <c r="F255" s="91"/>
      <c r="G255" s="255"/>
      <c r="H255" s="110">
        <v>4250</v>
      </c>
      <c r="I255" s="43">
        <v>4250</v>
      </c>
      <c r="K255" s="689"/>
    </row>
    <row r="256" spans="1:11" s="12" customFormat="1" ht="30">
      <c r="A256" s="81"/>
      <c r="B256" s="58"/>
      <c r="C256" s="62" t="s">
        <v>0</v>
      </c>
      <c r="D256" s="227">
        <v>1000</v>
      </c>
      <c r="E256" s="91">
        <v>1000</v>
      </c>
      <c r="F256" s="91"/>
      <c r="G256" s="255"/>
      <c r="H256" s="686">
        <v>1000</v>
      </c>
      <c r="I256" s="91">
        <v>1000</v>
      </c>
      <c r="K256" s="689"/>
    </row>
    <row r="257" spans="1:11" s="12" customFormat="1" ht="30">
      <c r="A257" s="81"/>
      <c r="B257" s="58"/>
      <c r="C257" s="62" t="s">
        <v>897</v>
      </c>
      <c r="D257" s="227">
        <v>6000</v>
      </c>
      <c r="E257" s="91">
        <v>6000</v>
      </c>
      <c r="F257" s="91"/>
      <c r="G257" s="255"/>
      <c r="H257" s="686">
        <v>4000</v>
      </c>
      <c r="I257" s="91">
        <v>4000</v>
      </c>
      <c r="K257" s="689"/>
    </row>
    <row r="258" spans="1:11" s="12" customFormat="1">
      <c r="A258" s="81"/>
      <c r="B258" s="58"/>
      <c r="C258" s="62" t="s">
        <v>898</v>
      </c>
      <c r="D258" s="227">
        <v>1000</v>
      </c>
      <c r="E258" s="91">
        <v>1000</v>
      </c>
      <c r="F258" s="91"/>
      <c r="G258" s="255"/>
      <c r="H258" s="686">
        <v>0</v>
      </c>
      <c r="I258" s="91">
        <v>0</v>
      </c>
      <c r="K258" s="689"/>
    </row>
    <row r="259" spans="1:11" s="12" customFormat="1">
      <c r="A259" s="81"/>
      <c r="B259" s="58"/>
      <c r="C259" s="62" t="s">
        <v>899</v>
      </c>
      <c r="D259" s="227">
        <v>25000</v>
      </c>
      <c r="E259" s="91">
        <v>25000</v>
      </c>
      <c r="F259" s="91"/>
      <c r="G259" s="255"/>
      <c r="H259" s="686">
        <v>25000</v>
      </c>
      <c r="I259" s="91">
        <v>25000</v>
      </c>
      <c r="K259" s="689"/>
    </row>
    <row r="260" spans="1:11" s="12" customFormat="1">
      <c r="A260" s="81"/>
      <c r="B260" s="58"/>
      <c r="C260" s="62" t="s">
        <v>900</v>
      </c>
      <c r="D260" s="227">
        <v>2500</v>
      </c>
      <c r="E260" s="91">
        <v>2500</v>
      </c>
      <c r="F260" s="91"/>
      <c r="G260" s="255"/>
      <c r="H260" s="686">
        <v>2500</v>
      </c>
      <c r="I260" s="91">
        <v>2500</v>
      </c>
      <c r="K260" s="689"/>
    </row>
    <row r="261" spans="1:11" s="12" customFormat="1">
      <c r="A261" s="81"/>
      <c r="B261" s="58"/>
      <c r="C261" s="362" t="s">
        <v>901</v>
      </c>
      <c r="D261" s="227">
        <v>10000</v>
      </c>
      <c r="E261" s="91">
        <v>10000</v>
      </c>
      <c r="F261" s="91"/>
      <c r="G261" s="255"/>
      <c r="H261" s="686">
        <v>10000</v>
      </c>
      <c r="I261" s="91">
        <v>10000</v>
      </c>
      <c r="K261" s="689"/>
    </row>
    <row r="262" spans="1:11" s="12" customFormat="1">
      <c r="A262" s="81"/>
      <c r="B262" s="58"/>
      <c r="C262" s="62" t="s">
        <v>902</v>
      </c>
      <c r="D262" s="227">
        <v>85000</v>
      </c>
      <c r="E262" s="91">
        <v>85000</v>
      </c>
      <c r="F262" s="91"/>
      <c r="G262" s="255"/>
      <c r="H262" s="686">
        <v>85000</v>
      </c>
      <c r="I262" s="91">
        <v>85000</v>
      </c>
      <c r="K262" s="689"/>
    </row>
    <row r="263" spans="1:11" s="12" customFormat="1">
      <c r="A263" s="81"/>
      <c r="B263" s="58"/>
      <c r="C263" s="62" t="s">
        <v>903</v>
      </c>
      <c r="D263" s="227">
        <v>2000</v>
      </c>
      <c r="E263" s="91">
        <v>2000</v>
      </c>
      <c r="F263" s="91"/>
      <c r="G263" s="255"/>
      <c r="H263" s="686">
        <v>659</v>
      </c>
      <c r="I263" s="91">
        <v>659</v>
      </c>
      <c r="K263" s="689"/>
    </row>
    <row r="264" spans="1:11" s="12" customFormat="1">
      <c r="A264" s="81"/>
      <c r="B264" s="58"/>
      <c r="C264" s="62" t="s">
        <v>940</v>
      </c>
      <c r="D264" s="227">
        <v>4000</v>
      </c>
      <c r="E264" s="91">
        <v>4000</v>
      </c>
      <c r="F264" s="91"/>
      <c r="G264" s="255"/>
      <c r="H264" s="686">
        <v>4000</v>
      </c>
      <c r="I264" s="91">
        <v>4000</v>
      </c>
      <c r="K264" s="689"/>
    </row>
    <row r="265" spans="1:11" s="12" customFormat="1">
      <c r="A265" s="81"/>
      <c r="B265" s="58"/>
      <c r="C265" s="62" t="s">
        <v>904</v>
      </c>
      <c r="D265" s="227">
        <v>691</v>
      </c>
      <c r="E265" s="91">
        <v>691</v>
      </c>
      <c r="F265" s="91"/>
      <c r="G265" s="255"/>
      <c r="H265" s="686">
        <v>691</v>
      </c>
      <c r="I265" s="91">
        <v>691</v>
      </c>
      <c r="K265" s="689"/>
    </row>
    <row r="266" spans="1:11" s="12" customFormat="1">
      <c r="A266" s="81"/>
      <c r="B266" s="58"/>
      <c r="C266" s="62" t="s">
        <v>905</v>
      </c>
      <c r="D266" s="227">
        <v>6000</v>
      </c>
      <c r="E266" s="91">
        <v>6000</v>
      </c>
      <c r="F266" s="91"/>
      <c r="G266" s="255"/>
      <c r="H266" s="686">
        <v>6000</v>
      </c>
      <c r="I266" s="91">
        <v>6000</v>
      </c>
      <c r="K266" s="689"/>
    </row>
    <row r="267" spans="1:11" s="12" customFormat="1">
      <c r="A267" s="81"/>
      <c r="B267" s="58"/>
      <c r="C267" s="62" t="s">
        <v>906</v>
      </c>
      <c r="D267" s="227">
        <v>8670</v>
      </c>
      <c r="E267" s="91">
        <v>8670</v>
      </c>
      <c r="F267" s="91"/>
      <c r="G267" s="255"/>
      <c r="H267" s="686">
        <v>8670</v>
      </c>
      <c r="I267" s="91">
        <v>8670</v>
      </c>
      <c r="K267" s="689"/>
    </row>
    <row r="268" spans="1:11" s="12" customFormat="1">
      <c r="A268" s="81"/>
      <c r="B268" s="58"/>
      <c r="C268" s="62" t="s">
        <v>907</v>
      </c>
      <c r="D268" s="227">
        <v>3948</v>
      </c>
      <c r="E268" s="91">
        <v>3948</v>
      </c>
      <c r="F268" s="91"/>
      <c r="G268" s="255"/>
      <c r="H268" s="686">
        <v>3948</v>
      </c>
      <c r="I268" s="91">
        <v>3948</v>
      </c>
      <c r="K268" s="689"/>
    </row>
    <row r="269" spans="1:11" s="12" customFormat="1">
      <c r="A269" s="81"/>
      <c r="B269" s="58"/>
      <c r="C269" s="62" t="s">
        <v>162</v>
      </c>
      <c r="D269" s="227">
        <v>2000</v>
      </c>
      <c r="E269" s="91">
        <v>2000</v>
      </c>
      <c r="F269" s="91"/>
      <c r="G269" s="255"/>
      <c r="H269" s="686">
        <v>0</v>
      </c>
      <c r="I269" s="91">
        <v>0</v>
      </c>
      <c r="K269" s="689"/>
    </row>
    <row r="270" spans="1:11" s="12" customFormat="1">
      <c r="A270" s="81"/>
      <c r="B270" s="58"/>
      <c r="C270" s="62" t="s">
        <v>163</v>
      </c>
      <c r="D270" s="227">
        <v>1000</v>
      </c>
      <c r="E270" s="91">
        <v>1000</v>
      </c>
      <c r="F270" s="91"/>
      <c r="G270" s="255"/>
      <c r="H270" s="686">
        <v>1000</v>
      </c>
      <c r="I270" s="91">
        <v>1000</v>
      </c>
      <c r="K270" s="689"/>
    </row>
    <row r="271" spans="1:11" s="12" customFormat="1">
      <c r="A271" s="81"/>
      <c r="B271" s="58"/>
      <c r="C271" s="62" t="s">
        <v>164</v>
      </c>
      <c r="D271" s="227">
        <v>1000</v>
      </c>
      <c r="E271" s="91">
        <v>1000</v>
      </c>
      <c r="F271" s="91"/>
      <c r="G271" s="255"/>
      <c r="H271" s="686">
        <v>1000</v>
      </c>
      <c r="I271" s="91">
        <v>1000</v>
      </c>
      <c r="K271" s="689"/>
    </row>
    <row r="272" spans="1:11" s="12" customFormat="1">
      <c r="A272" s="81"/>
      <c r="B272" s="58"/>
      <c r="C272" s="62" t="s">
        <v>82</v>
      </c>
      <c r="D272" s="227">
        <v>1500</v>
      </c>
      <c r="E272" s="91">
        <v>1500</v>
      </c>
      <c r="F272" s="91"/>
      <c r="G272" s="255"/>
      <c r="H272" s="686">
        <v>1500</v>
      </c>
      <c r="I272" s="91">
        <v>1500</v>
      </c>
      <c r="K272" s="689"/>
    </row>
    <row r="273" spans="1:11" s="12" customFormat="1">
      <c r="A273" s="81"/>
      <c r="B273" s="58"/>
      <c r="C273" s="62" t="s">
        <v>165</v>
      </c>
      <c r="D273" s="227">
        <v>1000</v>
      </c>
      <c r="E273" s="91">
        <v>1000</v>
      </c>
      <c r="F273" s="91"/>
      <c r="G273" s="255"/>
      <c r="H273" s="686">
        <v>1000</v>
      </c>
      <c r="I273" s="91">
        <v>1000</v>
      </c>
      <c r="K273" s="689"/>
    </row>
    <row r="274" spans="1:11" s="12" customFormat="1">
      <c r="A274" s="81"/>
      <c r="B274" s="58"/>
      <c r="C274" s="62" t="s">
        <v>167</v>
      </c>
      <c r="D274" s="227">
        <v>2000</v>
      </c>
      <c r="E274" s="91">
        <v>2000</v>
      </c>
      <c r="F274" s="91"/>
      <c r="G274" s="255"/>
      <c r="H274" s="686">
        <v>2000</v>
      </c>
      <c r="I274" s="91">
        <v>2000</v>
      </c>
      <c r="K274" s="689"/>
    </row>
    <row r="275" spans="1:11" s="12" customFormat="1">
      <c r="A275" s="81"/>
      <c r="B275" s="58"/>
      <c r="C275" s="62" t="s">
        <v>83</v>
      </c>
      <c r="D275" s="227"/>
      <c r="E275" s="91"/>
      <c r="F275" s="91"/>
      <c r="G275" s="255"/>
      <c r="H275" s="677">
        <v>4500</v>
      </c>
      <c r="I275" s="44">
        <v>4500</v>
      </c>
      <c r="K275" s="691"/>
    </row>
    <row r="276" spans="1:11" s="12" customFormat="1">
      <c r="A276" s="81"/>
      <c r="B276" s="58"/>
      <c r="C276" s="62" t="s">
        <v>84</v>
      </c>
      <c r="D276" s="227"/>
      <c r="E276" s="91"/>
      <c r="F276" s="91"/>
      <c r="G276" s="692"/>
      <c r="H276" s="677">
        <v>7037</v>
      </c>
      <c r="I276" s="44">
        <v>7037</v>
      </c>
      <c r="K276" s="691"/>
    </row>
    <row r="277" spans="1:11" s="12" customFormat="1" ht="30">
      <c r="A277" s="81"/>
      <c r="B277" s="58"/>
      <c r="C277" s="62" t="s">
        <v>85</v>
      </c>
      <c r="D277" s="227"/>
      <c r="E277" s="91"/>
      <c r="F277" s="91"/>
      <c r="G277" s="686"/>
      <c r="H277" s="48">
        <v>1341</v>
      </c>
      <c r="I277" s="44">
        <v>1341</v>
      </c>
      <c r="K277" s="691"/>
    </row>
    <row r="278" spans="1:11" s="12" customFormat="1">
      <c r="A278" s="81"/>
      <c r="B278" s="58"/>
      <c r="C278" s="62" t="s">
        <v>941</v>
      </c>
      <c r="D278" s="227"/>
      <c r="E278" s="91"/>
      <c r="F278" s="91"/>
      <c r="G278" s="686"/>
      <c r="H278" s="48">
        <v>1055</v>
      </c>
      <c r="I278" s="44">
        <v>1055</v>
      </c>
      <c r="K278" s="691"/>
    </row>
    <row r="279" spans="1:11" s="12" customFormat="1">
      <c r="A279" s="81"/>
      <c r="B279" s="58"/>
      <c r="C279" s="62" t="s">
        <v>942</v>
      </c>
      <c r="D279" s="227"/>
      <c r="E279" s="91"/>
      <c r="F279" s="91"/>
      <c r="G279" s="686"/>
      <c r="H279" s="48">
        <v>0</v>
      </c>
      <c r="I279" s="44">
        <v>0</v>
      </c>
      <c r="K279" s="691"/>
    </row>
    <row r="280" spans="1:11" s="12" customFormat="1">
      <c r="A280" s="81"/>
      <c r="B280" s="58"/>
      <c r="C280" s="60" t="s">
        <v>553</v>
      </c>
      <c r="D280" s="150">
        <f>SUM(D247:D275)</f>
        <v>211309</v>
      </c>
      <c r="E280" s="61">
        <f>SUM(E247:E275)</f>
        <v>211309</v>
      </c>
      <c r="F280" s="61">
        <f>SUM(F247:F275)</f>
        <v>0</v>
      </c>
      <c r="G280" s="152">
        <f>SUM(G247:G275)</f>
        <v>0</v>
      </c>
      <c r="H280" s="721">
        <f>SUM(H247:H279)</f>
        <v>253651</v>
      </c>
      <c r="I280" s="61">
        <f>SUM(I247:I279)</f>
        <v>253651</v>
      </c>
      <c r="J280" s="61">
        <f>SUM(J247:J275)</f>
        <v>0</v>
      </c>
      <c r="K280" s="152">
        <f>SUM(K247:K275)</f>
        <v>0</v>
      </c>
    </row>
    <row r="281" spans="1:11" s="12" customFormat="1">
      <c r="A281" s="81"/>
      <c r="B281" s="58"/>
      <c r="C281" s="60"/>
      <c r="D281" s="218"/>
      <c r="E281" s="225"/>
      <c r="F281" s="225"/>
      <c r="G281" s="687"/>
      <c r="H281" s="722"/>
      <c r="K281" s="689"/>
    </row>
    <row r="282" spans="1:11" s="12" customFormat="1">
      <c r="A282" s="81"/>
      <c r="B282" s="86"/>
      <c r="C282" s="60"/>
      <c r="D282" s="218"/>
      <c r="E282" s="225"/>
      <c r="F282" s="225"/>
      <c r="G282" s="687"/>
      <c r="H282" s="722"/>
      <c r="K282" s="689"/>
    </row>
    <row r="283" spans="1:11" s="12" customFormat="1">
      <c r="A283" s="81"/>
      <c r="B283" s="58" t="s">
        <v>492</v>
      </c>
      <c r="C283" s="39" t="s">
        <v>616</v>
      </c>
      <c r="D283" s="218"/>
      <c r="E283" s="225"/>
      <c r="F283" s="225"/>
      <c r="G283" s="687"/>
      <c r="H283" s="722"/>
      <c r="K283" s="689"/>
    </row>
    <row r="284" spans="1:11" s="12" customFormat="1">
      <c r="A284" s="81"/>
      <c r="B284" s="58"/>
      <c r="C284" s="39" t="s">
        <v>450</v>
      </c>
      <c r="D284" s="209"/>
      <c r="E284" s="43"/>
      <c r="F284" s="43"/>
      <c r="G284" s="677"/>
      <c r="H284" s="722"/>
      <c r="K284" s="689"/>
    </row>
    <row r="285" spans="1:11" s="12" customFormat="1">
      <c r="A285" s="37"/>
      <c r="B285" s="44"/>
      <c r="C285" s="39" t="s">
        <v>515</v>
      </c>
      <c r="D285" s="209">
        <v>6455</v>
      </c>
      <c r="E285" s="43">
        <v>6455</v>
      </c>
      <c r="F285" s="43"/>
      <c r="G285" s="677"/>
      <c r="H285" s="48">
        <v>6455</v>
      </c>
      <c r="I285" s="43">
        <v>6455</v>
      </c>
      <c r="J285" s="43"/>
      <c r="K285" s="677"/>
    </row>
    <row r="286" spans="1:11" s="12" customFormat="1" ht="30">
      <c r="A286" s="37"/>
      <c r="B286" s="44"/>
      <c r="C286" s="675" t="s">
        <v>86</v>
      </c>
      <c r="D286" s="209"/>
      <c r="E286" s="43"/>
      <c r="F286" s="43"/>
      <c r="G286" s="677"/>
      <c r="H286" s="48">
        <v>345352</v>
      </c>
      <c r="I286" s="43">
        <v>345352</v>
      </c>
      <c r="J286" s="43"/>
      <c r="K286" s="677"/>
    </row>
    <row r="287" spans="1:11" s="12" customFormat="1" ht="30">
      <c r="A287" s="37"/>
      <c r="B287" s="44"/>
      <c r="C287" s="688" t="s">
        <v>943</v>
      </c>
      <c r="D287" s="209"/>
      <c r="E287" s="43"/>
      <c r="F287" s="43"/>
      <c r="G287" s="677"/>
      <c r="H287" s="48">
        <v>6477</v>
      </c>
      <c r="I287" s="43">
        <v>6477</v>
      </c>
      <c r="J287" s="43"/>
      <c r="K287" s="677"/>
    </row>
    <row r="288" spans="1:11" s="12" customFormat="1">
      <c r="A288" s="37"/>
      <c r="B288" s="58"/>
      <c r="C288" s="52" t="s">
        <v>483</v>
      </c>
      <c r="D288" s="149">
        <f>SUM(D285)</f>
        <v>6455</v>
      </c>
      <c r="E288" s="54">
        <f>SUM(E285)</f>
        <v>6455</v>
      </c>
      <c r="F288" s="54">
        <f>SUM(F285)</f>
        <v>0</v>
      </c>
      <c r="G288" s="673">
        <f>SUM(G285)</f>
        <v>0</v>
      </c>
      <c r="H288" s="53">
        <f>SUM(H285:H287)</f>
        <v>358284</v>
      </c>
      <c r="I288" s="54">
        <f>SUM(I285:I287)</f>
        <v>358284</v>
      </c>
      <c r="J288" s="54">
        <f>SUM(J285)</f>
        <v>0</v>
      </c>
      <c r="K288" s="673">
        <f>SUM(K285)</f>
        <v>0</v>
      </c>
    </row>
    <row r="289" spans="1:11" s="12" customFormat="1">
      <c r="A289" s="89"/>
      <c r="B289" s="90"/>
      <c r="C289" s="39" t="s">
        <v>479</v>
      </c>
      <c r="D289" s="209"/>
      <c r="E289" s="43"/>
      <c r="F289" s="43"/>
      <c r="G289" s="677"/>
      <c r="H289" s="48"/>
      <c r="I289" s="43"/>
      <c r="J289" s="43"/>
      <c r="K289" s="677"/>
    </row>
    <row r="290" spans="1:11" s="12" customFormat="1">
      <c r="A290" s="37"/>
      <c r="B290" s="90"/>
      <c r="C290" s="39" t="s">
        <v>654</v>
      </c>
      <c r="D290" s="209">
        <v>1500</v>
      </c>
      <c r="E290" s="43">
        <v>1500</v>
      </c>
      <c r="F290" s="43"/>
      <c r="G290" s="677"/>
      <c r="H290" s="48">
        <v>0</v>
      </c>
      <c r="I290" s="43">
        <v>0</v>
      </c>
      <c r="J290" s="43"/>
      <c r="K290" s="677"/>
    </row>
    <row r="291" spans="1:11" s="12" customFormat="1">
      <c r="A291" s="37"/>
      <c r="B291" s="90"/>
      <c r="C291" s="39" t="s">
        <v>87</v>
      </c>
      <c r="D291" s="209"/>
      <c r="E291" s="43"/>
      <c r="F291" s="43"/>
      <c r="G291" s="677"/>
      <c r="H291" s="48">
        <v>352</v>
      </c>
      <c r="I291" s="43">
        <v>352</v>
      </c>
      <c r="J291" s="43"/>
      <c r="K291" s="677"/>
    </row>
    <row r="292" spans="1:11" s="12" customFormat="1">
      <c r="A292" s="37"/>
      <c r="B292" s="90"/>
      <c r="C292" s="39" t="s">
        <v>88</v>
      </c>
      <c r="D292" s="209"/>
      <c r="E292" s="43"/>
      <c r="F292" s="43"/>
      <c r="G292" s="677"/>
      <c r="H292" s="48">
        <v>1500</v>
      </c>
      <c r="I292" s="43"/>
      <c r="J292" s="43">
        <v>1500</v>
      </c>
      <c r="K292" s="677"/>
    </row>
    <row r="293" spans="1:11" s="12" customFormat="1">
      <c r="A293" s="37"/>
      <c r="B293" s="90"/>
      <c r="C293" s="52" t="s">
        <v>483</v>
      </c>
      <c r="D293" s="149">
        <f>SUM(D290:D290)</f>
        <v>1500</v>
      </c>
      <c r="E293" s="54">
        <f>SUM(E290:E290)</f>
        <v>1500</v>
      </c>
      <c r="F293" s="54">
        <f>SUM(F290:F290)</f>
        <v>0</v>
      </c>
      <c r="G293" s="673">
        <f>SUM(G290:G290)</f>
        <v>0</v>
      </c>
      <c r="H293" s="53">
        <f>SUM(H290:H292)</f>
        <v>1852</v>
      </c>
      <c r="I293" s="54">
        <f>SUM(I290:I292)</f>
        <v>352</v>
      </c>
      <c r="J293" s="54">
        <f>SUM(J290:J292)</f>
        <v>1500</v>
      </c>
      <c r="K293" s="673">
        <f>SUM(K290:K292)</f>
        <v>0</v>
      </c>
    </row>
    <row r="294" spans="1:11" s="12" customFormat="1">
      <c r="A294" s="37"/>
      <c r="B294" s="90"/>
      <c r="C294" s="60" t="s">
        <v>554</v>
      </c>
      <c r="D294" s="150">
        <f t="shared" ref="D294:K294" si="18">D288+D293</f>
        <v>7955</v>
      </c>
      <c r="E294" s="61">
        <f t="shared" si="18"/>
        <v>7955</v>
      </c>
      <c r="F294" s="61">
        <f t="shared" si="18"/>
        <v>0</v>
      </c>
      <c r="G294" s="152">
        <f t="shared" si="18"/>
        <v>0</v>
      </c>
      <c r="H294" s="721">
        <f t="shared" si="18"/>
        <v>360136</v>
      </c>
      <c r="I294" s="61">
        <f t="shared" si="18"/>
        <v>358636</v>
      </c>
      <c r="J294" s="61">
        <f t="shared" si="18"/>
        <v>1500</v>
      </c>
      <c r="K294" s="152">
        <f t="shared" si="18"/>
        <v>0</v>
      </c>
    </row>
    <row r="295" spans="1:11" s="12" customFormat="1">
      <c r="A295" s="37"/>
      <c r="B295" s="58"/>
      <c r="C295" s="60"/>
      <c r="D295" s="218"/>
      <c r="E295" s="225"/>
      <c r="F295" s="225"/>
      <c r="G295" s="687"/>
      <c r="H295" s="56"/>
      <c r="I295" s="225"/>
      <c r="J295" s="225"/>
      <c r="K295" s="687"/>
    </row>
    <row r="296" spans="1:11" s="12" customFormat="1">
      <c r="A296" s="37"/>
      <c r="B296" s="58"/>
      <c r="C296" s="42" t="s">
        <v>433</v>
      </c>
      <c r="D296" s="208">
        <f t="shared" ref="D296:K296" si="19">D84+D93+D152+D168+D216+D244+D280+D294</f>
        <v>2004280</v>
      </c>
      <c r="E296" s="46">
        <f t="shared" si="19"/>
        <v>1367259</v>
      </c>
      <c r="F296" s="46">
        <f t="shared" si="19"/>
        <v>456321</v>
      </c>
      <c r="G296" s="217">
        <f t="shared" si="19"/>
        <v>180700</v>
      </c>
      <c r="H296" s="723">
        <f t="shared" si="19"/>
        <v>2463783</v>
      </c>
      <c r="I296" s="46">
        <f t="shared" si="19"/>
        <v>1815914</v>
      </c>
      <c r="J296" s="46">
        <f t="shared" si="19"/>
        <v>467169</v>
      </c>
      <c r="K296" s="217">
        <f t="shared" si="19"/>
        <v>180700</v>
      </c>
    </row>
    <row r="297" spans="1:11" s="12" customFormat="1">
      <c r="A297" s="37"/>
      <c r="B297" s="92"/>
      <c r="C297" s="93"/>
      <c r="D297" s="219"/>
      <c r="E297" s="226"/>
      <c r="F297" s="226"/>
      <c r="G297" s="724"/>
      <c r="H297" s="722"/>
      <c r="K297" s="689"/>
    </row>
    <row r="298" spans="1:11" s="12" customFormat="1">
      <c r="A298" s="37"/>
      <c r="B298" s="86"/>
      <c r="C298" s="42" t="s">
        <v>502</v>
      </c>
      <c r="D298" s="212"/>
      <c r="E298" s="47"/>
      <c r="F298" s="47"/>
      <c r="G298" s="672"/>
      <c r="H298" s="722"/>
      <c r="K298" s="689"/>
    </row>
    <row r="299" spans="1:11" s="12" customFormat="1">
      <c r="A299" s="37"/>
      <c r="B299" s="58"/>
      <c r="C299" s="39" t="s">
        <v>480</v>
      </c>
      <c r="D299" s="211">
        <v>0</v>
      </c>
      <c r="E299" s="44">
        <v>0</v>
      </c>
      <c r="F299" s="44">
        <v>0</v>
      </c>
      <c r="G299" s="670">
        <v>0</v>
      </c>
      <c r="H299" s="48">
        <v>77797</v>
      </c>
      <c r="I299" s="43">
        <v>77797</v>
      </c>
      <c r="J299" s="43">
        <v>0</v>
      </c>
      <c r="K299" s="677">
        <v>0</v>
      </c>
    </row>
    <row r="300" spans="1:11" s="12" customFormat="1">
      <c r="A300" s="37"/>
      <c r="B300" s="58"/>
      <c r="C300" s="39" t="s">
        <v>570</v>
      </c>
      <c r="D300" s="211">
        <v>0</v>
      </c>
      <c r="E300" s="44">
        <v>0</v>
      </c>
      <c r="F300" s="44">
        <v>0</v>
      </c>
      <c r="G300" s="670">
        <v>0</v>
      </c>
      <c r="H300" s="48">
        <v>115436</v>
      </c>
      <c r="I300" s="43">
        <v>115436</v>
      </c>
      <c r="J300" s="43">
        <v>0</v>
      </c>
      <c r="K300" s="677">
        <v>0</v>
      </c>
    </row>
    <row r="301" spans="1:11" s="12" customFormat="1">
      <c r="A301" s="37"/>
      <c r="B301" s="58"/>
      <c r="C301" s="39" t="s">
        <v>417</v>
      </c>
      <c r="D301" s="211">
        <v>0</v>
      </c>
      <c r="E301" s="44">
        <v>0</v>
      </c>
      <c r="F301" s="44">
        <v>0</v>
      </c>
      <c r="G301" s="670">
        <v>0</v>
      </c>
      <c r="H301" s="48">
        <v>191684</v>
      </c>
      <c r="I301" s="43">
        <v>191684</v>
      </c>
      <c r="J301" s="43">
        <v>0</v>
      </c>
      <c r="K301" s="677">
        <v>0</v>
      </c>
    </row>
    <row r="302" spans="1:11" s="12" customFormat="1">
      <c r="A302" s="37"/>
      <c r="B302" s="58"/>
      <c r="C302" s="39" t="s">
        <v>89</v>
      </c>
      <c r="D302" s="211">
        <v>0</v>
      </c>
      <c r="E302" s="44">
        <v>0</v>
      </c>
      <c r="F302" s="44">
        <v>0</v>
      </c>
      <c r="G302" s="670">
        <v>0</v>
      </c>
      <c r="H302" s="48">
        <v>1475</v>
      </c>
      <c r="I302" s="43">
        <v>1475</v>
      </c>
      <c r="J302" s="43">
        <v>0</v>
      </c>
      <c r="K302" s="677">
        <v>0</v>
      </c>
    </row>
    <row r="303" spans="1:11" s="12" customFormat="1">
      <c r="A303" s="37"/>
      <c r="B303" s="58"/>
      <c r="C303" s="60" t="s">
        <v>483</v>
      </c>
      <c r="D303" s="151">
        <f t="shared" ref="D303:K303" si="20">SUM(D299:D302)</f>
        <v>0</v>
      </c>
      <c r="E303" s="84">
        <f t="shared" si="20"/>
        <v>0</v>
      </c>
      <c r="F303" s="84">
        <f t="shared" si="20"/>
        <v>0</v>
      </c>
      <c r="G303" s="685">
        <f t="shared" si="20"/>
        <v>0</v>
      </c>
      <c r="H303" s="725">
        <f t="shared" si="20"/>
        <v>386392</v>
      </c>
      <c r="I303" s="84">
        <f t="shared" si="20"/>
        <v>386392</v>
      </c>
      <c r="J303" s="84">
        <f t="shared" si="20"/>
        <v>0</v>
      </c>
      <c r="K303" s="685">
        <f t="shared" si="20"/>
        <v>0</v>
      </c>
    </row>
    <row r="304" spans="1:11" s="12" customFormat="1">
      <c r="A304" s="37"/>
      <c r="B304" s="58"/>
      <c r="C304" s="60"/>
      <c r="D304" s="218"/>
      <c r="E304" s="225"/>
      <c r="F304" s="225"/>
      <c r="G304" s="364"/>
      <c r="H304" s="687"/>
      <c r="I304" s="225"/>
      <c r="J304" s="225"/>
      <c r="K304" s="687"/>
    </row>
    <row r="305" spans="1:11" s="12" customFormat="1">
      <c r="A305" s="37"/>
      <c r="B305" s="45"/>
      <c r="C305" s="39"/>
      <c r="D305" s="211"/>
      <c r="E305" s="44"/>
      <c r="F305" s="44"/>
      <c r="G305" s="245"/>
      <c r="H305" s="670"/>
      <c r="I305" s="44"/>
      <c r="J305" s="44"/>
      <c r="K305" s="670"/>
    </row>
    <row r="306" spans="1:11" s="12" customFormat="1" ht="17.25" thickBot="1">
      <c r="A306" s="66"/>
      <c r="B306" s="94"/>
      <c r="C306" s="67" t="s">
        <v>442</v>
      </c>
      <c r="D306" s="68">
        <f t="shared" ref="D306:K306" si="21">SUM(D59,D74,D303,D296)</f>
        <v>3025775</v>
      </c>
      <c r="E306" s="68">
        <f t="shared" si="21"/>
        <v>2382896</v>
      </c>
      <c r="F306" s="68">
        <f t="shared" si="21"/>
        <v>462179</v>
      </c>
      <c r="G306" s="367">
        <f t="shared" si="21"/>
        <v>180700</v>
      </c>
      <c r="H306" s="726">
        <f t="shared" si="21"/>
        <v>3888856</v>
      </c>
      <c r="I306" s="68">
        <f t="shared" si="21"/>
        <v>3235129</v>
      </c>
      <c r="J306" s="68">
        <f t="shared" si="21"/>
        <v>473027</v>
      </c>
      <c r="K306" s="693">
        <f t="shared" si="21"/>
        <v>180700</v>
      </c>
    </row>
    <row r="307" spans="1:11" s="12" customFormat="1">
      <c r="A307" s="95"/>
      <c r="B307" s="96"/>
      <c r="C307" s="44"/>
      <c r="D307" s="96"/>
      <c r="E307" s="96"/>
      <c r="F307" s="96"/>
      <c r="G307" s="96"/>
    </row>
    <row r="308" spans="1:11" s="12" customFormat="1">
      <c r="A308" s="97"/>
      <c r="B308" s="44"/>
      <c r="C308" s="44"/>
      <c r="D308" s="44"/>
      <c r="E308" s="44"/>
      <c r="F308" s="44"/>
      <c r="G308" s="44"/>
    </row>
    <row r="309" spans="1:11" s="12" customFormat="1">
      <c r="A309" s="97"/>
      <c r="B309" s="44"/>
      <c r="C309" s="44"/>
      <c r="D309" s="44"/>
      <c r="E309" s="44"/>
      <c r="F309" s="44"/>
      <c r="G309" s="44"/>
    </row>
    <row r="310" spans="1:11" s="12" customFormat="1">
      <c r="A310" s="97"/>
      <c r="B310" s="44"/>
      <c r="C310" s="44"/>
      <c r="D310" s="44"/>
      <c r="E310" s="44"/>
      <c r="F310" s="44"/>
      <c r="G310" s="44"/>
    </row>
  </sheetData>
  <mergeCells count="2">
    <mergeCell ref="D5:G5"/>
    <mergeCell ref="H5:K5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50" orientation="portrait" r:id="rId1"/>
  <headerFooter alignWithMargins="0">
    <oddHeader>&amp;P. oldal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"/>
  <sheetViews>
    <sheetView zoomScaleNormal="100" zoomScaleSheetLayoutView="80" workbookViewId="0">
      <selection activeCell="Q1" sqref="Q1"/>
    </sheetView>
  </sheetViews>
  <sheetFormatPr defaultRowHeight="16.5"/>
  <cols>
    <col min="1" max="1" width="16.5703125" style="13" customWidth="1"/>
    <col min="2" max="2" width="9.28515625" style="1" bestFit="1" customWidth="1"/>
    <col min="3" max="3" width="9.28515625" style="1" customWidth="1"/>
    <col min="4" max="4" width="9.28515625" style="1" bestFit="1" customWidth="1"/>
    <col min="5" max="5" width="9.28515625" style="1" customWidth="1"/>
    <col min="6" max="7" width="8.28515625" style="1" customWidth="1"/>
    <col min="8" max="8" width="9.28515625" style="1" bestFit="1" customWidth="1"/>
    <col min="9" max="9" width="8.28515625" style="1" customWidth="1"/>
    <col min="10" max="10" width="9.28515625" style="1" bestFit="1" customWidth="1"/>
    <col min="11" max="11" width="8.140625" style="1" customWidth="1"/>
    <col min="12" max="12" width="11.5703125" style="1" bestFit="1" customWidth="1"/>
    <col min="13" max="13" width="10" style="1" customWidth="1"/>
    <col min="14" max="14" width="10.140625" style="1" bestFit="1" customWidth="1"/>
    <col min="15" max="15" width="10.140625" style="1" customWidth="1"/>
    <col min="16" max="16" width="9.28515625" style="1" bestFit="1" customWidth="1"/>
    <col min="17" max="16384" width="9.140625" style="1"/>
  </cols>
  <sheetData>
    <row r="1" spans="1:17">
      <c r="A1" s="1"/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65"/>
      <c r="M1" s="665"/>
      <c r="N1" s="665"/>
      <c r="O1" s="665"/>
      <c r="P1" s="665"/>
      <c r="Q1" s="665" t="s">
        <v>115</v>
      </c>
    </row>
    <row r="2" spans="1:17">
      <c r="A2" s="665"/>
      <c r="B2" s="665"/>
      <c r="C2" s="665"/>
      <c r="D2" s="665"/>
      <c r="E2" s="665"/>
      <c r="F2" s="665"/>
      <c r="G2" s="665"/>
      <c r="H2" s="665"/>
      <c r="I2" s="665"/>
      <c r="J2" s="665"/>
      <c r="K2" s="665"/>
      <c r="Q2" s="713"/>
    </row>
    <row r="3" spans="1:17">
      <c r="A3" s="739" t="s">
        <v>595</v>
      </c>
      <c r="B3" s="739"/>
      <c r="C3" s="739"/>
      <c r="D3" s="739"/>
      <c r="E3" s="739"/>
      <c r="F3" s="739"/>
      <c r="G3" s="739"/>
      <c r="H3" s="739"/>
      <c r="I3" s="739"/>
      <c r="J3" s="739"/>
      <c r="K3" s="739"/>
      <c r="L3" s="739"/>
      <c r="M3" s="739"/>
      <c r="N3" s="739"/>
      <c r="O3" s="739"/>
      <c r="P3" s="739"/>
    </row>
    <row r="4" spans="1:17" s="2" customFormat="1" ht="19.5" customHeight="1">
      <c r="A4" s="739" t="s">
        <v>606</v>
      </c>
      <c r="B4" s="739"/>
      <c r="C4" s="739"/>
      <c r="D4" s="739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</row>
    <row r="5" spans="1:17" s="2" customFormat="1" ht="19.5">
      <c r="B5" s="6"/>
      <c r="C5" s="695"/>
      <c r="F5" s="6"/>
      <c r="G5" s="6"/>
      <c r="H5" s="6"/>
      <c r="I5" s="6"/>
      <c r="J5" s="6"/>
      <c r="K5" s="6"/>
      <c r="L5" s="6"/>
      <c r="M5" s="6"/>
      <c r="N5" s="6"/>
      <c r="O5" s="695"/>
      <c r="Q5" s="7" t="s">
        <v>484</v>
      </c>
    </row>
    <row r="6" spans="1:17" s="18" customFormat="1" ht="33.75" customHeight="1">
      <c r="A6" s="17"/>
      <c r="B6" s="740" t="s">
        <v>481</v>
      </c>
      <c r="C6" s="741"/>
      <c r="D6" s="740" t="s">
        <v>500</v>
      </c>
      <c r="E6" s="741"/>
      <c r="F6" s="740" t="s">
        <v>421</v>
      </c>
      <c r="G6" s="741"/>
      <c r="H6" s="740" t="s">
        <v>612</v>
      </c>
      <c r="I6" s="741"/>
      <c r="J6" s="740" t="s">
        <v>613</v>
      </c>
      <c r="K6" s="741"/>
      <c r="L6" s="740" t="s">
        <v>614</v>
      </c>
      <c r="M6" s="741"/>
      <c r="N6" s="740" t="s">
        <v>448</v>
      </c>
      <c r="O6" s="741"/>
      <c r="P6" s="742" t="s">
        <v>482</v>
      </c>
      <c r="Q6" s="743"/>
    </row>
    <row r="7" spans="1:17" s="18" customFormat="1" ht="33.75" customHeight="1">
      <c r="A7" s="17"/>
      <c r="B7" s="19" t="s">
        <v>567</v>
      </c>
      <c r="C7" s="696" t="s">
        <v>90</v>
      </c>
      <c r="D7" s="19" t="s">
        <v>567</v>
      </c>
      <c r="E7" s="696" t="s">
        <v>90</v>
      </c>
      <c r="F7" s="19" t="s">
        <v>567</v>
      </c>
      <c r="G7" s="696" t="s">
        <v>90</v>
      </c>
      <c r="H7" s="19" t="s">
        <v>567</v>
      </c>
      <c r="I7" s="696" t="s">
        <v>90</v>
      </c>
      <c r="J7" s="19" t="s">
        <v>567</v>
      </c>
      <c r="K7" s="696" t="s">
        <v>90</v>
      </c>
      <c r="L7" s="19" t="s">
        <v>567</v>
      </c>
      <c r="M7" s="696" t="s">
        <v>90</v>
      </c>
      <c r="N7" s="19" t="s">
        <v>567</v>
      </c>
      <c r="O7" s="696" t="s">
        <v>90</v>
      </c>
      <c r="P7" s="19" t="s">
        <v>567</v>
      </c>
      <c r="Q7" s="696" t="s">
        <v>90</v>
      </c>
    </row>
    <row r="8" spans="1:17" ht="37.5" customHeight="1">
      <c r="A8" s="109" t="s">
        <v>609</v>
      </c>
      <c r="B8" s="5">
        <v>47537</v>
      </c>
      <c r="C8" s="5">
        <v>47057</v>
      </c>
      <c r="D8" s="5">
        <v>12786</v>
      </c>
      <c r="E8" s="5">
        <v>12701</v>
      </c>
      <c r="F8" s="5">
        <v>6000</v>
      </c>
      <c r="G8" s="5">
        <v>5736</v>
      </c>
      <c r="H8" s="5">
        <v>0</v>
      </c>
      <c r="I8" s="5">
        <v>0</v>
      </c>
      <c r="J8" s="5">
        <v>0</v>
      </c>
      <c r="K8" s="5">
        <v>0</v>
      </c>
      <c r="L8" s="5">
        <v>430</v>
      </c>
      <c r="M8" s="5">
        <v>430</v>
      </c>
      <c r="N8" s="5">
        <v>1000</v>
      </c>
      <c r="O8" s="5">
        <v>2100</v>
      </c>
      <c r="P8" s="4">
        <f t="shared" ref="P8:Q10" si="0">SUM(B8,D8,F8,H8,J8,L8,N8)</f>
        <v>67753</v>
      </c>
      <c r="Q8" s="4">
        <f t="shared" si="0"/>
        <v>68024</v>
      </c>
    </row>
    <row r="9" spans="1:17" ht="35.25" customHeight="1">
      <c r="A9" s="109" t="s">
        <v>610</v>
      </c>
      <c r="B9" s="5">
        <v>20457</v>
      </c>
      <c r="C9" s="5">
        <v>18260</v>
      </c>
      <c r="D9" s="5">
        <v>5483</v>
      </c>
      <c r="E9" s="5">
        <v>4891</v>
      </c>
      <c r="F9" s="5">
        <v>1100</v>
      </c>
      <c r="G9" s="5">
        <v>671</v>
      </c>
      <c r="H9" s="5">
        <v>0</v>
      </c>
      <c r="I9" s="5">
        <v>0</v>
      </c>
      <c r="J9" s="5">
        <v>0</v>
      </c>
      <c r="K9" s="5">
        <v>0</v>
      </c>
      <c r="L9" s="5">
        <v>325</v>
      </c>
      <c r="M9" s="5">
        <v>325</v>
      </c>
      <c r="N9" s="5">
        <v>0</v>
      </c>
      <c r="O9" s="5">
        <v>0</v>
      </c>
      <c r="P9" s="4">
        <f t="shared" si="0"/>
        <v>27365</v>
      </c>
      <c r="Q9" s="4">
        <f t="shared" si="0"/>
        <v>24147</v>
      </c>
    </row>
    <row r="10" spans="1:17" ht="39">
      <c r="A10" s="109" t="s">
        <v>611</v>
      </c>
      <c r="B10" s="5">
        <v>8682</v>
      </c>
      <c r="C10" s="5">
        <v>8951</v>
      </c>
      <c r="D10" s="5">
        <v>2315</v>
      </c>
      <c r="E10" s="5">
        <v>2387</v>
      </c>
      <c r="F10" s="5">
        <v>488</v>
      </c>
      <c r="G10" s="5">
        <v>563</v>
      </c>
      <c r="H10" s="5">
        <v>0</v>
      </c>
      <c r="I10" s="5">
        <v>0</v>
      </c>
      <c r="J10" s="5">
        <v>0</v>
      </c>
      <c r="K10" s="5">
        <v>0</v>
      </c>
      <c r="L10" s="5">
        <v>20</v>
      </c>
      <c r="M10" s="5">
        <v>20</v>
      </c>
      <c r="N10" s="5">
        <v>0</v>
      </c>
      <c r="O10" s="5">
        <v>0</v>
      </c>
      <c r="P10" s="4">
        <f t="shared" si="0"/>
        <v>11505</v>
      </c>
      <c r="Q10" s="4">
        <f t="shared" si="0"/>
        <v>11921</v>
      </c>
    </row>
    <row r="11" spans="1:17" ht="24" customHeight="1">
      <c r="A11" s="23" t="s">
        <v>483</v>
      </c>
      <c r="B11" s="4">
        <f t="shared" ref="B11:Q11" si="1">SUM(B8:B10)</f>
        <v>76676</v>
      </c>
      <c r="C11" s="4">
        <f t="shared" si="1"/>
        <v>74268</v>
      </c>
      <c r="D11" s="4">
        <f t="shared" si="1"/>
        <v>20584</v>
      </c>
      <c r="E11" s="4">
        <f t="shared" si="1"/>
        <v>19979</v>
      </c>
      <c r="F11" s="4">
        <f t="shared" si="1"/>
        <v>7588</v>
      </c>
      <c r="G11" s="4">
        <f t="shared" si="1"/>
        <v>6970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775</v>
      </c>
      <c r="M11" s="4">
        <f t="shared" si="1"/>
        <v>775</v>
      </c>
      <c r="N11" s="4">
        <f t="shared" si="1"/>
        <v>1000</v>
      </c>
      <c r="O11" s="4">
        <f t="shared" si="1"/>
        <v>2100</v>
      </c>
      <c r="P11" s="4">
        <f t="shared" si="1"/>
        <v>106623</v>
      </c>
      <c r="Q11" s="4">
        <f t="shared" si="1"/>
        <v>104092</v>
      </c>
    </row>
  </sheetData>
  <mergeCells count="10">
    <mergeCell ref="A3:P3"/>
    <mergeCell ref="A4:P4"/>
    <mergeCell ref="B6:C6"/>
    <mergeCell ref="D6:E6"/>
    <mergeCell ref="F6:G6"/>
    <mergeCell ref="H6:I6"/>
    <mergeCell ref="J6:K6"/>
    <mergeCell ref="L6:M6"/>
    <mergeCell ref="N6:O6"/>
    <mergeCell ref="P6:Q6"/>
  </mergeCells>
  <pageMargins left="0.98425196850393704" right="0.98425196850393704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"/>
  <sheetViews>
    <sheetView zoomScaleNormal="100" zoomScaleSheetLayoutView="100" workbookViewId="0">
      <selection activeCell="Q1" sqref="Q1"/>
    </sheetView>
  </sheetViews>
  <sheetFormatPr defaultRowHeight="16.5"/>
  <cols>
    <col min="1" max="1" width="15.28515625" style="13" customWidth="1"/>
    <col min="2" max="3" width="8.140625" style="1" customWidth="1"/>
    <col min="4" max="5" width="8" style="1" customWidth="1"/>
    <col min="6" max="7" width="8.28515625" style="1" customWidth="1"/>
    <col min="8" max="8" width="8.28515625" style="1" bestFit="1" customWidth="1"/>
    <col min="9" max="9" width="7.28515625" style="1" customWidth="1"/>
    <col min="10" max="10" width="8.28515625" style="1" bestFit="1" customWidth="1"/>
    <col min="11" max="11" width="9.85546875" style="1" customWidth="1"/>
    <col min="12" max="12" width="11.5703125" style="1" bestFit="1" customWidth="1"/>
    <col min="13" max="13" width="7.140625" style="1" customWidth="1"/>
    <col min="14" max="14" width="10.140625" style="20" bestFit="1" customWidth="1"/>
    <col min="15" max="15" width="8.7109375" style="20" customWidth="1"/>
    <col min="16" max="16384" width="9.140625" style="1"/>
  </cols>
  <sheetData>
    <row r="1" spans="1:17">
      <c r="L1" s="694"/>
      <c r="M1" s="694"/>
      <c r="N1" s="694"/>
      <c r="O1" s="694"/>
      <c r="P1" s="694"/>
      <c r="Q1" s="665" t="s">
        <v>116</v>
      </c>
    </row>
    <row r="2" spans="1:17">
      <c r="A2" s="694"/>
      <c r="B2" s="694"/>
      <c r="C2" s="694"/>
      <c r="D2" s="694"/>
      <c r="E2" s="694"/>
      <c r="F2" s="694"/>
      <c r="G2" s="694"/>
      <c r="H2" s="694"/>
      <c r="I2" s="694"/>
      <c r="J2" s="694"/>
      <c r="K2" s="694"/>
      <c r="Q2" s="713"/>
    </row>
    <row r="3" spans="1:17">
      <c r="A3" s="744"/>
      <c r="B3" s="745"/>
      <c r="C3" s="745"/>
      <c r="D3" s="745"/>
      <c r="E3" s="745"/>
      <c r="F3" s="745"/>
      <c r="G3" s="745"/>
      <c r="H3" s="745"/>
      <c r="I3" s="745"/>
      <c r="J3" s="745"/>
      <c r="K3" s="745"/>
      <c r="L3" s="745"/>
      <c r="M3" s="745"/>
      <c r="N3" s="746"/>
      <c r="O3" s="278"/>
    </row>
    <row r="4" spans="1:17">
      <c r="A4" s="739" t="s">
        <v>603</v>
      </c>
      <c r="B4" s="739"/>
      <c r="C4" s="739"/>
      <c r="D4" s="739"/>
      <c r="E4" s="739"/>
      <c r="F4" s="739"/>
      <c r="G4" s="739"/>
      <c r="H4" s="739"/>
      <c r="I4" s="739"/>
      <c r="J4" s="739"/>
      <c r="K4" s="739"/>
      <c r="L4" s="739"/>
      <c r="M4" s="739"/>
      <c r="N4" s="746"/>
      <c r="O4" s="278"/>
    </row>
    <row r="5" spans="1:17" s="2" customFormat="1" ht="19.5">
      <c r="A5" s="739" t="s">
        <v>606</v>
      </c>
      <c r="B5" s="739"/>
      <c r="C5" s="739"/>
      <c r="D5" s="739"/>
      <c r="E5" s="739"/>
      <c r="F5" s="739"/>
      <c r="G5" s="739"/>
      <c r="H5" s="739"/>
      <c r="I5" s="739"/>
      <c r="J5" s="739"/>
      <c r="K5" s="739"/>
      <c r="L5" s="739"/>
      <c r="M5" s="739"/>
      <c r="N5" s="746"/>
      <c r="O5" s="278"/>
    </row>
    <row r="6" spans="1:17" s="2" customFormat="1" ht="19.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  <c r="O6" s="665"/>
      <c r="Q6" s="7" t="s">
        <v>484</v>
      </c>
    </row>
    <row r="7" spans="1:17" s="18" customFormat="1" ht="27" customHeight="1">
      <c r="A7" s="17"/>
      <c r="B7" s="740" t="s">
        <v>481</v>
      </c>
      <c r="C7" s="741"/>
      <c r="D7" s="740" t="s">
        <v>500</v>
      </c>
      <c r="E7" s="741"/>
      <c r="F7" s="740" t="s">
        <v>421</v>
      </c>
      <c r="G7" s="741"/>
      <c r="H7" s="740" t="s">
        <v>612</v>
      </c>
      <c r="I7" s="741"/>
      <c r="J7" s="740" t="s">
        <v>613</v>
      </c>
      <c r="K7" s="741"/>
      <c r="L7" s="740" t="s">
        <v>614</v>
      </c>
      <c r="M7" s="741"/>
      <c r="N7" s="740" t="s">
        <v>448</v>
      </c>
      <c r="O7" s="741"/>
      <c r="P7" s="742" t="s">
        <v>482</v>
      </c>
      <c r="Q7" s="743"/>
    </row>
    <row r="8" spans="1:17" s="18" customFormat="1" ht="33.75" customHeight="1">
      <c r="A8" s="17"/>
      <c r="B8" s="19" t="s">
        <v>567</v>
      </c>
      <c r="C8" s="696" t="s">
        <v>90</v>
      </c>
      <c r="D8" s="19" t="s">
        <v>567</v>
      </c>
      <c r="E8" s="696" t="s">
        <v>90</v>
      </c>
      <c r="F8" s="19" t="s">
        <v>567</v>
      </c>
      <c r="G8" s="696" t="s">
        <v>90</v>
      </c>
      <c r="H8" s="19" t="s">
        <v>567</v>
      </c>
      <c r="I8" s="696" t="s">
        <v>90</v>
      </c>
      <c r="J8" s="19" t="s">
        <v>567</v>
      </c>
      <c r="K8" s="696" t="s">
        <v>90</v>
      </c>
      <c r="L8" s="19" t="s">
        <v>567</v>
      </c>
      <c r="M8" s="696" t="s">
        <v>90</v>
      </c>
      <c r="N8" s="19" t="s">
        <v>567</v>
      </c>
      <c r="O8" s="696" t="s">
        <v>90</v>
      </c>
      <c r="P8" s="19" t="s">
        <v>567</v>
      </c>
      <c r="Q8" s="696" t="s">
        <v>90</v>
      </c>
    </row>
    <row r="9" spans="1:17" ht="23.25" customHeight="1">
      <c r="A9" s="24" t="s">
        <v>559</v>
      </c>
      <c r="B9" s="4">
        <v>174475</v>
      </c>
      <c r="C9" s="4">
        <v>180053</v>
      </c>
      <c r="D9" s="4">
        <v>47475</v>
      </c>
      <c r="E9" s="4">
        <v>48443</v>
      </c>
      <c r="F9" s="4">
        <v>83350</v>
      </c>
      <c r="G9" s="4">
        <v>81350</v>
      </c>
      <c r="H9" s="4"/>
      <c r="I9" s="4"/>
      <c r="J9" s="4"/>
      <c r="K9" s="4"/>
      <c r="L9" s="4">
        <v>6500</v>
      </c>
      <c r="M9" s="4">
        <v>11500</v>
      </c>
      <c r="N9" s="21"/>
      <c r="O9" s="21"/>
      <c r="P9" s="21">
        <f>B9+D9+F9+H9+J9+L9+N9</f>
        <v>311800</v>
      </c>
      <c r="Q9" s="21">
        <f>C9+E9+G9+I9+K9+M9+O9</f>
        <v>321346</v>
      </c>
    </row>
    <row r="10" spans="1:17" ht="34.5" customHeight="1">
      <c r="A10" s="23" t="s">
        <v>560</v>
      </c>
      <c r="B10" s="4">
        <v>20800</v>
      </c>
      <c r="C10" s="4">
        <v>21060</v>
      </c>
      <c r="D10" s="4">
        <v>5350</v>
      </c>
      <c r="E10" s="4">
        <v>5420</v>
      </c>
      <c r="F10" s="4">
        <v>4150</v>
      </c>
      <c r="G10" s="4">
        <v>4150</v>
      </c>
      <c r="H10" s="4"/>
      <c r="I10" s="4"/>
      <c r="J10" s="4"/>
      <c r="K10" s="4"/>
      <c r="L10" s="4">
        <v>700</v>
      </c>
      <c r="M10" s="4">
        <v>700</v>
      </c>
      <c r="N10" s="21"/>
      <c r="O10" s="21"/>
      <c r="P10" s="21">
        <f>B10+D10+F10+H10+J10+L10+N10</f>
        <v>31000</v>
      </c>
      <c r="Q10" s="21">
        <f>C10+E10+G10+I10+K10+M10+O10</f>
        <v>31330</v>
      </c>
    </row>
    <row r="11" spans="1:17" s="25" customFormat="1" ht="24.75" customHeight="1">
      <c r="A11" s="22" t="s">
        <v>483</v>
      </c>
      <c r="B11" s="5">
        <f t="shared" ref="B11:Q11" si="0">SUM(B9:B10)</f>
        <v>195275</v>
      </c>
      <c r="C11" s="5">
        <f t="shared" si="0"/>
        <v>201113</v>
      </c>
      <c r="D11" s="5">
        <f t="shared" si="0"/>
        <v>52825</v>
      </c>
      <c r="E11" s="5">
        <f t="shared" si="0"/>
        <v>53863</v>
      </c>
      <c r="F11" s="5">
        <f t="shared" si="0"/>
        <v>87500</v>
      </c>
      <c r="G11" s="5">
        <f t="shared" si="0"/>
        <v>85500</v>
      </c>
      <c r="H11" s="5">
        <f t="shared" si="0"/>
        <v>0</v>
      </c>
      <c r="I11" s="5">
        <f t="shared" si="0"/>
        <v>0</v>
      </c>
      <c r="J11" s="5">
        <f t="shared" si="0"/>
        <v>0</v>
      </c>
      <c r="K11" s="5">
        <f t="shared" si="0"/>
        <v>0</v>
      </c>
      <c r="L11" s="5">
        <f t="shared" si="0"/>
        <v>7200</v>
      </c>
      <c r="M11" s="5">
        <f t="shared" si="0"/>
        <v>12200</v>
      </c>
      <c r="N11" s="5">
        <f t="shared" si="0"/>
        <v>0</v>
      </c>
      <c r="O11" s="5">
        <f t="shared" si="0"/>
        <v>0</v>
      </c>
      <c r="P11" s="5">
        <f t="shared" si="0"/>
        <v>342800</v>
      </c>
      <c r="Q11" s="5">
        <f t="shared" si="0"/>
        <v>352676</v>
      </c>
    </row>
  </sheetData>
  <mergeCells count="11">
    <mergeCell ref="N7:O7"/>
    <mergeCell ref="P7:Q7"/>
    <mergeCell ref="A3:N3"/>
    <mergeCell ref="A4:N4"/>
    <mergeCell ref="A5:N5"/>
    <mergeCell ref="B7:C7"/>
    <mergeCell ref="D7:E7"/>
    <mergeCell ref="F7:G7"/>
    <mergeCell ref="H7:I7"/>
    <mergeCell ref="J7:K7"/>
    <mergeCell ref="L7:M7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7"/>
  <sheetViews>
    <sheetView zoomScaleNormal="100" zoomScaleSheetLayoutView="100" workbookViewId="0">
      <selection activeCell="A2" sqref="A2:G2"/>
    </sheetView>
  </sheetViews>
  <sheetFormatPr defaultRowHeight="15"/>
  <cols>
    <col min="1" max="1" width="51.42578125" style="711" customWidth="1"/>
    <col min="2" max="2" width="11.85546875" style="706" customWidth="1"/>
    <col min="3" max="3" width="12.28515625" style="706" customWidth="1"/>
    <col min="4" max="4" width="10.85546875" style="706" bestFit="1" customWidth="1"/>
    <col min="5" max="5" width="18.28515625" style="706" bestFit="1" customWidth="1"/>
    <col min="6" max="6" width="15.85546875" style="705" bestFit="1" customWidth="1"/>
    <col min="7" max="7" width="13.28515625" style="705" customWidth="1"/>
    <col min="8" max="16384" width="9.140625" style="705"/>
  </cols>
  <sheetData>
    <row r="1" spans="1:7" ht="16.5">
      <c r="A1" s="747" t="s">
        <v>117</v>
      </c>
      <c r="B1" s="747"/>
      <c r="C1" s="747"/>
      <c r="D1" s="747"/>
      <c r="E1" s="747"/>
      <c r="F1" s="747"/>
      <c r="G1" s="747"/>
    </row>
    <row r="2" spans="1:7" ht="16.5">
      <c r="A2" s="729"/>
      <c r="B2" s="729"/>
      <c r="C2" s="729"/>
      <c r="D2" s="729"/>
      <c r="E2" s="729"/>
      <c r="F2" s="729"/>
      <c r="G2" s="729"/>
    </row>
    <row r="3" spans="1:7" ht="16.5">
      <c r="A3" s="704"/>
      <c r="B3" s="704"/>
      <c r="C3" s="704"/>
      <c r="D3" s="704"/>
      <c r="E3" s="704"/>
      <c r="F3" s="704"/>
      <c r="G3" s="704"/>
    </row>
    <row r="4" spans="1:7">
      <c r="A4" s="706"/>
      <c r="F4" s="707"/>
      <c r="G4" s="707"/>
    </row>
    <row r="5" spans="1:7" ht="16.5">
      <c r="A5" s="748" t="s">
        <v>700</v>
      </c>
      <c r="B5" s="748"/>
      <c r="C5" s="748"/>
      <c r="D5" s="748"/>
      <c r="E5" s="748"/>
      <c r="F5" s="748"/>
      <c r="G5" s="748"/>
    </row>
    <row r="6" spans="1:7" ht="16.5">
      <c r="A6" s="748" t="s">
        <v>720</v>
      </c>
      <c r="B6" s="748"/>
      <c r="C6" s="748"/>
      <c r="D6" s="748"/>
      <c r="E6" s="748"/>
      <c r="F6" s="748"/>
      <c r="G6" s="748"/>
    </row>
    <row r="7" spans="1:7" ht="16.5">
      <c r="A7" s="749" t="s">
        <v>701</v>
      </c>
      <c r="B7" s="750" t="s">
        <v>702</v>
      </c>
      <c r="C7" s="750"/>
      <c r="D7" s="750"/>
      <c r="E7" s="750"/>
      <c r="F7" s="750"/>
      <c r="G7" s="750"/>
    </row>
    <row r="8" spans="1:7" ht="66">
      <c r="A8" s="749"/>
      <c r="B8" s="272" t="s">
        <v>716</v>
      </c>
      <c r="C8" s="272" t="s">
        <v>717</v>
      </c>
      <c r="D8" s="272" t="s">
        <v>718</v>
      </c>
      <c r="E8" s="708" t="s">
        <v>721</v>
      </c>
      <c r="F8" s="708" t="s">
        <v>703</v>
      </c>
      <c r="G8" s="708" t="s">
        <v>557</v>
      </c>
    </row>
    <row r="9" spans="1:7" ht="16.5">
      <c r="A9" s="273"/>
      <c r="B9" s="273"/>
      <c r="C9" s="273"/>
      <c r="D9" s="274"/>
      <c r="E9" s="709"/>
      <c r="F9" s="709"/>
      <c r="G9" s="709"/>
    </row>
    <row r="10" spans="1:7" ht="16.5">
      <c r="A10" s="273" t="s">
        <v>595</v>
      </c>
      <c r="B10" s="273"/>
      <c r="C10" s="273"/>
      <c r="D10" s="273"/>
      <c r="E10" s="709"/>
      <c r="F10" s="709"/>
      <c r="G10" s="709"/>
    </row>
    <row r="11" spans="1:7" ht="16.5">
      <c r="A11" s="273" t="s">
        <v>704</v>
      </c>
      <c r="B11" s="273">
        <v>11</v>
      </c>
      <c r="C11" s="273">
        <v>8</v>
      </c>
      <c r="D11" s="273">
        <v>0</v>
      </c>
      <c r="E11" s="709">
        <v>1</v>
      </c>
      <c r="F11" s="709">
        <v>1</v>
      </c>
      <c r="G11" s="709">
        <f t="shared" ref="G11:G26" si="0">SUM(B11:F11)</f>
        <v>21</v>
      </c>
    </row>
    <row r="12" spans="1:7" ht="16.5">
      <c r="A12" s="273" t="s">
        <v>706</v>
      </c>
      <c r="B12" s="273">
        <v>4</v>
      </c>
      <c r="C12" s="273">
        <v>2</v>
      </c>
      <c r="D12" s="273">
        <v>0</v>
      </c>
      <c r="E12" s="709">
        <v>0</v>
      </c>
      <c r="F12" s="709">
        <v>0</v>
      </c>
      <c r="G12" s="709">
        <f t="shared" si="0"/>
        <v>6</v>
      </c>
    </row>
    <row r="13" spans="1:7" ht="16.5">
      <c r="A13" s="273" t="s">
        <v>707</v>
      </c>
      <c r="B13" s="273">
        <v>0</v>
      </c>
      <c r="C13" s="273">
        <v>0</v>
      </c>
      <c r="D13" s="273">
        <v>0</v>
      </c>
      <c r="E13" s="709">
        <v>0</v>
      </c>
      <c r="F13" s="709">
        <v>0</v>
      </c>
      <c r="G13" s="709">
        <f t="shared" si="0"/>
        <v>0</v>
      </c>
    </row>
    <row r="14" spans="1:7" ht="16.5">
      <c r="A14" s="273" t="s">
        <v>719</v>
      </c>
      <c r="B14" s="273">
        <v>2</v>
      </c>
      <c r="C14" s="273">
        <v>2</v>
      </c>
      <c r="D14" s="273">
        <v>0</v>
      </c>
      <c r="E14" s="709">
        <v>0</v>
      </c>
      <c r="F14" s="709">
        <v>0</v>
      </c>
      <c r="G14" s="709">
        <f t="shared" si="0"/>
        <v>4</v>
      </c>
    </row>
    <row r="15" spans="1:7" ht="16.5">
      <c r="A15" s="273" t="s">
        <v>708</v>
      </c>
      <c r="B15" s="273"/>
      <c r="C15" s="273"/>
      <c r="D15" s="273"/>
      <c r="E15" s="709"/>
      <c r="F15" s="709"/>
      <c r="G15" s="709">
        <f t="shared" si="0"/>
        <v>0</v>
      </c>
    </row>
    <row r="16" spans="1:7" ht="16.5">
      <c r="A16" s="273" t="s">
        <v>709</v>
      </c>
      <c r="B16" s="273">
        <v>12</v>
      </c>
      <c r="C16" s="273">
        <v>0</v>
      </c>
      <c r="D16" s="273">
        <v>2</v>
      </c>
      <c r="E16" s="709">
        <v>0</v>
      </c>
      <c r="F16" s="709">
        <v>2</v>
      </c>
      <c r="G16" s="709">
        <f t="shared" si="0"/>
        <v>16</v>
      </c>
    </row>
    <row r="17" spans="1:7" ht="16.5">
      <c r="A17" s="273" t="s">
        <v>710</v>
      </c>
      <c r="B17" s="273">
        <v>30.5</v>
      </c>
      <c r="C17" s="273">
        <v>22</v>
      </c>
      <c r="D17" s="273">
        <v>0</v>
      </c>
      <c r="E17" s="709">
        <v>2</v>
      </c>
      <c r="F17" s="709">
        <v>2</v>
      </c>
      <c r="G17" s="709">
        <f t="shared" si="0"/>
        <v>56.5</v>
      </c>
    </row>
    <row r="18" spans="1:7" ht="16.5">
      <c r="A18" s="273" t="s">
        <v>711</v>
      </c>
      <c r="B18" s="273">
        <v>0</v>
      </c>
      <c r="C18" s="273">
        <v>0</v>
      </c>
      <c r="D18" s="273">
        <v>0</v>
      </c>
      <c r="E18" s="709">
        <v>0</v>
      </c>
      <c r="F18" s="709">
        <v>0</v>
      </c>
      <c r="G18" s="709">
        <f t="shared" si="0"/>
        <v>0</v>
      </c>
    </row>
    <row r="19" spans="1:7" ht="16.5">
      <c r="A19" s="273" t="s">
        <v>712</v>
      </c>
      <c r="B19" s="273">
        <v>0</v>
      </c>
      <c r="C19" s="273">
        <v>0</v>
      </c>
      <c r="D19" s="273">
        <v>0</v>
      </c>
      <c r="E19" s="709">
        <v>0</v>
      </c>
      <c r="F19" s="709">
        <v>0</v>
      </c>
      <c r="G19" s="709">
        <f t="shared" si="0"/>
        <v>0</v>
      </c>
    </row>
    <row r="20" spans="1:7" ht="16.5">
      <c r="A20" s="273" t="s">
        <v>713</v>
      </c>
      <c r="B20" s="273">
        <v>0</v>
      </c>
      <c r="C20" s="273">
        <v>0</v>
      </c>
      <c r="D20" s="273">
        <v>0</v>
      </c>
      <c r="E20" s="709">
        <v>0</v>
      </c>
      <c r="F20" s="709">
        <v>0</v>
      </c>
      <c r="G20" s="709">
        <f t="shared" si="0"/>
        <v>0</v>
      </c>
    </row>
    <row r="21" spans="1:7" ht="16.5">
      <c r="A21" s="273" t="s">
        <v>602</v>
      </c>
      <c r="B21" s="273">
        <v>26</v>
      </c>
      <c r="C21" s="273">
        <v>0</v>
      </c>
      <c r="D21" s="273">
        <v>47</v>
      </c>
      <c r="E21" s="709">
        <v>2</v>
      </c>
      <c r="F21" s="709">
        <v>2</v>
      </c>
      <c r="G21" s="709">
        <f t="shared" si="0"/>
        <v>77</v>
      </c>
    </row>
    <row r="22" spans="1:7" ht="16.5">
      <c r="A22" s="273" t="s">
        <v>714</v>
      </c>
      <c r="B22" s="273">
        <v>6</v>
      </c>
      <c r="C22" s="273">
        <v>0</v>
      </c>
      <c r="D22" s="273">
        <v>2</v>
      </c>
      <c r="E22" s="709">
        <v>0</v>
      </c>
      <c r="F22" s="709">
        <v>4</v>
      </c>
      <c r="G22" s="709">
        <f t="shared" si="0"/>
        <v>12</v>
      </c>
    </row>
    <row r="23" spans="1:7" ht="16.5">
      <c r="A23" s="273" t="s">
        <v>715</v>
      </c>
      <c r="B23" s="273"/>
      <c r="C23" s="273"/>
      <c r="D23" s="273"/>
      <c r="E23" s="709"/>
      <c r="F23" s="709"/>
      <c r="G23" s="709">
        <f t="shared" si="0"/>
        <v>0</v>
      </c>
    </row>
    <row r="24" spans="1:7" ht="16.5">
      <c r="A24" s="273" t="s">
        <v>704</v>
      </c>
      <c r="B24" s="273">
        <v>53</v>
      </c>
      <c r="C24" s="273">
        <v>0</v>
      </c>
      <c r="D24" s="273">
        <v>8</v>
      </c>
      <c r="E24" s="709">
        <v>3</v>
      </c>
      <c r="F24" s="709">
        <v>8</v>
      </c>
      <c r="G24" s="709">
        <f t="shared" si="0"/>
        <v>72</v>
      </c>
    </row>
    <row r="25" spans="1:7" ht="16.5">
      <c r="A25" s="273" t="s">
        <v>705</v>
      </c>
      <c r="B25" s="273">
        <v>6</v>
      </c>
      <c r="C25" s="273">
        <v>0</v>
      </c>
      <c r="D25" s="273">
        <v>1</v>
      </c>
      <c r="E25" s="709">
        <v>0</v>
      </c>
      <c r="F25" s="709">
        <v>0</v>
      </c>
      <c r="G25" s="709">
        <f t="shared" si="0"/>
        <v>7</v>
      </c>
    </row>
    <row r="26" spans="1:7" ht="16.5">
      <c r="A26" s="273" t="s">
        <v>503</v>
      </c>
      <c r="B26" s="273">
        <v>3</v>
      </c>
      <c r="C26" s="273">
        <v>0</v>
      </c>
      <c r="D26" s="273">
        <v>0</v>
      </c>
      <c r="E26" s="709">
        <v>0</v>
      </c>
      <c r="F26" s="709">
        <v>18</v>
      </c>
      <c r="G26" s="709">
        <f t="shared" si="0"/>
        <v>21</v>
      </c>
    </row>
    <row r="27" spans="1:7" ht="16.5">
      <c r="A27" s="275" t="s">
        <v>483</v>
      </c>
      <c r="B27" s="276">
        <f t="shared" ref="B27:G27" si="1">SUM(B10:B26)</f>
        <v>153.5</v>
      </c>
      <c r="C27" s="276">
        <f t="shared" si="1"/>
        <v>34</v>
      </c>
      <c r="D27" s="276">
        <f t="shared" si="1"/>
        <v>60</v>
      </c>
      <c r="E27" s="710">
        <f t="shared" si="1"/>
        <v>8</v>
      </c>
      <c r="F27" s="710">
        <f t="shared" si="1"/>
        <v>37</v>
      </c>
      <c r="G27" s="710">
        <f t="shared" si="1"/>
        <v>292.5</v>
      </c>
    </row>
  </sheetData>
  <mergeCells count="5">
    <mergeCell ref="A1:G1"/>
    <mergeCell ref="A5:G5"/>
    <mergeCell ref="A6:G6"/>
    <mergeCell ref="A7:A8"/>
    <mergeCell ref="B7:G7"/>
  </mergeCells>
  <pageMargins left="0.59055118110236227" right="0.59055118110236227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zoomScaleNormal="100" workbookViewId="0"/>
  </sheetViews>
  <sheetFormatPr defaultRowHeight="15.75"/>
  <cols>
    <col min="1" max="1" width="40" style="701" customWidth="1"/>
    <col min="2" max="2" width="12" style="702" bestFit="1" customWidth="1"/>
    <col min="3" max="3" width="10.42578125" style="3" customWidth="1"/>
    <col min="4" max="5" width="11" style="3" customWidth="1"/>
    <col min="6" max="6" width="4.7109375" style="3" customWidth="1"/>
    <col min="7" max="7" width="32.42578125" style="26" customWidth="1"/>
    <col min="8" max="8" width="12" style="3" bestFit="1" customWidth="1"/>
    <col min="9" max="9" width="13.5703125" style="3" bestFit="1" customWidth="1"/>
    <col min="10" max="10" width="11" style="3" customWidth="1"/>
    <col min="11" max="11" width="9.140625" style="411"/>
  </cols>
  <sheetData>
    <row r="1" spans="1:14" ht="12.75">
      <c r="A1" s="697"/>
      <c r="B1" s="698"/>
      <c r="C1" s="116"/>
      <c r="D1" s="116"/>
      <c r="E1" s="116"/>
      <c r="F1" s="116"/>
      <c r="G1" s="714"/>
      <c r="H1" s="714"/>
      <c r="I1" s="727"/>
      <c r="J1" s="727"/>
      <c r="K1" s="728" t="s">
        <v>944</v>
      </c>
      <c r="L1" s="715"/>
      <c r="M1" s="715"/>
      <c r="N1" s="715"/>
    </row>
    <row r="2" spans="1:14">
      <c r="A2" s="697"/>
      <c r="B2" s="698"/>
      <c r="C2" s="116"/>
      <c r="D2" s="116"/>
      <c r="E2" s="116"/>
      <c r="F2" s="116"/>
      <c r="K2" s="716"/>
      <c r="L2" s="716"/>
      <c r="M2" s="716"/>
      <c r="N2" s="716"/>
    </row>
    <row r="3" spans="1:14" ht="12.75">
      <c r="A3" s="751" t="s">
        <v>451</v>
      </c>
      <c r="B3" s="752"/>
      <c r="C3" s="752"/>
      <c r="D3" s="752"/>
      <c r="E3" s="752"/>
      <c r="F3" s="752"/>
      <c r="G3" s="752"/>
      <c r="H3" s="752"/>
      <c r="I3" s="752"/>
      <c r="J3" s="752"/>
    </row>
    <row r="4" spans="1:14" ht="12.75">
      <c r="A4" s="753" t="s">
        <v>698</v>
      </c>
      <c r="B4" s="754"/>
      <c r="C4" s="754"/>
      <c r="D4" s="754"/>
      <c r="E4" s="754"/>
      <c r="F4" s="754"/>
      <c r="G4" s="754"/>
      <c r="H4" s="754"/>
      <c r="I4" s="754"/>
      <c r="J4" s="754"/>
    </row>
    <row r="5" spans="1:14" ht="10.5" customHeight="1">
      <c r="A5" s="117"/>
      <c r="B5" s="118"/>
      <c r="C5" s="118"/>
      <c r="D5" s="118"/>
      <c r="E5" s="118"/>
      <c r="F5" s="118"/>
      <c r="G5" s="117"/>
      <c r="H5" s="118"/>
      <c r="I5" s="116"/>
      <c r="J5" s="116"/>
    </row>
    <row r="6" spans="1:14" ht="12.75">
      <c r="A6" s="120" t="s">
        <v>452</v>
      </c>
      <c r="B6" s="121"/>
      <c r="C6" s="121"/>
      <c r="D6" s="121"/>
      <c r="E6" s="121"/>
      <c r="F6" s="118"/>
      <c r="G6" s="120" t="s">
        <v>453</v>
      </c>
      <c r="H6" s="121"/>
      <c r="I6" s="116"/>
      <c r="J6" s="116"/>
    </row>
    <row r="7" spans="1:14" ht="12.75">
      <c r="A7" s="122"/>
      <c r="B7" s="123" t="s">
        <v>697</v>
      </c>
      <c r="C7" s="123" t="s">
        <v>699</v>
      </c>
      <c r="D7" s="123" t="s">
        <v>91</v>
      </c>
      <c r="E7" s="123" t="s">
        <v>92</v>
      </c>
      <c r="F7" s="124"/>
      <c r="G7" s="122"/>
      <c r="H7" s="123" t="s">
        <v>697</v>
      </c>
      <c r="I7" s="123" t="s">
        <v>699</v>
      </c>
      <c r="J7" s="123" t="s">
        <v>91</v>
      </c>
      <c r="K7" s="123" t="s">
        <v>92</v>
      </c>
    </row>
    <row r="8" spans="1:14" ht="12.75">
      <c r="A8" s="120"/>
      <c r="B8" s="125" t="s">
        <v>484</v>
      </c>
      <c r="C8" s="125" t="s">
        <v>484</v>
      </c>
      <c r="D8" s="125" t="s">
        <v>484</v>
      </c>
      <c r="E8" s="125" t="s">
        <v>484</v>
      </c>
      <c r="F8" s="126"/>
      <c r="G8" s="127"/>
      <c r="H8" s="125" t="s">
        <v>484</v>
      </c>
      <c r="I8" s="128" t="s">
        <v>484</v>
      </c>
      <c r="J8" s="128" t="s">
        <v>484</v>
      </c>
      <c r="K8" s="128" t="s">
        <v>484</v>
      </c>
    </row>
    <row r="9" spans="1:14" ht="12.75">
      <c r="A9" s="117" t="s">
        <v>454</v>
      </c>
      <c r="B9" s="129">
        <v>567682</v>
      </c>
      <c r="C9" s="129">
        <v>156737</v>
      </c>
      <c r="D9" s="129">
        <f>'[1]bevétel 1.sz.'!D15+'[1]bevétel 1.sz.'!D26+'[1]bevétel 1.sz.'!D34+'[1]bevétel 1.sz.'!D42+'[1]bevétel 1.sz.'!D56+'[1]bevétel 1.sz.'!D71</f>
        <v>100559</v>
      </c>
      <c r="E9" s="129">
        <f>'[1]bevétel 1.sz.'!H15+'[1]bevétel 1.sz.'!H26+'[1]bevétel 1.sz.'!H34+'[1]bevétel 1.sz.'!H42+'[1]bevétel 1.sz.'!H56+'[1]bevétel 1.sz.'!H71</f>
        <v>100559</v>
      </c>
      <c r="F9" s="129"/>
      <c r="G9" s="130" t="s">
        <v>455</v>
      </c>
      <c r="H9" s="140">
        <v>1941492</v>
      </c>
      <c r="I9" s="119">
        <v>566208</v>
      </c>
      <c r="J9" s="119">
        <v>603146</v>
      </c>
      <c r="K9" s="119">
        <f>'[1]kiadás 2.sz. '!H10+'[1]kiadás 2.sz. '!H22+'[1]kiadás 2.sz. '!H36+'[1]kiadás 2.sz. '!H51+'[1]kiadás 2.sz. '!H62+'[1]kiadás 2.sz. '!H84</f>
        <v>631301</v>
      </c>
    </row>
    <row r="10" spans="1:14" ht="12.75">
      <c r="A10" s="117" t="s">
        <v>733</v>
      </c>
      <c r="B10" s="129">
        <v>1313815</v>
      </c>
      <c r="C10" s="129">
        <v>668422</v>
      </c>
      <c r="D10" s="129">
        <f>'[1]bevétel 1.sz.'!D88</f>
        <v>726500</v>
      </c>
      <c r="E10" s="129">
        <f>'[1]bevétel 1.sz.'!H88</f>
        <v>679743</v>
      </c>
      <c r="F10" s="129"/>
      <c r="G10" s="130" t="s">
        <v>456</v>
      </c>
      <c r="H10" s="140">
        <v>505886</v>
      </c>
      <c r="I10" s="119">
        <v>154073</v>
      </c>
      <c r="J10" s="119">
        <v>162109</v>
      </c>
      <c r="K10" s="119">
        <f>'[1]kiadás 2.sz. '!H11+'[1]kiadás 2.sz. '!H23+'[1]kiadás 2.sz. '!H37+'[1]kiadás 2.sz. '!H52+'[1]kiadás 2.sz. '!H63+'[1]kiadás 2.sz. '!H93</f>
        <v>168678</v>
      </c>
    </row>
    <row r="11" spans="1:14" ht="12.75">
      <c r="A11" s="117" t="s">
        <v>458</v>
      </c>
      <c r="B11" s="129">
        <v>2058200</v>
      </c>
      <c r="C11" s="129">
        <v>1269678</v>
      </c>
      <c r="D11" s="129">
        <f>'[1]bevétel 1.sz.'!D125</f>
        <v>1219688</v>
      </c>
      <c r="E11" s="129">
        <f>'[1]bevétel 1.sz.'!H125-E24</f>
        <v>1465100</v>
      </c>
      <c r="F11" s="129"/>
      <c r="G11" s="130" t="s">
        <v>457</v>
      </c>
      <c r="H11" s="140">
        <v>1296301</v>
      </c>
      <c r="I11" s="119">
        <v>1009309</v>
      </c>
      <c r="J11" s="119">
        <v>937512</v>
      </c>
      <c r="K11" s="119">
        <f>'[1]kiadás 2.sz. '!H12+'[1]kiadás 2.sz. '!H24+'[1]kiadás 2.sz. '!H38+'[1]kiadás 2.sz. '!H53+'[1]kiadás 2.sz. '!H67+'[1]kiadás 2.sz. '!H152-'[1]kiadás 2.sz. '!H118-'[1]kiadás 2.sz. '!H119</f>
        <v>956571</v>
      </c>
    </row>
    <row r="12" spans="1:14" ht="12.75">
      <c r="A12" s="117" t="s">
        <v>555</v>
      </c>
      <c r="B12" s="129">
        <v>420632</v>
      </c>
      <c r="C12" s="129">
        <v>123430</v>
      </c>
      <c r="D12" s="129">
        <f>'[1]bevétel 1.sz.'!D156+'[1]bevétel 1.sz.'!D62</f>
        <v>127408</v>
      </c>
      <c r="E12" s="129">
        <f>'[1]bevétel 1.sz.'!H156+'[1]bevétel 1.sz.'!H62+'[1]bevétel 1.sz.'!H19+'[1]bevétel 1.sz.'!H30+'[1]bevétel 1.sz.'!H37+'[1]bevétel 1.sz.'!H47</f>
        <v>163255</v>
      </c>
      <c r="F12" s="129"/>
      <c r="G12" s="130" t="s">
        <v>418</v>
      </c>
      <c r="H12" s="140">
        <v>400868</v>
      </c>
      <c r="I12" s="119">
        <v>704766</v>
      </c>
      <c r="J12" s="119">
        <v>414009</v>
      </c>
      <c r="K12" s="119">
        <f>'[1]kiadás 2.sz. '!H178+'[1]kiadás 2.sz. '!H195</f>
        <v>453939</v>
      </c>
    </row>
    <row r="13" spans="1:14" ht="12.75">
      <c r="A13" s="117" t="s">
        <v>728</v>
      </c>
      <c r="B13" s="129">
        <v>252</v>
      </c>
      <c r="C13" s="129">
        <v>0</v>
      </c>
      <c r="D13" s="129">
        <v>0</v>
      </c>
      <c r="E13" s="129">
        <v>0</v>
      </c>
      <c r="F13" s="129"/>
      <c r="G13" s="130" t="s">
        <v>612</v>
      </c>
      <c r="H13" s="140">
        <v>50510</v>
      </c>
      <c r="I13" s="119">
        <v>0</v>
      </c>
      <c r="J13" s="119">
        <v>181507</v>
      </c>
      <c r="K13" s="119">
        <f>'[1]kiadás 2.sz. '!H168</f>
        <v>191507</v>
      </c>
    </row>
    <row r="14" spans="1:14" ht="12.75">
      <c r="A14" s="117" t="s">
        <v>501</v>
      </c>
      <c r="B14" s="129">
        <v>603</v>
      </c>
      <c r="C14" s="129">
        <v>85888</v>
      </c>
      <c r="D14" s="129">
        <v>0</v>
      </c>
      <c r="E14" s="129">
        <f>'[1]bevétel 1.sz.'!H170</f>
        <v>5930</v>
      </c>
      <c r="F14" s="129"/>
      <c r="G14" s="130" t="s">
        <v>459</v>
      </c>
      <c r="H14" s="140">
        <v>198338</v>
      </c>
      <c r="I14" s="119">
        <v>92655</v>
      </c>
      <c r="J14" s="119">
        <v>0</v>
      </c>
      <c r="K14" s="119">
        <f>'[1]kiadás 2.sz. '!H300</f>
        <v>115436</v>
      </c>
    </row>
    <row r="15" spans="1:14" ht="12.75">
      <c r="A15" s="117" t="s">
        <v>460</v>
      </c>
      <c r="B15" s="129">
        <v>0</v>
      </c>
      <c r="C15" s="129">
        <v>0</v>
      </c>
      <c r="D15" s="129">
        <v>0</v>
      </c>
      <c r="E15" s="129">
        <v>0</v>
      </c>
      <c r="F15" s="129"/>
      <c r="G15" s="130" t="s">
        <v>461</v>
      </c>
      <c r="H15" s="140">
        <v>23004</v>
      </c>
      <c r="I15" s="119">
        <v>18000</v>
      </c>
      <c r="J15" s="119">
        <v>8000</v>
      </c>
      <c r="K15" s="119">
        <f>'[1]kiadás 2.sz. '!H118</f>
        <v>8000</v>
      </c>
    </row>
    <row r="16" spans="1:14" ht="12.75">
      <c r="A16" s="117" t="s">
        <v>909</v>
      </c>
      <c r="B16" s="129">
        <v>0</v>
      </c>
      <c r="C16" s="129">
        <v>0</v>
      </c>
      <c r="D16" s="129">
        <f>'[1]bevétel 1.sz.'!D184</f>
        <v>140653</v>
      </c>
      <c r="E16" s="129">
        <f>'[1]bevétel 1.sz.'!H184</f>
        <v>140653</v>
      </c>
      <c r="F16" s="129"/>
      <c r="G16" s="130" t="s">
        <v>462</v>
      </c>
      <c r="H16" s="140">
        <v>21</v>
      </c>
      <c r="I16" s="119">
        <v>0</v>
      </c>
      <c r="J16" s="119">
        <v>0</v>
      </c>
      <c r="K16" s="119">
        <v>0</v>
      </c>
    </row>
    <row r="17" spans="1:11" ht="12.75">
      <c r="A17" s="131" t="s">
        <v>463</v>
      </c>
      <c r="B17" s="129">
        <v>53858</v>
      </c>
      <c r="C17" s="129">
        <v>104497</v>
      </c>
      <c r="D17" s="129">
        <f>'[1]bevétel 1.sz.'!D205</f>
        <v>46259</v>
      </c>
      <c r="E17" s="129">
        <f>'[1]bevétel 1.sz.'!H205</f>
        <v>46259</v>
      </c>
      <c r="F17" s="129"/>
      <c r="G17" s="130" t="s">
        <v>464</v>
      </c>
      <c r="H17" s="129">
        <v>0</v>
      </c>
      <c r="I17" s="119">
        <v>26</v>
      </c>
      <c r="J17" s="119">
        <v>35500</v>
      </c>
      <c r="K17" s="119">
        <f>'[1]kiadás 2.sz. '!H199+'[1]kiadás 2.sz. '!H200+'[1]kiadás 2.sz. '!H201+'[1]kiadás 2.sz. '!H202+'[1]kiadás 2.sz. '!H203+'[1]kiadás 2.sz. '!H204+'[1]kiadás 2.sz. '!H205</f>
        <v>3500</v>
      </c>
    </row>
    <row r="18" spans="1:11">
      <c r="A18" s="117" t="s">
        <v>465</v>
      </c>
      <c r="B18" s="129">
        <v>231638</v>
      </c>
      <c r="C18" s="129">
        <v>10000</v>
      </c>
      <c r="D18" s="129">
        <v>0</v>
      </c>
      <c r="E18" s="129">
        <v>0</v>
      </c>
      <c r="F18" s="129"/>
      <c r="H18" s="277"/>
      <c r="K18" s="3"/>
    </row>
    <row r="19" spans="1:11" ht="12.75">
      <c r="A19" s="697"/>
      <c r="B19" s="699"/>
      <c r="C19" s="133"/>
      <c r="D19" s="116"/>
      <c r="E19" s="116"/>
      <c r="F19" s="129"/>
      <c r="G19" s="132"/>
      <c r="H19" s="133"/>
      <c r="I19" s="116"/>
      <c r="J19" s="116"/>
      <c r="K19" s="116"/>
    </row>
    <row r="20" spans="1:11" ht="12.75">
      <c r="A20" s="697"/>
      <c r="B20" s="699"/>
      <c r="C20" s="133"/>
      <c r="D20" s="129"/>
      <c r="E20" s="129"/>
      <c r="F20" s="129"/>
      <c r="G20" s="134"/>
      <c r="H20" s="133"/>
      <c r="I20" s="119"/>
      <c r="J20" s="119"/>
      <c r="K20" s="119"/>
    </row>
    <row r="21" spans="1:11" s="700" customFormat="1" ht="12.75">
      <c r="A21" s="120" t="s">
        <v>466</v>
      </c>
      <c r="B21" s="135">
        <f>SUM(B9:B20)</f>
        <v>4646680</v>
      </c>
      <c r="C21" s="135">
        <f>SUM(C9:C20)</f>
        <v>2418652</v>
      </c>
      <c r="D21" s="135">
        <f>SUM(D9:D20)</f>
        <v>2361067</v>
      </c>
      <c r="E21" s="135">
        <f>SUM(E9:E20)</f>
        <v>2601499</v>
      </c>
      <c r="F21" s="207"/>
      <c r="G21" s="136" t="s">
        <v>467</v>
      </c>
      <c r="H21" s="135">
        <f>SUM(H9:H20)</f>
        <v>4416420</v>
      </c>
      <c r="I21" s="137">
        <f>SUM(I9:I20)</f>
        <v>2545037</v>
      </c>
      <c r="J21" s="137">
        <f>SUM(J9:J20)</f>
        <v>2341783</v>
      </c>
      <c r="K21" s="137">
        <f>SUM(K9:K20)</f>
        <v>2528932</v>
      </c>
    </row>
    <row r="22" spans="1:11" ht="12.75">
      <c r="A22" s="697"/>
      <c r="B22" s="699"/>
      <c r="C22" s="133"/>
      <c r="D22" s="135"/>
      <c r="E22" s="135"/>
      <c r="F22" s="135"/>
      <c r="G22" s="130"/>
      <c r="H22" s="139"/>
      <c r="I22" s="119"/>
      <c r="J22" s="119"/>
      <c r="K22" s="119"/>
    </row>
    <row r="23" spans="1:11" ht="12.75">
      <c r="A23" s="130" t="s">
        <v>419</v>
      </c>
      <c r="B23" s="129">
        <v>77953</v>
      </c>
      <c r="C23" s="129">
        <v>154324</v>
      </c>
      <c r="D23" s="140">
        <f>'[1]bevétel 1.sz.'!D132</f>
        <v>188445</v>
      </c>
      <c r="E23" s="140">
        <f>'[1]bevétel 1.sz.'!H132</f>
        <v>188445</v>
      </c>
      <c r="F23" s="133"/>
      <c r="G23" s="130" t="s">
        <v>614</v>
      </c>
      <c r="H23" s="140">
        <v>126963</v>
      </c>
      <c r="I23" s="119">
        <v>81375</v>
      </c>
      <c r="J23" s="119">
        <v>259452</v>
      </c>
      <c r="K23" s="119">
        <f>'[1]kiadás 2.sz. '!H15+'[1]kiadás 2.sz. '!H27+'[1]kiadás 2.sz. '!H44+'[1]kiadás 2.sz. '!H56+'[1]kiadás 2.sz. '!H73+'[1]kiadás 2.sz. '!H244</f>
        <v>289256</v>
      </c>
    </row>
    <row r="24" spans="1:11" ht="12.75">
      <c r="A24" s="130" t="s">
        <v>468</v>
      </c>
      <c r="B24" s="129">
        <v>22670</v>
      </c>
      <c r="C24" s="129">
        <v>174087</v>
      </c>
      <c r="D24" s="129"/>
      <c r="E24" s="129">
        <f>'[1]bevétel 1.sz.'!H107+'[1]bevétel 1.sz.'!H108+'[1]bevétel 1.sz.'!H109+273240</f>
        <v>619484</v>
      </c>
      <c r="F24" s="129"/>
      <c r="G24" s="130" t="s">
        <v>487</v>
      </c>
      <c r="H24" s="140">
        <v>217821</v>
      </c>
      <c r="I24" s="119">
        <v>144947</v>
      </c>
      <c r="J24" s="119">
        <v>228069</v>
      </c>
      <c r="K24" s="119">
        <f>'[1]kiadás 2.sz. '!H18+'[1]kiadás 2.sz. '!H32+'[1]kiadás 2.sz. '!H47+'[1]kiadás 2.sz. '!H280</f>
        <v>274397</v>
      </c>
    </row>
    <row r="25" spans="1:11" ht="12.75">
      <c r="A25" s="130" t="s">
        <v>470</v>
      </c>
      <c r="B25" s="129">
        <v>5167</v>
      </c>
      <c r="C25" s="129">
        <v>6000</v>
      </c>
      <c r="D25" s="129">
        <f>'[1]bevétel 1.sz.'!D178</f>
        <v>1417</v>
      </c>
      <c r="E25" s="129">
        <f>'[1]bevétel 1.sz.'!H178</f>
        <v>4582</v>
      </c>
      <c r="F25" s="129"/>
      <c r="G25" s="141" t="s">
        <v>469</v>
      </c>
      <c r="H25" s="140">
        <v>24373</v>
      </c>
      <c r="I25" s="119">
        <v>24102</v>
      </c>
      <c r="J25" s="119">
        <v>7955</v>
      </c>
      <c r="K25" s="119">
        <f>'[1]kiadás 2.sz. '!H294</f>
        <v>360136</v>
      </c>
    </row>
    <row r="26" spans="1:11" ht="12.75">
      <c r="A26" s="130" t="s">
        <v>556</v>
      </c>
      <c r="B26" s="142">
        <v>470574</v>
      </c>
      <c r="C26" s="142">
        <v>93259</v>
      </c>
      <c r="D26" s="142">
        <f>'[1]bevétel 1.sz.'!D163</f>
        <v>149559</v>
      </c>
      <c r="E26" s="142">
        <f>'[1]bevétel 1.sz.'!H163</f>
        <v>149559</v>
      </c>
      <c r="F26" s="142"/>
      <c r="G26" s="130" t="s">
        <v>420</v>
      </c>
      <c r="H26" s="140">
        <v>147254</v>
      </c>
      <c r="I26" s="119">
        <v>233328</v>
      </c>
      <c r="J26" s="119">
        <v>0</v>
      </c>
      <c r="K26" s="119">
        <f>'[1]kiadás 2.sz. '!H299+'[1]kiadás 2.sz. '!H301+'[1]kiadás 2.sz. '!H302</f>
        <v>270956</v>
      </c>
    </row>
    <row r="27" spans="1:11" ht="12.75">
      <c r="A27" s="143" t="s">
        <v>909</v>
      </c>
      <c r="B27" s="129">
        <v>3058</v>
      </c>
      <c r="C27" s="129">
        <v>133280</v>
      </c>
      <c r="D27" s="129">
        <f>'[1]bevétel 1.sz.'!D188-'[1]bevétel 1.sz.'!D184</f>
        <v>58043</v>
      </c>
      <c r="E27" s="129">
        <f>'[1]bevétel 1.sz.'!H188-'[1]bevétel 1.sz.'!H184</f>
        <v>58043</v>
      </c>
      <c r="F27" s="129"/>
      <c r="G27" s="130" t="s">
        <v>471</v>
      </c>
      <c r="H27" s="140">
        <v>20237</v>
      </c>
      <c r="I27" s="119">
        <v>15500</v>
      </c>
      <c r="J27" s="119">
        <v>0</v>
      </c>
      <c r="K27" s="119">
        <f>'[1]kiadás 2.sz. '!H119</f>
        <v>3548</v>
      </c>
    </row>
    <row r="28" spans="1:11" ht="12.75">
      <c r="A28" s="130" t="s">
        <v>472</v>
      </c>
      <c r="B28" s="129">
        <v>0</v>
      </c>
      <c r="C28" s="129">
        <v>255838</v>
      </c>
      <c r="D28" s="129">
        <f>'[1]bevétel 1.sz.'!D216</f>
        <v>267244</v>
      </c>
      <c r="E28" s="129">
        <f>'[1]bevétel 1.sz.'!H216</f>
        <v>267244</v>
      </c>
      <c r="F28" s="129"/>
      <c r="G28" s="130" t="s">
        <v>488</v>
      </c>
      <c r="H28" s="140">
        <v>0</v>
      </c>
      <c r="I28" s="119">
        <v>191151</v>
      </c>
      <c r="J28" s="119">
        <v>188516</v>
      </c>
      <c r="K28" s="119">
        <f>'[1]kiadás 2.sz. '!H207+'[1]kiadás 2.sz. '!H208+'[1]kiadás 2.sz. '!H209+'[1]kiadás 2.sz. '!H210+'[1]kiadás 2.sz. '!H211</f>
        <v>161631</v>
      </c>
    </row>
    <row r="29" spans="1:11" ht="12.75">
      <c r="A29" s="130" t="s">
        <v>474</v>
      </c>
      <c r="B29" s="144">
        <v>0</v>
      </c>
      <c r="C29" s="144">
        <v>0</v>
      </c>
      <c r="D29" s="129">
        <v>0</v>
      </c>
      <c r="E29" s="129">
        <v>0</v>
      </c>
      <c r="F29" s="129"/>
      <c r="G29" s="130" t="s">
        <v>473</v>
      </c>
      <c r="H29" s="140">
        <v>700</v>
      </c>
      <c r="I29" s="119">
        <v>0</v>
      </c>
      <c r="J29" s="119"/>
      <c r="K29" s="119"/>
    </row>
    <row r="30" spans="1:11" ht="12.75">
      <c r="A30" s="131"/>
      <c r="B30" s="144"/>
      <c r="C30" s="144"/>
      <c r="D30" s="129"/>
      <c r="E30" s="129"/>
      <c r="F30" s="129"/>
      <c r="G30" s="134"/>
      <c r="H30" s="133"/>
      <c r="I30" s="119"/>
      <c r="J30" s="119"/>
      <c r="K30" s="119"/>
    </row>
    <row r="31" spans="1:11" ht="12.75">
      <c r="A31" s="120" t="s">
        <v>475</v>
      </c>
      <c r="B31" s="135">
        <f>SUM(B23:B30)</f>
        <v>579422</v>
      </c>
      <c r="C31" s="135">
        <f>SUM(C23:C30)</f>
        <v>816788</v>
      </c>
      <c r="D31" s="135">
        <f>SUM(D23:D30)</f>
        <v>664708</v>
      </c>
      <c r="E31" s="135">
        <f>SUM(E23:E30)</f>
        <v>1287357</v>
      </c>
      <c r="F31" s="145"/>
      <c r="G31" s="120" t="s">
        <v>476</v>
      </c>
      <c r="H31" s="135">
        <f>SUM(H23:H30)</f>
        <v>537348</v>
      </c>
      <c r="I31" s="137">
        <f>SUM(I23:I30)</f>
        <v>690403</v>
      </c>
      <c r="J31" s="137">
        <f>SUM(J23:J30)</f>
        <v>683992</v>
      </c>
      <c r="K31" s="137">
        <f>SUM(K23:K30)</f>
        <v>1359924</v>
      </c>
    </row>
    <row r="32" spans="1:11" ht="12.75">
      <c r="A32" s="120"/>
      <c r="B32" s="135"/>
      <c r="C32" s="135"/>
      <c r="D32" s="145"/>
      <c r="E32" s="145"/>
      <c r="F32" s="145"/>
      <c r="G32" s="120"/>
      <c r="H32" s="135"/>
      <c r="I32" s="137"/>
      <c r="J32" s="137"/>
      <c r="K32" s="137"/>
    </row>
    <row r="33" spans="1:11" ht="12.75">
      <c r="A33" s="130" t="s">
        <v>729</v>
      </c>
      <c r="B33" s="135">
        <v>13155</v>
      </c>
      <c r="C33" s="135"/>
      <c r="D33" s="145"/>
      <c r="E33" s="145"/>
      <c r="F33" s="145"/>
      <c r="G33" s="130" t="s">
        <v>730</v>
      </c>
      <c r="H33" s="135">
        <v>-3550</v>
      </c>
      <c r="I33" s="137"/>
      <c r="J33" s="137"/>
      <c r="K33" s="137"/>
    </row>
    <row r="34" spans="1:11" ht="12.75">
      <c r="A34" s="120"/>
      <c r="B34" s="135"/>
      <c r="C34" s="135"/>
      <c r="D34" s="145"/>
      <c r="E34" s="145"/>
      <c r="F34" s="145"/>
      <c r="G34" s="120"/>
      <c r="H34" s="135"/>
      <c r="I34" s="119"/>
      <c r="J34" s="119"/>
      <c r="K34" s="119"/>
    </row>
    <row r="35" spans="1:11" ht="12.75">
      <c r="A35" s="146" t="s">
        <v>477</v>
      </c>
      <c r="B35" s="147">
        <f>SUM(B31,B21)+B33</f>
        <v>5239257</v>
      </c>
      <c r="C35" s="147">
        <f>SUM(C31,C21)+C33</f>
        <v>3235440</v>
      </c>
      <c r="D35" s="147">
        <f>SUM(D31,D21)+D33</f>
        <v>3025775</v>
      </c>
      <c r="E35" s="147">
        <f>SUM(E31,E21)+E33</f>
        <v>3888856</v>
      </c>
      <c r="F35" s="138"/>
      <c r="G35" s="146" t="s">
        <v>478</v>
      </c>
      <c r="H35" s="147">
        <f>SUM(H31,H21)+H33</f>
        <v>4950218</v>
      </c>
      <c r="I35" s="138">
        <f>SUM(I31,I21)</f>
        <v>3235440</v>
      </c>
      <c r="J35" s="138">
        <f>SUM(J31,J21)</f>
        <v>3025775</v>
      </c>
      <c r="K35" s="138">
        <f>SUM(K31,K21)</f>
        <v>3888856</v>
      </c>
    </row>
    <row r="36" spans="1:11">
      <c r="C36" s="277"/>
      <c r="D36" s="277"/>
      <c r="E36" s="277"/>
      <c r="H36" s="277"/>
      <c r="I36" s="14"/>
      <c r="J36" s="14"/>
    </row>
    <row r="37" spans="1:11">
      <c r="B37" s="703"/>
      <c r="C37" s="14"/>
      <c r="D37" s="14"/>
      <c r="E37" s="14"/>
      <c r="F37" s="14"/>
      <c r="I37" s="14"/>
      <c r="J37" s="14"/>
    </row>
    <row r="38" spans="1:11">
      <c r="H38" s="14"/>
    </row>
    <row r="39" spans="1:11">
      <c r="B39" s="703"/>
      <c r="C39" s="14"/>
      <c r="D39" s="14"/>
      <c r="E39" s="14"/>
      <c r="F39" s="14"/>
      <c r="H39" s="14"/>
    </row>
  </sheetData>
  <mergeCells count="2">
    <mergeCell ref="A3:J3"/>
    <mergeCell ref="A4:J4"/>
  </mergeCells>
  <pageMargins left="0.15748031496062992" right="0.15748031496062992" top="0.70866141732283472" bottom="0.59055118110236227" header="0.51181102362204722" footer="0.51181102362204722"/>
  <pageSetup paperSize="9" scale="8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T27"/>
  <sheetViews>
    <sheetView workbookViewId="0">
      <selection activeCell="L1" sqref="L1"/>
    </sheetView>
  </sheetViews>
  <sheetFormatPr defaultRowHeight="12.75"/>
  <cols>
    <col min="1" max="1" width="6.42578125" style="371" customWidth="1"/>
    <col min="2" max="2" width="30.7109375" style="372" customWidth="1"/>
    <col min="3" max="3" width="11.5703125" style="371" customWidth="1"/>
    <col min="4" max="12" width="8.7109375" style="371" customWidth="1"/>
    <col min="13" max="13" width="34.7109375" style="371" customWidth="1"/>
    <col min="14" max="15" width="11.28515625" style="373" customWidth="1"/>
    <col min="16" max="16" width="11.85546875" style="373" customWidth="1"/>
    <col min="17" max="19" width="11.28515625" style="373" customWidth="1"/>
    <col min="20" max="20" width="11.85546875" style="371" customWidth="1"/>
    <col min="21" max="16384" width="9.140625" style="371"/>
  </cols>
  <sheetData>
    <row r="1" spans="1:20">
      <c r="I1" s="278"/>
      <c r="J1" s="278"/>
      <c r="K1" s="278"/>
      <c r="L1" s="377" t="s">
        <v>118</v>
      </c>
    </row>
    <row r="2" spans="1:20" ht="12.75" customHeight="1">
      <c r="A2" s="755"/>
      <c r="B2" s="755"/>
      <c r="C2" s="755"/>
      <c r="D2" s="755"/>
      <c r="E2" s="755"/>
      <c r="F2" s="755"/>
      <c r="G2" s="755"/>
      <c r="H2" s="755"/>
      <c r="I2" s="755"/>
      <c r="J2" s="755"/>
      <c r="K2" s="755"/>
      <c r="L2" s="755"/>
    </row>
    <row r="3" spans="1:20" ht="12.75" customHeight="1">
      <c r="A3" s="368"/>
      <c r="B3" s="374"/>
      <c r="C3" s="368"/>
      <c r="D3" s="368"/>
      <c r="E3" s="368"/>
      <c r="F3" s="368"/>
      <c r="G3" s="368"/>
      <c r="H3" s="368"/>
      <c r="I3" s="368"/>
      <c r="J3" s="368"/>
      <c r="K3" s="368"/>
      <c r="L3" s="368"/>
    </row>
    <row r="4" spans="1:20" ht="12.75" customHeight="1">
      <c r="A4" s="755" t="s">
        <v>911</v>
      </c>
      <c r="B4" s="755"/>
      <c r="C4" s="755"/>
      <c r="D4" s="755"/>
      <c r="E4" s="755"/>
      <c r="F4" s="755"/>
      <c r="G4" s="755"/>
      <c r="H4" s="755"/>
      <c r="I4" s="755"/>
      <c r="J4" s="755"/>
      <c r="K4" s="755"/>
      <c r="L4" s="755"/>
    </row>
    <row r="5" spans="1:20" ht="12.75" customHeight="1">
      <c r="A5" s="368"/>
      <c r="B5" s="374"/>
      <c r="C5" s="368"/>
      <c r="D5" s="368"/>
      <c r="E5" s="368"/>
      <c r="F5" s="368"/>
      <c r="G5" s="368"/>
      <c r="H5" s="368"/>
      <c r="I5" s="368"/>
      <c r="J5" s="368"/>
      <c r="K5" s="368"/>
      <c r="L5" s="368"/>
      <c r="T5" s="375"/>
    </row>
    <row r="6" spans="1:20" ht="12.75" customHeight="1">
      <c r="A6" s="755" t="s">
        <v>912</v>
      </c>
      <c r="B6" s="755"/>
      <c r="C6" s="755"/>
      <c r="D6" s="755"/>
      <c r="E6" s="755"/>
      <c r="F6" s="755"/>
      <c r="G6" s="755"/>
      <c r="H6" s="755"/>
      <c r="I6" s="755"/>
      <c r="J6" s="755"/>
      <c r="K6" s="755"/>
      <c r="L6" s="755"/>
    </row>
    <row r="7" spans="1:20" ht="12.75" customHeight="1">
      <c r="K7" s="376"/>
      <c r="L7" s="377" t="s">
        <v>484</v>
      </c>
    </row>
    <row r="8" spans="1:20" ht="12.75" customHeight="1">
      <c r="A8" s="385"/>
      <c r="B8" s="383"/>
      <c r="C8" s="385"/>
      <c r="D8" s="385"/>
      <c r="E8" s="385"/>
      <c r="F8" s="385"/>
      <c r="G8" s="385"/>
      <c r="H8" s="385"/>
      <c r="I8" s="385"/>
      <c r="J8" s="385"/>
      <c r="K8" s="389"/>
      <c r="L8" s="390"/>
    </row>
    <row r="9" spans="1:20" ht="35.25" customHeight="1">
      <c r="A9" s="391" t="s">
        <v>913</v>
      </c>
      <c r="B9" s="392" t="s">
        <v>815</v>
      </c>
      <c r="C9" s="392" t="s">
        <v>923</v>
      </c>
      <c r="D9" s="391" t="s">
        <v>558</v>
      </c>
      <c r="E9" s="393" t="s">
        <v>638</v>
      </c>
      <c r="F9" s="391" t="s">
        <v>821</v>
      </c>
      <c r="G9" s="391" t="s">
        <v>836</v>
      </c>
      <c r="H9" s="391" t="s">
        <v>914</v>
      </c>
      <c r="I9" s="391" t="s">
        <v>915</v>
      </c>
      <c r="J9" s="391" t="s">
        <v>919</v>
      </c>
      <c r="K9" s="391" t="s">
        <v>924</v>
      </c>
      <c r="L9" s="394" t="s">
        <v>557</v>
      </c>
      <c r="N9" s="371"/>
      <c r="O9" s="371"/>
      <c r="P9" s="371"/>
      <c r="Q9" s="371"/>
      <c r="R9" s="371"/>
      <c r="S9" s="371"/>
    </row>
    <row r="10" spans="1:20" ht="12.75" customHeight="1">
      <c r="A10" s="382" t="s">
        <v>498</v>
      </c>
      <c r="B10" s="383" t="s">
        <v>916</v>
      </c>
      <c r="C10" s="384">
        <v>18331</v>
      </c>
      <c r="D10" s="384">
        <v>3055</v>
      </c>
      <c r="E10" s="384">
        <v>15276</v>
      </c>
      <c r="F10" s="384"/>
      <c r="G10" s="385"/>
      <c r="H10" s="384"/>
      <c r="I10" s="384"/>
      <c r="J10" s="384"/>
      <c r="K10" s="384"/>
      <c r="L10" s="386">
        <f>SUM(D10:K10)</f>
        <v>18331</v>
      </c>
      <c r="N10" s="371"/>
      <c r="O10" s="371"/>
      <c r="P10" s="371"/>
      <c r="Q10" s="371"/>
      <c r="R10" s="371"/>
      <c r="S10" s="371"/>
    </row>
    <row r="11" spans="1:20" ht="12.75" customHeight="1">
      <c r="A11" s="382" t="s">
        <v>499</v>
      </c>
      <c r="B11" s="387" t="s">
        <v>917</v>
      </c>
      <c r="C11" s="384">
        <v>59466</v>
      </c>
      <c r="D11" s="384">
        <v>8202</v>
      </c>
      <c r="E11" s="384">
        <v>8202</v>
      </c>
      <c r="F11" s="384">
        <v>8202</v>
      </c>
      <c r="G11" s="384">
        <v>8202</v>
      </c>
      <c r="H11" s="384">
        <v>8202</v>
      </c>
      <c r="I11" s="384">
        <v>8202</v>
      </c>
      <c r="J11" s="384">
        <v>8202</v>
      </c>
      <c r="K11" s="384">
        <v>2052</v>
      </c>
      <c r="L11" s="386">
        <f>SUM(D11:K11)</f>
        <v>59466</v>
      </c>
      <c r="N11" s="371"/>
      <c r="O11" s="371"/>
      <c r="P11" s="371"/>
      <c r="Q11" s="371"/>
      <c r="R11" s="371"/>
      <c r="S11" s="371"/>
    </row>
    <row r="12" spans="1:20" ht="12.75" customHeight="1">
      <c r="A12" s="382"/>
      <c r="B12" s="388" t="s">
        <v>483</v>
      </c>
      <c r="C12" s="386">
        <f t="shared" ref="C12:L12" si="0">SUM(C10:C11)</f>
        <v>77797</v>
      </c>
      <c r="D12" s="386">
        <f t="shared" si="0"/>
        <v>11257</v>
      </c>
      <c r="E12" s="386">
        <f t="shared" si="0"/>
        <v>23478</v>
      </c>
      <c r="F12" s="386">
        <f t="shared" si="0"/>
        <v>8202</v>
      </c>
      <c r="G12" s="386">
        <f t="shared" si="0"/>
        <v>8202</v>
      </c>
      <c r="H12" s="386">
        <f t="shared" si="0"/>
        <v>8202</v>
      </c>
      <c r="I12" s="386">
        <f t="shared" si="0"/>
        <v>8202</v>
      </c>
      <c r="J12" s="386">
        <f t="shared" si="0"/>
        <v>8202</v>
      </c>
      <c r="K12" s="386">
        <f t="shared" si="0"/>
        <v>2052</v>
      </c>
      <c r="L12" s="386">
        <f t="shared" si="0"/>
        <v>77797</v>
      </c>
      <c r="N12" s="371"/>
      <c r="O12" s="371"/>
      <c r="P12" s="371"/>
      <c r="Q12" s="371"/>
      <c r="R12" s="371"/>
      <c r="S12" s="371"/>
    </row>
    <row r="13" spans="1:20" ht="12.75" customHeight="1">
      <c r="A13" s="382"/>
      <c r="B13" s="383"/>
      <c r="C13" s="385"/>
      <c r="D13" s="385"/>
      <c r="E13" s="385"/>
      <c r="F13" s="385"/>
      <c r="G13" s="385"/>
      <c r="H13" s="385"/>
      <c r="I13" s="385"/>
      <c r="J13" s="389"/>
      <c r="K13" s="385"/>
      <c r="L13" s="385"/>
      <c r="M13" s="373"/>
      <c r="S13" s="371"/>
    </row>
    <row r="14" spans="1:20" ht="12.75" customHeight="1">
      <c r="A14" s="757" t="s">
        <v>918</v>
      </c>
      <c r="B14" s="757"/>
      <c r="C14" s="757"/>
      <c r="D14" s="757"/>
      <c r="E14" s="757"/>
      <c r="F14" s="757"/>
      <c r="G14" s="757"/>
      <c r="H14" s="757"/>
      <c r="I14" s="757"/>
      <c r="J14" s="757"/>
      <c r="K14" s="757"/>
      <c r="L14" s="757"/>
    </row>
    <row r="15" spans="1:20" ht="12.75" customHeight="1">
      <c r="A15" s="385"/>
      <c r="B15" s="383"/>
      <c r="C15" s="385"/>
      <c r="D15" s="385"/>
      <c r="E15" s="385"/>
      <c r="F15" s="385"/>
      <c r="G15" s="385"/>
      <c r="H15" s="385"/>
      <c r="I15" s="385"/>
      <c r="J15" s="385"/>
      <c r="K15" s="389"/>
      <c r="L15" s="390" t="s">
        <v>484</v>
      </c>
    </row>
    <row r="16" spans="1:20" ht="35.25" customHeight="1">
      <c r="A16" s="391" t="s">
        <v>913</v>
      </c>
      <c r="B16" s="392" t="s">
        <v>815</v>
      </c>
      <c r="C16" s="392" t="s">
        <v>923</v>
      </c>
      <c r="D16" s="391" t="s">
        <v>558</v>
      </c>
      <c r="E16" s="393" t="s">
        <v>638</v>
      </c>
      <c r="F16" s="391" t="s">
        <v>821</v>
      </c>
      <c r="G16" s="391" t="s">
        <v>836</v>
      </c>
      <c r="H16" s="391" t="s">
        <v>914</v>
      </c>
      <c r="I16" s="391" t="s">
        <v>915</v>
      </c>
      <c r="J16" s="391" t="s">
        <v>919</v>
      </c>
      <c r="K16" s="391" t="s">
        <v>924</v>
      </c>
      <c r="L16" s="394" t="s">
        <v>557</v>
      </c>
      <c r="N16" s="371"/>
      <c r="O16" s="371"/>
      <c r="P16" s="371"/>
      <c r="Q16" s="371"/>
      <c r="R16" s="371"/>
      <c r="S16" s="371"/>
    </row>
    <row r="17" spans="1:19">
      <c r="A17" s="382" t="s">
        <v>498</v>
      </c>
      <c r="B17" s="383" t="s">
        <v>920</v>
      </c>
      <c r="C17" s="384">
        <v>0</v>
      </c>
      <c r="D17" s="384">
        <v>0</v>
      </c>
      <c r="E17" s="384"/>
      <c r="F17" s="385"/>
      <c r="G17" s="385"/>
      <c r="H17" s="385"/>
      <c r="I17" s="385"/>
      <c r="J17" s="395"/>
      <c r="K17" s="385"/>
      <c r="L17" s="384">
        <f>SUM(D17:K17)</f>
        <v>0</v>
      </c>
      <c r="N17" s="371"/>
      <c r="O17" s="371"/>
      <c r="P17" s="371"/>
      <c r="Q17" s="371"/>
      <c r="R17" s="371"/>
      <c r="S17" s="371"/>
    </row>
    <row r="18" spans="1:19">
      <c r="A18" s="382" t="s">
        <v>499</v>
      </c>
      <c r="B18" s="383" t="s">
        <v>921</v>
      </c>
      <c r="C18" s="384">
        <v>0</v>
      </c>
      <c r="D18" s="384">
        <v>0</v>
      </c>
      <c r="E18" s="384"/>
      <c r="F18" s="385"/>
      <c r="G18" s="385"/>
      <c r="H18" s="385"/>
      <c r="I18" s="385"/>
      <c r="J18" s="395"/>
      <c r="K18" s="385"/>
      <c r="L18" s="384">
        <f>SUM(D18:K18)</f>
        <v>0</v>
      </c>
      <c r="N18" s="371"/>
      <c r="O18" s="371"/>
      <c r="P18" s="371"/>
      <c r="Q18" s="371"/>
      <c r="R18" s="371"/>
      <c r="S18" s="371"/>
    </row>
    <row r="19" spans="1:19">
      <c r="A19" s="382" t="s">
        <v>829</v>
      </c>
      <c r="B19" s="383" t="s">
        <v>925</v>
      </c>
      <c r="C19" s="384">
        <v>115436</v>
      </c>
      <c r="D19" s="384">
        <v>115436</v>
      </c>
      <c r="E19" s="384"/>
      <c r="F19" s="385"/>
      <c r="G19" s="385"/>
      <c r="H19" s="385"/>
      <c r="I19" s="385"/>
      <c r="J19" s="395"/>
      <c r="K19" s="385"/>
      <c r="L19" s="384">
        <f>SUM(D19:K19)</f>
        <v>115436</v>
      </c>
      <c r="N19" s="371"/>
      <c r="O19" s="371"/>
      <c r="P19" s="371"/>
      <c r="Q19" s="371"/>
      <c r="R19" s="371"/>
      <c r="S19" s="371"/>
    </row>
    <row r="20" spans="1:19">
      <c r="A20" s="385"/>
      <c r="B20" s="388" t="s">
        <v>483</v>
      </c>
      <c r="C20" s="395">
        <f>SUM(C17:C19)</f>
        <v>115436</v>
      </c>
      <c r="D20" s="395">
        <f t="shared" ref="D20:L20" si="1">SUM(D17:D19)</f>
        <v>115436</v>
      </c>
      <c r="E20" s="395">
        <f t="shared" si="1"/>
        <v>0</v>
      </c>
      <c r="F20" s="395">
        <f t="shared" si="1"/>
        <v>0</v>
      </c>
      <c r="G20" s="395">
        <f t="shared" si="1"/>
        <v>0</v>
      </c>
      <c r="H20" s="395">
        <f t="shared" si="1"/>
        <v>0</v>
      </c>
      <c r="I20" s="395">
        <f t="shared" si="1"/>
        <v>0</v>
      </c>
      <c r="J20" s="395">
        <f t="shared" si="1"/>
        <v>0</v>
      </c>
      <c r="K20" s="395">
        <f t="shared" si="1"/>
        <v>0</v>
      </c>
      <c r="L20" s="395">
        <f t="shared" si="1"/>
        <v>115436</v>
      </c>
      <c r="N20" s="371"/>
      <c r="O20" s="371"/>
      <c r="P20" s="371"/>
      <c r="Q20" s="371"/>
      <c r="R20" s="371"/>
      <c r="S20" s="371"/>
    </row>
    <row r="21" spans="1:19">
      <c r="A21" s="385"/>
      <c r="B21" s="388"/>
      <c r="C21" s="395"/>
      <c r="D21" s="395"/>
      <c r="E21" s="395"/>
      <c r="F21" s="395"/>
      <c r="G21" s="395"/>
      <c r="H21" s="395"/>
      <c r="I21" s="395"/>
      <c r="J21" s="395"/>
      <c r="K21" s="395"/>
      <c r="L21" s="395"/>
      <c r="N21" s="371"/>
      <c r="O21" s="371"/>
      <c r="P21" s="371"/>
      <c r="Q21" s="371"/>
      <c r="R21" s="371"/>
      <c r="S21" s="371"/>
    </row>
    <row r="22" spans="1:19">
      <c r="A22" s="756" t="s">
        <v>922</v>
      </c>
      <c r="B22" s="756"/>
      <c r="C22" s="756"/>
      <c r="D22" s="756"/>
      <c r="E22" s="756"/>
      <c r="F22" s="756"/>
      <c r="G22" s="756"/>
      <c r="H22" s="756"/>
      <c r="I22" s="756"/>
      <c r="J22" s="756"/>
      <c r="K22" s="756"/>
      <c r="L22" s="756"/>
      <c r="N22" s="371"/>
      <c r="O22" s="371"/>
      <c r="P22" s="371"/>
      <c r="Q22" s="371"/>
      <c r="R22" s="371"/>
      <c r="S22" s="371"/>
    </row>
    <row r="23" spans="1:19">
      <c r="A23" s="385"/>
      <c r="B23" s="396"/>
      <c r="C23" s="384"/>
      <c r="D23" s="384"/>
      <c r="E23" s="384"/>
      <c r="F23" s="384"/>
      <c r="G23" s="384"/>
      <c r="H23" s="384"/>
      <c r="I23" s="384"/>
      <c r="J23" s="385"/>
      <c r="K23" s="385"/>
      <c r="L23" s="390" t="s">
        <v>484</v>
      </c>
      <c r="N23" s="371"/>
      <c r="O23" s="371"/>
      <c r="P23" s="371"/>
      <c r="Q23" s="371"/>
      <c r="R23" s="371"/>
      <c r="S23" s="371"/>
    </row>
    <row r="24" spans="1:19" ht="35.25" customHeight="1">
      <c r="A24" s="391" t="s">
        <v>913</v>
      </c>
      <c r="B24" s="392" t="s">
        <v>815</v>
      </c>
      <c r="C24" s="379" t="s">
        <v>923</v>
      </c>
      <c r="D24" s="378" t="s">
        <v>558</v>
      </c>
      <c r="E24" s="380" t="s">
        <v>638</v>
      </c>
      <c r="F24" s="378" t="s">
        <v>821</v>
      </c>
      <c r="G24" s="378" t="s">
        <v>836</v>
      </c>
      <c r="H24" s="378" t="s">
        <v>914</v>
      </c>
      <c r="I24" s="378" t="s">
        <v>915</v>
      </c>
      <c r="J24" s="378" t="s">
        <v>919</v>
      </c>
      <c r="K24" s="378" t="s">
        <v>924</v>
      </c>
      <c r="L24" s="381" t="s">
        <v>557</v>
      </c>
      <c r="N24" s="371"/>
      <c r="O24" s="371"/>
      <c r="P24" s="371"/>
      <c r="Q24" s="371"/>
      <c r="R24" s="371"/>
      <c r="S24" s="371"/>
    </row>
    <row r="25" spans="1:19">
      <c r="A25" s="382" t="s">
        <v>498</v>
      </c>
      <c r="B25" s="397" t="s">
        <v>1</v>
      </c>
      <c r="C25" s="384">
        <v>549174</v>
      </c>
      <c r="D25" s="384">
        <v>39226</v>
      </c>
      <c r="E25" s="384">
        <v>39226</v>
      </c>
      <c r="F25" s="384">
        <v>39226</v>
      </c>
      <c r="G25" s="384">
        <v>39226</v>
      </c>
      <c r="H25" s="384">
        <v>39226</v>
      </c>
      <c r="I25" s="384">
        <v>39226</v>
      </c>
      <c r="J25" s="384">
        <v>39226</v>
      </c>
      <c r="K25" s="384">
        <v>274592</v>
      </c>
      <c r="L25" s="386">
        <f>SUM(D25:K25)</f>
        <v>549174</v>
      </c>
      <c r="N25" s="371"/>
      <c r="O25" s="371"/>
      <c r="P25" s="371"/>
      <c r="Q25" s="371"/>
      <c r="R25" s="371"/>
      <c r="S25" s="371"/>
    </row>
    <row r="26" spans="1:19">
      <c r="A26" s="385"/>
      <c r="B26" s="397" t="s">
        <v>926</v>
      </c>
      <c r="C26" s="384">
        <v>2268001</v>
      </c>
      <c r="D26" s="384">
        <v>162000</v>
      </c>
      <c r="E26" s="384">
        <v>162000</v>
      </c>
      <c r="F26" s="384">
        <v>162000</v>
      </c>
      <c r="G26" s="384">
        <v>162000</v>
      </c>
      <c r="H26" s="384">
        <v>162000</v>
      </c>
      <c r="I26" s="384">
        <v>162000</v>
      </c>
      <c r="J26" s="384">
        <v>162000</v>
      </c>
      <c r="K26" s="385">
        <v>1134001</v>
      </c>
      <c r="L26" s="386">
        <f>SUM(D26:K26)</f>
        <v>2268001</v>
      </c>
      <c r="N26" s="371"/>
      <c r="O26" s="371"/>
      <c r="P26" s="371"/>
      <c r="Q26" s="371"/>
      <c r="R26" s="371"/>
      <c r="S26" s="371"/>
    </row>
    <row r="27" spans="1:19">
      <c r="A27" s="385"/>
      <c r="B27" s="396"/>
      <c r="C27" s="384"/>
      <c r="D27" s="384"/>
      <c r="E27" s="384"/>
      <c r="F27" s="385"/>
      <c r="G27" s="385"/>
      <c r="H27" s="385"/>
      <c r="I27" s="385"/>
      <c r="J27" s="385"/>
      <c r="K27" s="385"/>
      <c r="L27" s="385"/>
      <c r="N27" s="371"/>
      <c r="O27" s="371"/>
      <c r="P27" s="371"/>
      <c r="Q27" s="371"/>
      <c r="R27" s="371"/>
      <c r="S27" s="371"/>
    </row>
  </sheetData>
  <mergeCells count="5">
    <mergeCell ref="A2:L2"/>
    <mergeCell ref="A22:L22"/>
    <mergeCell ref="A14:L14"/>
    <mergeCell ref="A6:L6"/>
    <mergeCell ref="A4:L4"/>
  </mergeCells>
  <phoneticPr fontId="25" type="noConversion"/>
  <printOptions horizontalCentered="1"/>
  <pageMargins left="0.19685039370078741" right="0.19685039370078741" top="0.5" bottom="0.19685039370078741" header="0.51181102362204722" footer="0.17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8"/>
  <sheetViews>
    <sheetView zoomScaleNormal="100" workbookViewId="0">
      <selection activeCell="J1" sqref="J1"/>
    </sheetView>
  </sheetViews>
  <sheetFormatPr defaultRowHeight="12.75"/>
  <cols>
    <col min="1" max="1" width="2.42578125" style="335" customWidth="1"/>
    <col min="2" max="2" width="24.42578125" style="336" customWidth="1"/>
    <col min="3" max="3" width="15.42578125" style="335" customWidth="1"/>
    <col min="4" max="4" width="17.85546875" style="335" customWidth="1"/>
    <col min="5" max="5" width="14.140625" style="335" customWidth="1"/>
    <col min="6" max="6" width="14.42578125" style="337" customWidth="1"/>
    <col min="7" max="7" width="10.42578125" style="335" bestFit="1" customWidth="1"/>
    <col min="8" max="9" width="9.28515625" style="335" customWidth="1"/>
    <col min="10" max="10" width="10.42578125" style="335" bestFit="1" customWidth="1"/>
    <col min="11" max="16384" width="9.140625" style="335"/>
  </cols>
  <sheetData>
    <row r="1" spans="1:11">
      <c r="H1" s="338"/>
      <c r="I1" s="338"/>
      <c r="J1" s="339" t="s">
        <v>119</v>
      </c>
    </row>
    <row r="2" spans="1:11">
      <c r="G2" s="758"/>
      <c r="H2" s="758"/>
      <c r="I2" s="758"/>
      <c r="J2" s="758"/>
    </row>
    <row r="3" spans="1:11">
      <c r="B3" s="763" t="s">
        <v>814</v>
      </c>
      <c r="C3" s="763"/>
      <c r="D3" s="763"/>
      <c r="E3" s="763"/>
      <c r="F3" s="763"/>
      <c r="G3" s="763"/>
      <c r="H3" s="763"/>
      <c r="I3" s="340"/>
    </row>
    <row r="4" spans="1:11">
      <c r="B4" s="341"/>
      <c r="C4" s="342"/>
      <c r="D4" s="342"/>
      <c r="E4" s="342"/>
      <c r="F4" s="343"/>
      <c r="J4" s="339" t="s">
        <v>484</v>
      </c>
    </row>
    <row r="5" spans="1:11" s="336" customFormat="1" ht="38.25">
      <c r="A5" s="344"/>
      <c r="B5" s="345" t="s">
        <v>815</v>
      </c>
      <c r="C5" s="345" t="s">
        <v>816</v>
      </c>
      <c r="D5" s="345" t="s">
        <v>817</v>
      </c>
      <c r="E5" s="345" t="s">
        <v>818</v>
      </c>
      <c r="F5" s="346" t="s">
        <v>819</v>
      </c>
      <c r="G5" s="347" t="s">
        <v>820</v>
      </c>
      <c r="H5" s="345" t="s">
        <v>558</v>
      </c>
      <c r="I5" s="345" t="s">
        <v>638</v>
      </c>
      <c r="J5" s="345" t="s">
        <v>821</v>
      </c>
    </row>
    <row r="6" spans="1:11" ht="25.5">
      <c r="A6" s="348" t="s">
        <v>498</v>
      </c>
      <c r="B6" s="349" t="s">
        <v>822</v>
      </c>
      <c r="C6" s="350" t="s">
        <v>823</v>
      </c>
      <c r="D6" s="351">
        <v>260000</v>
      </c>
      <c r="E6" s="352" t="s">
        <v>824</v>
      </c>
      <c r="F6" s="352" t="s">
        <v>825</v>
      </c>
      <c r="G6" s="353">
        <v>260000</v>
      </c>
      <c r="H6" s="354">
        <v>260000</v>
      </c>
      <c r="I6" s="354"/>
      <c r="J6" s="348"/>
      <c r="K6" s="355"/>
    </row>
    <row r="7" spans="1:11" ht="51">
      <c r="A7" s="348" t="s">
        <v>499</v>
      </c>
      <c r="B7" s="349" t="s">
        <v>826</v>
      </c>
      <c r="C7" s="350" t="s">
        <v>823</v>
      </c>
      <c r="D7" s="351">
        <v>8000</v>
      </c>
      <c r="E7" s="352" t="s">
        <v>827</v>
      </c>
      <c r="F7" s="352" t="s">
        <v>828</v>
      </c>
      <c r="G7" s="356">
        <v>8000</v>
      </c>
      <c r="H7" s="357">
        <v>8000</v>
      </c>
      <c r="I7" s="357"/>
      <c r="J7" s="357"/>
      <c r="K7" s="355"/>
    </row>
    <row r="8" spans="1:11" ht="51">
      <c r="A8" s="348" t="s">
        <v>829</v>
      </c>
      <c r="B8" s="349" t="s">
        <v>830</v>
      </c>
      <c r="C8" s="350" t="s">
        <v>823</v>
      </c>
      <c r="D8" s="351">
        <v>10000</v>
      </c>
      <c r="E8" s="352" t="s">
        <v>827</v>
      </c>
      <c r="F8" s="352" t="s">
        <v>831</v>
      </c>
      <c r="G8" s="356">
        <v>10000</v>
      </c>
      <c r="H8" s="357">
        <v>10000</v>
      </c>
      <c r="I8" s="357"/>
      <c r="J8" s="357"/>
      <c r="K8" s="355"/>
    </row>
    <row r="9" spans="1:11" ht="51">
      <c r="A9" s="348" t="s">
        <v>832</v>
      </c>
      <c r="B9" s="349" t="s">
        <v>833</v>
      </c>
      <c r="C9" s="350" t="s">
        <v>823</v>
      </c>
      <c r="D9" s="351">
        <v>6000</v>
      </c>
      <c r="E9" s="352" t="s">
        <v>827</v>
      </c>
      <c r="F9" s="352" t="s">
        <v>834</v>
      </c>
      <c r="G9" s="356">
        <v>6000</v>
      </c>
      <c r="H9" s="357">
        <v>6000</v>
      </c>
      <c r="I9" s="357"/>
      <c r="J9" s="357"/>
      <c r="K9" s="355"/>
    </row>
    <row r="10" spans="1:11">
      <c r="K10" s="355"/>
    </row>
    <row r="11" spans="1:11">
      <c r="A11" s="358"/>
      <c r="C11" s="358"/>
      <c r="D11" s="359"/>
      <c r="E11" s="359"/>
      <c r="F11" s="359"/>
      <c r="G11" s="360"/>
    </row>
    <row r="13" spans="1:11">
      <c r="B13" s="763" t="s">
        <v>835</v>
      </c>
      <c r="C13" s="763"/>
      <c r="D13" s="763"/>
      <c r="E13" s="763"/>
      <c r="F13" s="763"/>
      <c r="G13" s="763"/>
      <c r="H13" s="763"/>
      <c r="I13" s="340"/>
    </row>
    <row r="14" spans="1:11">
      <c r="B14" s="341"/>
      <c r="C14" s="342"/>
      <c r="D14" s="342"/>
      <c r="E14" s="342"/>
      <c r="F14" s="343"/>
      <c r="J14" s="339" t="s">
        <v>484</v>
      </c>
    </row>
    <row r="15" spans="1:11" ht="38.25">
      <c r="A15" s="344"/>
      <c r="B15" s="345" t="s">
        <v>815</v>
      </c>
      <c r="C15" s="345" t="s">
        <v>816</v>
      </c>
      <c r="D15" s="345" t="s">
        <v>817</v>
      </c>
      <c r="E15" s="345" t="s">
        <v>818</v>
      </c>
      <c r="F15" s="346" t="s">
        <v>819</v>
      </c>
      <c r="G15" s="345" t="s">
        <v>558</v>
      </c>
      <c r="H15" s="345" t="s">
        <v>638</v>
      </c>
      <c r="I15" s="345" t="s">
        <v>821</v>
      </c>
      <c r="J15" s="345" t="s">
        <v>836</v>
      </c>
    </row>
    <row r="16" spans="1:11">
      <c r="A16" s="759" t="s">
        <v>498</v>
      </c>
      <c r="B16" s="760" t="s">
        <v>837</v>
      </c>
      <c r="C16" s="761" t="s">
        <v>823</v>
      </c>
      <c r="D16" s="357">
        <v>35237</v>
      </c>
      <c r="E16" s="762" t="s">
        <v>838</v>
      </c>
      <c r="F16" s="361" t="s">
        <v>839</v>
      </c>
      <c r="G16" s="765">
        <v>6455</v>
      </c>
      <c r="H16" s="764"/>
      <c r="I16" s="764"/>
      <c r="J16" s="764"/>
    </row>
    <row r="17" spans="1:10">
      <c r="A17" s="759"/>
      <c r="B17" s="760"/>
      <c r="C17" s="761"/>
      <c r="D17" s="357">
        <v>44047</v>
      </c>
      <c r="E17" s="762"/>
      <c r="F17" s="762" t="s">
        <v>840</v>
      </c>
      <c r="G17" s="765"/>
      <c r="H17" s="764"/>
      <c r="I17" s="764"/>
      <c r="J17" s="764"/>
    </row>
    <row r="18" spans="1:10">
      <c r="A18" s="759"/>
      <c r="B18" s="760"/>
      <c r="C18" s="761"/>
      <c r="D18" s="351" t="s">
        <v>841</v>
      </c>
      <c r="E18" s="762"/>
      <c r="F18" s="762"/>
      <c r="G18" s="765"/>
      <c r="H18" s="764"/>
      <c r="I18" s="764"/>
      <c r="J18" s="764"/>
    </row>
  </sheetData>
  <mergeCells count="12">
    <mergeCell ref="G2:J2"/>
    <mergeCell ref="A16:A18"/>
    <mergeCell ref="B16:B18"/>
    <mergeCell ref="C16:C18"/>
    <mergeCell ref="E16:E18"/>
    <mergeCell ref="B3:H3"/>
    <mergeCell ref="I16:I18"/>
    <mergeCell ref="J16:J18"/>
    <mergeCell ref="F17:F18"/>
    <mergeCell ref="B13:H13"/>
    <mergeCell ref="G16:G18"/>
    <mergeCell ref="H16:H18"/>
  </mergeCells>
  <phoneticPr fontId="59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N309"/>
  <sheetViews>
    <sheetView topLeftCell="C1" zoomScaleNormal="100" workbookViewId="0">
      <pane ySplit="4" topLeftCell="A5" activePane="bottomLeft" state="frozen"/>
      <selection activeCell="C1" sqref="C1"/>
      <selection pane="bottomLeft" activeCell="G1" sqref="G1"/>
    </sheetView>
  </sheetViews>
  <sheetFormatPr defaultColWidth="8" defaultRowHeight="12.75"/>
  <cols>
    <col min="1" max="1" width="14.85546875" style="511" customWidth="1"/>
    <col min="2" max="2" width="8.5703125" style="511" bestFit="1" customWidth="1"/>
    <col min="3" max="3" width="37" style="512" customWidth="1"/>
    <col min="4" max="4" width="40.7109375" style="513" customWidth="1"/>
    <col min="5" max="5" width="24.28515625" style="514" customWidth="1"/>
    <col min="6" max="6" width="18.42578125" style="515" customWidth="1"/>
    <col min="7" max="7" width="14" style="446" customWidth="1"/>
    <col min="8" max="8" width="17.5703125" style="446" customWidth="1"/>
    <col min="9" max="9" width="7.28515625" style="448" customWidth="1"/>
    <col min="10" max="10" width="9" style="448" customWidth="1"/>
    <col min="11" max="11" width="17.85546875" style="448" bestFit="1" customWidth="1"/>
    <col min="12" max="12" width="36.85546875" style="448" bestFit="1" customWidth="1"/>
    <col min="13" max="13" width="8.7109375" style="448" bestFit="1" customWidth="1"/>
    <col min="14" max="15" width="10" style="448" bestFit="1" customWidth="1"/>
    <col min="16" max="16384" width="8" style="448"/>
  </cols>
  <sheetData>
    <row r="1" spans="1:8">
      <c r="G1" s="412" t="s">
        <v>120</v>
      </c>
    </row>
    <row r="2" spans="1:8" ht="13.5" thickBot="1">
      <c r="G2" s="515" t="s">
        <v>104</v>
      </c>
    </row>
    <row r="3" spans="1:8" ht="13.5" hidden="1" thickBot="1">
      <c r="C3" s="513"/>
      <c r="D3" s="516"/>
      <c r="E3" s="517"/>
      <c r="F3" s="446"/>
      <c r="G3" s="518">
        <v>1.0169999999999999</v>
      </c>
    </row>
    <row r="4" spans="1:8" s="520" customFormat="1" ht="39" customHeight="1" thickBot="1">
      <c r="A4" s="840" t="s">
        <v>105</v>
      </c>
      <c r="B4" s="841"/>
      <c r="C4" s="842" t="s">
        <v>106</v>
      </c>
      <c r="D4" s="844" t="s">
        <v>107</v>
      </c>
      <c r="E4" s="846" t="s">
        <v>108</v>
      </c>
      <c r="F4" s="836" t="s">
        <v>262</v>
      </c>
      <c r="G4" s="838" t="s">
        <v>263</v>
      </c>
      <c r="H4" s="519"/>
    </row>
    <row r="5" spans="1:8" s="520" customFormat="1" ht="13.5" thickBot="1">
      <c r="A5" s="521" t="s">
        <v>109</v>
      </c>
      <c r="B5" s="522" t="s">
        <v>110</v>
      </c>
      <c r="C5" s="843"/>
      <c r="D5" s="845"/>
      <c r="E5" s="847"/>
      <c r="F5" s="837"/>
      <c r="G5" s="839"/>
      <c r="H5" s="519"/>
    </row>
    <row r="6" spans="1:8" s="520" customFormat="1" ht="26.25" customHeight="1">
      <c r="A6" s="825" t="s">
        <v>111</v>
      </c>
      <c r="B6" s="827">
        <v>3600001</v>
      </c>
      <c r="C6" s="429" t="s">
        <v>112</v>
      </c>
      <c r="D6" s="430" t="s">
        <v>267</v>
      </c>
      <c r="E6" s="445" t="s">
        <v>113</v>
      </c>
      <c r="F6" s="523">
        <f>G6*G3</f>
        <v>800753.25599999994</v>
      </c>
      <c r="G6" s="524">
        <v>787368</v>
      </c>
      <c r="H6" s="519"/>
    </row>
    <row r="7" spans="1:8" s="520" customFormat="1" ht="26.25" customHeight="1" thickBot="1">
      <c r="A7" s="826"/>
      <c r="B7" s="828"/>
      <c r="C7" s="429" t="s">
        <v>112</v>
      </c>
      <c r="D7" s="525" t="s">
        <v>268</v>
      </c>
      <c r="E7" s="526">
        <v>41944</v>
      </c>
      <c r="F7" s="527">
        <v>4191000</v>
      </c>
      <c r="G7" s="528">
        <v>381000</v>
      </c>
      <c r="H7" s="519"/>
    </row>
    <row r="8" spans="1:8" s="520" customFormat="1" ht="14.25" thickTop="1" thickBot="1">
      <c r="A8" s="795"/>
      <c r="B8" s="829"/>
      <c r="C8" s="784" t="s">
        <v>128</v>
      </c>
      <c r="D8" s="785"/>
      <c r="E8" s="786"/>
      <c r="F8" s="529">
        <f>SUM(F6:F7)</f>
        <v>4991753.2560000001</v>
      </c>
      <c r="G8" s="530">
        <f>SUM(G6:G7)</f>
        <v>1168368</v>
      </c>
      <c r="H8" s="519"/>
    </row>
    <row r="9" spans="1:8">
      <c r="A9" s="799" t="s">
        <v>129</v>
      </c>
      <c r="B9" s="804">
        <v>3700001</v>
      </c>
      <c r="C9" s="443" t="s">
        <v>130</v>
      </c>
      <c r="D9" s="444" t="s">
        <v>131</v>
      </c>
      <c r="E9" s="431" t="s">
        <v>113</v>
      </c>
      <c r="F9" s="533">
        <f>G9*G3</f>
        <v>76758.074999999997</v>
      </c>
      <c r="G9" s="534">
        <v>75475</v>
      </c>
    </row>
    <row r="10" spans="1:8" ht="24.75" customHeight="1" thickBot="1">
      <c r="A10" s="794"/>
      <c r="B10" s="806"/>
      <c r="C10" s="537" t="s">
        <v>132</v>
      </c>
      <c r="D10" s="538" t="s">
        <v>133</v>
      </c>
      <c r="E10" s="539"/>
      <c r="F10" s="455"/>
      <c r="G10" s="456">
        <v>138346</v>
      </c>
    </row>
    <row r="11" spans="1:8" s="543" customFormat="1" ht="14.25" thickTop="1" thickBot="1">
      <c r="A11" s="795"/>
      <c r="B11" s="848"/>
      <c r="C11" s="784" t="s">
        <v>128</v>
      </c>
      <c r="D11" s="785"/>
      <c r="E11" s="786"/>
      <c r="F11" s="540">
        <f>SUM(F9:F10)</f>
        <v>76758.074999999997</v>
      </c>
      <c r="G11" s="541">
        <f>SUM(G9:G10)</f>
        <v>213821</v>
      </c>
      <c r="H11" s="542"/>
    </row>
    <row r="12" spans="1:8" s="543" customFormat="1">
      <c r="A12" s="799" t="s">
        <v>135</v>
      </c>
      <c r="B12" s="801">
        <v>3811031</v>
      </c>
      <c r="C12" s="544" t="s">
        <v>136</v>
      </c>
      <c r="D12" s="545" t="s">
        <v>137</v>
      </c>
      <c r="E12" s="546" t="s">
        <v>113</v>
      </c>
      <c r="F12" s="547">
        <f>G12*G3</f>
        <v>3437409.15</v>
      </c>
      <c r="G12" s="548">
        <v>3379950</v>
      </c>
      <c r="H12" s="542"/>
    </row>
    <row r="13" spans="1:8">
      <c r="A13" s="794"/>
      <c r="B13" s="797"/>
      <c r="C13" s="443" t="s">
        <v>134</v>
      </c>
      <c r="D13" s="444" t="s">
        <v>138</v>
      </c>
      <c r="E13" s="431">
        <v>42735</v>
      </c>
      <c r="F13" s="449"/>
      <c r="G13" s="549">
        <v>2413000</v>
      </c>
    </row>
    <row r="14" spans="1:8" ht="26.25" thickBot="1">
      <c r="A14" s="794"/>
      <c r="B14" s="797"/>
      <c r="C14" s="537" t="s">
        <v>139</v>
      </c>
      <c r="D14" s="538" t="s">
        <v>140</v>
      </c>
      <c r="E14" s="550">
        <v>41670</v>
      </c>
      <c r="F14" s="455">
        <f>(G14/12)*G3</f>
        <v>522204.58349999995</v>
      </c>
      <c r="G14" s="456">
        <v>6161706</v>
      </c>
    </row>
    <row r="15" spans="1:8" s="543" customFormat="1" ht="14.25" thickTop="1" thickBot="1">
      <c r="A15" s="795"/>
      <c r="B15" s="798"/>
      <c r="C15" s="784" t="s">
        <v>128</v>
      </c>
      <c r="D15" s="785"/>
      <c r="E15" s="786"/>
      <c r="F15" s="540">
        <f>SUM(F12:F14)</f>
        <v>3959613.7335000001</v>
      </c>
      <c r="G15" s="541">
        <f>SUM(G12:G14)</f>
        <v>11954656</v>
      </c>
      <c r="H15" s="542"/>
    </row>
    <row r="16" spans="1:8" s="543" customFormat="1">
      <c r="A16" s="799" t="s">
        <v>141</v>
      </c>
      <c r="B16" s="801">
        <v>3821011</v>
      </c>
      <c r="C16" s="551" t="s">
        <v>142</v>
      </c>
      <c r="D16" s="551" t="s">
        <v>143</v>
      </c>
      <c r="E16" s="552" t="s">
        <v>144</v>
      </c>
      <c r="F16" s="553">
        <f>(12*162687)*G3</f>
        <v>1985432.1479999998</v>
      </c>
      <c r="G16" s="554">
        <v>1984781</v>
      </c>
      <c r="H16" s="542"/>
    </row>
    <row r="17" spans="1:9" s="543" customFormat="1" ht="15.75" customHeight="1" thickBot="1">
      <c r="A17" s="794"/>
      <c r="B17" s="797"/>
      <c r="C17" s="555" t="s">
        <v>145</v>
      </c>
      <c r="D17" s="556" t="s">
        <v>146</v>
      </c>
      <c r="E17" s="539" t="s">
        <v>113</v>
      </c>
      <c r="F17" s="455">
        <f>G17*G3</f>
        <v>490804.19999999995</v>
      </c>
      <c r="G17" s="557">
        <v>482600</v>
      </c>
      <c r="H17" s="446"/>
    </row>
    <row r="18" spans="1:9" s="543" customFormat="1" ht="14.25" thickTop="1" thickBot="1">
      <c r="A18" s="795"/>
      <c r="B18" s="798"/>
      <c r="C18" s="784" t="s">
        <v>128</v>
      </c>
      <c r="D18" s="785"/>
      <c r="E18" s="786"/>
      <c r="F18" s="540">
        <f>SUM(F16:F17)</f>
        <v>2476236.3479999998</v>
      </c>
      <c r="G18" s="541">
        <f>SUM(G16:G17)</f>
        <v>2467381</v>
      </c>
      <c r="H18" s="542"/>
    </row>
    <row r="19" spans="1:9" s="543" customFormat="1" ht="13.5" thickBot="1">
      <c r="A19" s="851" t="s">
        <v>147</v>
      </c>
      <c r="B19" s="823">
        <v>4931021</v>
      </c>
      <c r="C19" s="558" t="s">
        <v>148</v>
      </c>
      <c r="D19" s="559" t="s">
        <v>149</v>
      </c>
      <c r="E19" s="560">
        <v>41729</v>
      </c>
      <c r="F19" s="455">
        <f>G19/12*3*G3</f>
        <v>16541352.449999999</v>
      </c>
      <c r="G19" s="561">
        <v>65059400</v>
      </c>
      <c r="H19" s="542"/>
    </row>
    <row r="20" spans="1:9" s="543" customFormat="1" ht="14.25" thickTop="1" thickBot="1">
      <c r="A20" s="853"/>
      <c r="B20" s="824"/>
      <c r="C20" s="784" t="s">
        <v>128</v>
      </c>
      <c r="D20" s="791"/>
      <c r="E20" s="792"/>
      <c r="F20" s="540">
        <f>SUM(F19)</f>
        <v>16541352.449999999</v>
      </c>
      <c r="G20" s="562">
        <f>SUM(G19)</f>
        <v>65059400</v>
      </c>
      <c r="H20" s="542"/>
    </row>
    <row r="21" spans="1:9" ht="17.25" customHeight="1">
      <c r="A21" s="851" t="s">
        <v>150</v>
      </c>
      <c r="B21" s="849">
        <v>5220011</v>
      </c>
      <c r="C21" s="874" t="s">
        <v>151</v>
      </c>
      <c r="D21" s="876" t="s">
        <v>152</v>
      </c>
      <c r="E21" s="877" t="s">
        <v>113</v>
      </c>
      <c r="F21" s="773">
        <f>G21*G3</f>
        <v>8423.8109999999997</v>
      </c>
      <c r="G21" s="775">
        <v>8283</v>
      </c>
      <c r="H21" s="517"/>
    </row>
    <row r="22" spans="1:9" ht="12.75" hidden="1" customHeight="1">
      <c r="A22" s="852"/>
      <c r="B22" s="850"/>
      <c r="C22" s="875"/>
      <c r="D22" s="813"/>
      <c r="E22" s="816"/>
      <c r="F22" s="774"/>
      <c r="G22" s="776"/>
    </row>
    <row r="23" spans="1:9" ht="13.5" thickBot="1">
      <c r="A23" s="852"/>
      <c r="B23" s="850"/>
      <c r="C23" s="872" t="s">
        <v>153</v>
      </c>
      <c r="D23" s="787" t="s">
        <v>154</v>
      </c>
      <c r="E23" s="789">
        <v>41698</v>
      </c>
      <c r="F23" s="780">
        <f>((G23/12)*2)*G3</f>
        <v>297.30299999999994</v>
      </c>
      <c r="G23" s="777">
        <v>1754</v>
      </c>
      <c r="I23" s="564"/>
    </row>
    <row r="24" spans="1:9" ht="18" hidden="1" customHeight="1">
      <c r="A24" s="852"/>
      <c r="B24" s="850"/>
      <c r="C24" s="873"/>
      <c r="D24" s="788"/>
      <c r="E24" s="790"/>
      <c r="F24" s="781"/>
      <c r="G24" s="778"/>
      <c r="I24" s="564"/>
    </row>
    <row r="25" spans="1:9" s="543" customFormat="1" ht="14.25" customHeight="1" thickTop="1" thickBot="1">
      <c r="A25" s="853"/>
      <c r="B25" s="805"/>
      <c r="C25" s="784" t="s">
        <v>128</v>
      </c>
      <c r="D25" s="785"/>
      <c r="E25" s="786"/>
      <c r="F25" s="540">
        <f>SUM(F21:F24)</f>
        <v>8721.1139999999996</v>
      </c>
      <c r="G25" s="541">
        <f>SUM(G21:G24)</f>
        <v>10037</v>
      </c>
      <c r="H25" s="542"/>
    </row>
    <row r="26" spans="1:9" ht="0.75" customHeight="1">
      <c r="A26" s="531" t="s">
        <v>155</v>
      </c>
      <c r="B26" s="532">
        <v>6800011</v>
      </c>
      <c r="C26" s="812"/>
      <c r="D26" s="867"/>
      <c r="E26" s="815"/>
      <c r="F26" s="773"/>
      <c r="G26" s="775"/>
      <c r="I26" s="564"/>
    </row>
    <row r="27" spans="1:9" ht="12" hidden="1" customHeight="1">
      <c r="A27" s="569"/>
      <c r="B27" s="536"/>
      <c r="C27" s="817"/>
      <c r="D27" s="878"/>
      <c r="E27" s="818"/>
      <c r="F27" s="779"/>
      <c r="G27" s="778"/>
      <c r="I27" s="564"/>
    </row>
    <row r="28" spans="1:9" ht="12.75" hidden="1" customHeight="1">
      <c r="A28" s="569"/>
      <c r="B28" s="536"/>
      <c r="C28" s="817"/>
      <c r="D28" s="878"/>
      <c r="E28" s="818"/>
      <c r="F28" s="779"/>
      <c r="G28" s="778"/>
      <c r="I28" s="564"/>
    </row>
    <row r="29" spans="1:9" ht="25.5">
      <c r="A29" s="793" t="s">
        <v>269</v>
      </c>
      <c r="B29" s="796">
        <v>6800011</v>
      </c>
      <c r="C29" s="570" t="s">
        <v>156</v>
      </c>
      <c r="D29" s="571" t="s">
        <v>157</v>
      </c>
      <c r="E29" s="572" t="s">
        <v>113</v>
      </c>
      <c r="F29" s="533">
        <f>(G29+34000)*G3</f>
        <v>410263.90199999994</v>
      </c>
      <c r="G29" s="573">
        <v>369406</v>
      </c>
      <c r="H29" s="574"/>
      <c r="I29" s="564"/>
    </row>
    <row r="30" spans="1:9" ht="12.75" customHeight="1">
      <c r="A30" s="794"/>
      <c r="B30" s="797"/>
      <c r="C30" s="450" t="s">
        <v>151</v>
      </c>
      <c r="D30" s="451" t="s">
        <v>152</v>
      </c>
      <c r="E30" s="452" t="s">
        <v>113</v>
      </c>
      <c r="F30" s="432">
        <f>G30*G3</f>
        <v>10215.764999999999</v>
      </c>
      <c r="G30" s="433">
        <v>10045</v>
      </c>
    </row>
    <row r="31" spans="1:9" ht="13.5" thickBot="1">
      <c r="A31" s="794"/>
      <c r="B31" s="797"/>
      <c r="C31" s="537" t="s">
        <v>153</v>
      </c>
      <c r="D31" s="538" t="s">
        <v>270</v>
      </c>
      <c r="E31" s="539">
        <v>41698</v>
      </c>
      <c r="F31" s="455">
        <f>(30*2)*G3</f>
        <v>61.019999999999996</v>
      </c>
      <c r="G31" s="575">
        <v>6085</v>
      </c>
      <c r="H31" s="574"/>
      <c r="I31" s="564"/>
    </row>
    <row r="32" spans="1:9" s="543" customFormat="1" ht="14.25" thickTop="1" thickBot="1">
      <c r="A32" s="795"/>
      <c r="B32" s="798"/>
      <c r="C32" s="784" t="s">
        <v>128</v>
      </c>
      <c r="D32" s="785"/>
      <c r="E32" s="786"/>
      <c r="F32" s="540">
        <f>SUM(F29:F31)</f>
        <v>420540.68699999998</v>
      </c>
      <c r="G32" s="541">
        <f>SUM(G29:G31)</f>
        <v>385536</v>
      </c>
      <c r="H32" s="542"/>
    </row>
    <row r="33" spans="1:9" s="543" customFormat="1">
      <c r="A33" s="799" t="s">
        <v>158</v>
      </c>
      <c r="B33" s="801">
        <v>6800021</v>
      </c>
      <c r="C33" s="807" t="s">
        <v>159</v>
      </c>
      <c r="D33" s="807" t="s">
        <v>160</v>
      </c>
      <c r="E33" s="869" t="s">
        <v>113</v>
      </c>
      <c r="F33" s="773">
        <f>G33*G3</f>
        <v>77843.213999999993</v>
      </c>
      <c r="G33" s="768">
        <v>76542</v>
      </c>
      <c r="H33" s="542"/>
    </row>
    <row r="34" spans="1:9" s="543" customFormat="1" ht="0.75" customHeight="1">
      <c r="A34" s="802"/>
      <c r="B34" s="797"/>
      <c r="C34" s="808"/>
      <c r="D34" s="808"/>
      <c r="E34" s="870"/>
      <c r="F34" s="834"/>
      <c r="G34" s="769"/>
      <c r="H34" s="542"/>
    </row>
    <row r="35" spans="1:9" s="543" customFormat="1" ht="2.25" customHeight="1">
      <c r="A35" s="802"/>
      <c r="B35" s="797"/>
      <c r="C35" s="809"/>
      <c r="D35" s="809"/>
      <c r="E35" s="871"/>
      <c r="F35" s="835"/>
      <c r="G35" s="770"/>
      <c r="H35" s="542"/>
    </row>
    <row r="36" spans="1:9" s="543" customFormat="1" ht="14.25" customHeight="1">
      <c r="A36" s="802"/>
      <c r="B36" s="797"/>
      <c r="C36" s="429" t="s">
        <v>168</v>
      </c>
      <c r="D36" s="430" t="s">
        <v>169</v>
      </c>
      <c r="E36" s="431">
        <v>42688</v>
      </c>
      <c r="F36" s="432">
        <f>760000*G3</f>
        <v>772919.99999999988</v>
      </c>
      <c r="G36" s="433">
        <v>3766175</v>
      </c>
      <c r="H36" s="542"/>
    </row>
    <row r="37" spans="1:9" s="543" customFormat="1" ht="14.25" customHeight="1">
      <c r="A37" s="802"/>
      <c r="B37" s="797"/>
      <c r="C37" s="429" t="s">
        <v>168</v>
      </c>
      <c r="D37" s="430" t="s">
        <v>170</v>
      </c>
      <c r="E37" s="431">
        <v>44926</v>
      </c>
      <c r="F37" s="432">
        <f>440000*G3</f>
        <v>447479.99999999994</v>
      </c>
      <c r="G37" s="433">
        <v>2860885</v>
      </c>
      <c r="H37" s="542"/>
    </row>
    <row r="38" spans="1:9" ht="23.25" customHeight="1">
      <c r="A38" s="802"/>
      <c r="B38" s="797"/>
      <c r="C38" s="429" t="s">
        <v>168</v>
      </c>
      <c r="D38" s="430" t="s">
        <v>171</v>
      </c>
      <c r="E38" s="445" t="s">
        <v>113</v>
      </c>
      <c r="F38" s="432">
        <f>(1457*11)*G3+9149</f>
        <v>25448.458999999999</v>
      </c>
      <c r="G38" s="433">
        <f>13113+(3*1457)</f>
        <v>17484</v>
      </c>
      <c r="I38" s="564"/>
    </row>
    <row r="39" spans="1:9" ht="12.75" customHeight="1">
      <c r="A39" s="802"/>
      <c r="B39" s="797"/>
      <c r="C39" s="429" t="s">
        <v>112</v>
      </c>
      <c r="D39" s="430" t="s">
        <v>172</v>
      </c>
      <c r="E39" s="445" t="s">
        <v>113</v>
      </c>
      <c r="F39" s="432">
        <f>G39*G3</f>
        <v>247210.32599999997</v>
      </c>
      <c r="G39" s="433">
        <v>243078</v>
      </c>
      <c r="I39" s="564"/>
    </row>
    <row r="40" spans="1:9" ht="25.5" customHeight="1">
      <c r="A40" s="802"/>
      <c r="B40" s="797"/>
      <c r="C40" s="443" t="s">
        <v>156</v>
      </c>
      <c r="D40" s="444" t="s">
        <v>173</v>
      </c>
      <c r="E40" s="431" t="s">
        <v>113</v>
      </c>
      <c r="F40" s="432">
        <f>(G40+32000)*G3</f>
        <v>399809.14199999993</v>
      </c>
      <c r="G40" s="578">
        <v>361126</v>
      </c>
      <c r="H40" s="574"/>
      <c r="I40" s="446"/>
    </row>
    <row r="41" spans="1:9" ht="25.5" hidden="1" customHeight="1">
      <c r="A41" s="802"/>
      <c r="B41" s="797"/>
      <c r="C41" s="579" t="s">
        <v>174</v>
      </c>
      <c r="D41" s="580" t="s">
        <v>175</v>
      </c>
      <c r="E41" s="581">
        <v>40421</v>
      </c>
      <c r="F41" s="582"/>
      <c r="G41" s="583">
        <v>77457</v>
      </c>
      <c r="H41" s="584"/>
    </row>
    <row r="42" spans="1:9" ht="25.5" customHeight="1">
      <c r="A42" s="802"/>
      <c r="B42" s="797"/>
      <c r="C42" s="443" t="s">
        <v>156</v>
      </c>
      <c r="D42" s="444" t="s">
        <v>176</v>
      </c>
      <c r="E42" s="431" t="s">
        <v>113</v>
      </c>
      <c r="F42" s="432">
        <f>(12*444500)*G3+444500</f>
        <v>5869177.9999999991</v>
      </c>
      <c r="G42" s="578">
        <v>4445000</v>
      </c>
      <c r="H42" s="574"/>
    </row>
    <row r="43" spans="1:9">
      <c r="A43" s="802"/>
      <c r="B43" s="797"/>
      <c r="C43" s="429" t="s">
        <v>177</v>
      </c>
      <c r="D43" s="444" t="s">
        <v>178</v>
      </c>
      <c r="E43" s="445" t="s">
        <v>113</v>
      </c>
      <c r="F43" s="432">
        <f>G43*G3</f>
        <v>41513.939999999995</v>
      </c>
      <c r="G43" s="433">
        <f>20410+20410</f>
        <v>40820</v>
      </c>
      <c r="I43" s="564"/>
    </row>
    <row r="44" spans="1:9" s="587" customFormat="1" ht="13.5">
      <c r="A44" s="802"/>
      <c r="B44" s="797"/>
      <c r="C44" s="429" t="s">
        <v>177</v>
      </c>
      <c r="D44" s="430" t="s">
        <v>179</v>
      </c>
      <c r="E44" s="445" t="s">
        <v>113</v>
      </c>
      <c r="F44" s="432">
        <f>(G44+10000)*G3</f>
        <v>51114.42</v>
      </c>
      <c r="G44" s="433">
        <v>40260</v>
      </c>
      <c r="H44" s="585"/>
      <c r="I44" s="586"/>
    </row>
    <row r="45" spans="1:9" s="587" customFormat="1" ht="13.5">
      <c r="A45" s="802"/>
      <c r="B45" s="797"/>
      <c r="C45" s="429" t="s">
        <v>180</v>
      </c>
      <c r="D45" s="430" t="s">
        <v>181</v>
      </c>
      <c r="E45" s="445" t="s">
        <v>113</v>
      </c>
      <c r="F45" s="432"/>
      <c r="G45" s="433">
        <v>0</v>
      </c>
      <c r="H45" s="446"/>
      <c r="I45" s="586"/>
    </row>
    <row r="46" spans="1:9" ht="12.75" customHeight="1">
      <c r="A46" s="802"/>
      <c r="B46" s="797"/>
      <c r="C46" s="450" t="s">
        <v>151</v>
      </c>
      <c r="D46" s="451" t="s">
        <v>271</v>
      </c>
      <c r="E46" s="452" t="s">
        <v>113</v>
      </c>
      <c r="F46" s="432">
        <f>G46*G3</f>
        <v>1834601.8949999998</v>
      </c>
      <c r="G46" s="433">
        <v>1803935</v>
      </c>
    </row>
    <row r="47" spans="1:9" ht="12.75" customHeight="1">
      <c r="A47" s="802"/>
      <c r="B47" s="797"/>
      <c r="C47" s="443" t="s">
        <v>182</v>
      </c>
      <c r="D47" s="451" t="s">
        <v>185</v>
      </c>
      <c r="E47" s="452" t="s">
        <v>113</v>
      </c>
      <c r="F47" s="432">
        <f>G47*G3</f>
        <v>279379.05299999996</v>
      </c>
      <c r="G47" s="433">
        <v>274709</v>
      </c>
    </row>
    <row r="48" spans="1:9">
      <c r="A48" s="802"/>
      <c r="B48" s="797"/>
      <c r="C48" s="443" t="s">
        <v>153</v>
      </c>
      <c r="D48" s="430" t="s">
        <v>186</v>
      </c>
      <c r="E48" s="431">
        <v>41698</v>
      </c>
      <c r="F48" s="432">
        <f>((G48/12)*2)*G3</f>
        <v>128427.77699999999</v>
      </c>
      <c r="G48" s="433">
        <f>3035724-2278038</f>
        <v>757686</v>
      </c>
      <c r="I48" s="564"/>
    </row>
    <row r="49" spans="1:9" ht="12.75" customHeight="1">
      <c r="A49" s="802"/>
      <c r="B49" s="797"/>
      <c r="C49" s="443" t="s">
        <v>134</v>
      </c>
      <c r="D49" s="430" t="s">
        <v>187</v>
      </c>
      <c r="E49" s="431" t="s">
        <v>113</v>
      </c>
      <c r="F49" s="432">
        <f>G49*G3</f>
        <v>51765.299999999996</v>
      </c>
      <c r="G49" s="433">
        <f>40496+(3*3468)</f>
        <v>50900</v>
      </c>
      <c r="I49" s="564"/>
    </row>
    <row r="50" spans="1:9" ht="12.75" customHeight="1" thickBot="1">
      <c r="A50" s="802"/>
      <c r="B50" s="797"/>
      <c r="C50" s="537" t="s">
        <v>188</v>
      </c>
      <c r="D50" s="556" t="s">
        <v>189</v>
      </c>
      <c r="E50" s="539" t="s">
        <v>113</v>
      </c>
      <c r="F50" s="455">
        <f>G50*G3</f>
        <v>37596.455999999998</v>
      </c>
      <c r="G50" s="456">
        <v>36968</v>
      </c>
      <c r="I50" s="588"/>
    </row>
    <row r="51" spans="1:9" s="543" customFormat="1" ht="14.25" thickTop="1" thickBot="1">
      <c r="A51" s="803"/>
      <c r="B51" s="798"/>
      <c r="C51" s="784" t="s">
        <v>128</v>
      </c>
      <c r="D51" s="785"/>
      <c r="E51" s="786"/>
      <c r="F51" s="540">
        <f>SUM(F33:F50)</f>
        <v>10264287.982000001</v>
      </c>
      <c r="G51" s="541">
        <f>SUM(G33:G50)</f>
        <v>14853025</v>
      </c>
      <c r="H51" s="542"/>
    </row>
    <row r="52" spans="1:9" ht="13.5" thickBot="1">
      <c r="A52" s="799" t="s">
        <v>190</v>
      </c>
      <c r="B52" s="804">
        <v>7500001</v>
      </c>
      <c r="C52" s="566" t="s">
        <v>191</v>
      </c>
      <c r="D52" s="589" t="s">
        <v>192</v>
      </c>
      <c r="E52" s="568" t="s">
        <v>113</v>
      </c>
      <c r="F52" s="466">
        <f>G52*G3</f>
        <v>3870122.3099999996</v>
      </c>
      <c r="G52" s="590">
        <v>3805430</v>
      </c>
    </row>
    <row r="53" spans="1:9" s="543" customFormat="1" ht="14.25" customHeight="1" thickTop="1" thickBot="1">
      <c r="A53" s="800"/>
      <c r="B53" s="805"/>
      <c r="C53" s="784" t="s">
        <v>128</v>
      </c>
      <c r="D53" s="785"/>
      <c r="E53" s="786"/>
      <c r="F53" s="540">
        <f>SUM(F52)</f>
        <v>3870122.3099999996</v>
      </c>
      <c r="G53" s="541">
        <f>SUM(G52)</f>
        <v>3805430</v>
      </c>
      <c r="H53" s="542"/>
    </row>
    <row r="54" spans="1:9" s="543" customFormat="1" ht="14.25" customHeight="1">
      <c r="A54" s="799" t="s">
        <v>193</v>
      </c>
      <c r="B54" s="801">
        <v>8120001</v>
      </c>
      <c r="C54" s="591" t="s">
        <v>203</v>
      </c>
      <c r="D54" s="592" t="s">
        <v>272</v>
      </c>
      <c r="E54" s="552">
        <v>41713</v>
      </c>
      <c r="F54" s="553">
        <f>(G54+G59)*G3</f>
        <v>10929352.203</v>
      </c>
      <c r="G54" s="593">
        <v>877824</v>
      </c>
      <c r="H54" s="542"/>
    </row>
    <row r="55" spans="1:9" s="543" customFormat="1" ht="14.25" customHeight="1">
      <c r="A55" s="862"/>
      <c r="B55" s="860"/>
      <c r="C55" s="443" t="s">
        <v>139</v>
      </c>
      <c r="D55" s="444" t="s">
        <v>198</v>
      </c>
      <c r="E55" s="431">
        <v>41670</v>
      </c>
      <c r="F55" s="432">
        <f>((G55+G60)/12)*G3</f>
        <v>2038979.5709999998</v>
      </c>
      <c r="G55" s="433">
        <v>8568520</v>
      </c>
      <c r="H55" s="542"/>
    </row>
    <row r="56" spans="1:9" s="543" customFormat="1" ht="14.25" customHeight="1" thickBot="1">
      <c r="A56" s="862"/>
      <c r="B56" s="860"/>
      <c r="C56" s="443" t="s">
        <v>139</v>
      </c>
      <c r="D56" s="444" t="s">
        <v>199</v>
      </c>
      <c r="E56" s="431">
        <v>41670</v>
      </c>
      <c r="F56" s="432">
        <f>(G61/12)*G3</f>
        <v>974931.79499999993</v>
      </c>
      <c r="G56" s="433">
        <v>0</v>
      </c>
      <c r="H56" s="542"/>
    </row>
    <row r="57" spans="1:9" s="543" customFormat="1" ht="14.25" customHeight="1" thickTop="1" thickBot="1">
      <c r="A57" s="856"/>
      <c r="B57" s="861"/>
      <c r="C57" s="784" t="s">
        <v>128</v>
      </c>
      <c r="D57" s="785"/>
      <c r="E57" s="786"/>
      <c r="F57" s="540">
        <f>SUM(F54:F56)</f>
        <v>13943263.569</v>
      </c>
      <c r="G57" s="541">
        <f>SUM(G54:G56)</f>
        <v>9446344</v>
      </c>
      <c r="H57" s="542"/>
    </row>
    <row r="58" spans="1:9">
      <c r="A58" s="799" t="s">
        <v>273</v>
      </c>
      <c r="B58" s="804">
        <v>8129001</v>
      </c>
      <c r="C58" s="591" t="s">
        <v>194</v>
      </c>
      <c r="D58" s="592" t="s">
        <v>195</v>
      </c>
      <c r="E58" s="577" t="s">
        <v>113</v>
      </c>
      <c r="F58" s="553">
        <f>G58*G3</f>
        <v>0</v>
      </c>
      <c r="G58" s="593">
        <v>0</v>
      </c>
    </row>
    <row r="59" spans="1:9">
      <c r="A59" s="793"/>
      <c r="B59" s="806"/>
      <c r="C59" s="443" t="s">
        <v>203</v>
      </c>
      <c r="D59" s="444" t="s">
        <v>272</v>
      </c>
      <c r="E59" s="431">
        <v>41713</v>
      </c>
      <c r="F59" s="432" t="s">
        <v>274</v>
      </c>
      <c r="G59" s="433">
        <v>9868835</v>
      </c>
    </row>
    <row r="60" spans="1:9">
      <c r="A60" s="793"/>
      <c r="B60" s="806"/>
      <c r="C60" s="443" t="s">
        <v>139</v>
      </c>
      <c r="D60" s="444" t="s">
        <v>198</v>
      </c>
      <c r="E60" s="431">
        <v>41670</v>
      </c>
      <c r="F60" s="432" t="s">
        <v>274</v>
      </c>
      <c r="G60" s="433">
        <v>15490236</v>
      </c>
    </row>
    <row r="61" spans="1:9" ht="26.25" thickBot="1">
      <c r="A61" s="793"/>
      <c r="B61" s="806"/>
      <c r="C61" s="443" t="s">
        <v>139</v>
      </c>
      <c r="D61" s="444" t="s">
        <v>199</v>
      </c>
      <c r="E61" s="431">
        <v>41670</v>
      </c>
      <c r="F61" s="432" t="s">
        <v>274</v>
      </c>
      <c r="G61" s="433">
        <v>11503620</v>
      </c>
    </row>
    <row r="62" spans="1:9" s="543" customFormat="1" ht="14.25" thickTop="1" thickBot="1">
      <c r="A62" s="800"/>
      <c r="B62" s="805"/>
      <c r="C62" s="784" t="s">
        <v>128</v>
      </c>
      <c r="D62" s="785"/>
      <c r="E62" s="786"/>
      <c r="F62" s="540">
        <f>SUM(F58:F61)</f>
        <v>0</v>
      </c>
      <c r="G62" s="541">
        <f>SUM(G58:G61)</f>
        <v>36862691</v>
      </c>
      <c r="H62" s="542"/>
    </row>
    <row r="63" spans="1:9">
      <c r="A63" s="799" t="s">
        <v>200</v>
      </c>
      <c r="B63" s="801">
        <v>8130001</v>
      </c>
      <c r="C63" s="429" t="s">
        <v>112</v>
      </c>
      <c r="D63" s="430" t="s">
        <v>201</v>
      </c>
      <c r="E63" s="445" t="s">
        <v>113</v>
      </c>
      <c r="F63" s="533">
        <f>G63*G3</f>
        <v>147052.098</v>
      </c>
      <c r="G63" s="594">
        <v>144594</v>
      </c>
    </row>
    <row r="64" spans="1:9" ht="25.5">
      <c r="A64" s="862"/>
      <c r="B64" s="860"/>
      <c r="C64" s="443" t="s">
        <v>156</v>
      </c>
      <c r="D64" s="444" t="s">
        <v>202</v>
      </c>
      <c r="E64" s="572" t="s">
        <v>113</v>
      </c>
      <c r="F64" s="449">
        <f>G64*G3</f>
        <v>36255521.159999996</v>
      </c>
      <c r="G64" s="594">
        <v>35649480</v>
      </c>
    </row>
    <row r="65" spans="1:9" ht="25.5">
      <c r="A65" s="862"/>
      <c r="B65" s="860"/>
      <c r="C65" s="443" t="s">
        <v>156</v>
      </c>
      <c r="D65" s="444" t="s">
        <v>275</v>
      </c>
      <c r="E65" s="572" t="s">
        <v>113</v>
      </c>
      <c r="F65" s="595"/>
      <c r="G65" s="594">
        <v>0</v>
      </c>
    </row>
    <row r="66" spans="1:9">
      <c r="A66" s="862"/>
      <c r="B66" s="860"/>
      <c r="C66" s="443" t="s">
        <v>139</v>
      </c>
      <c r="D66" s="444" t="s">
        <v>204</v>
      </c>
      <c r="E66" s="572" t="s">
        <v>113</v>
      </c>
      <c r="F66" s="533">
        <f>G66*G3</f>
        <v>44831.393999999993</v>
      </c>
      <c r="G66" s="534">
        <v>44082</v>
      </c>
    </row>
    <row r="67" spans="1:9" ht="13.5" thickBot="1">
      <c r="A67" s="862"/>
      <c r="B67" s="860"/>
      <c r="C67" s="537" t="s">
        <v>139</v>
      </c>
      <c r="D67" s="596" t="s">
        <v>206</v>
      </c>
      <c r="E67" s="539">
        <v>41670</v>
      </c>
      <c r="F67" s="455">
        <f>(G67/12)*G3</f>
        <v>3683913.8474999997</v>
      </c>
      <c r="G67" s="597">
        <v>43468010</v>
      </c>
    </row>
    <row r="68" spans="1:9" s="543" customFormat="1" ht="14.25" thickTop="1" thickBot="1">
      <c r="A68" s="856"/>
      <c r="B68" s="861"/>
      <c r="C68" s="784" t="s">
        <v>128</v>
      </c>
      <c r="D68" s="785"/>
      <c r="E68" s="786"/>
      <c r="F68" s="540">
        <f>SUM(F63:F67)</f>
        <v>40131318.499499992</v>
      </c>
      <c r="G68" s="541">
        <f>SUM(G63:G67)</f>
        <v>79306166</v>
      </c>
      <c r="H68" s="542"/>
    </row>
    <row r="69" spans="1:9" s="543" customFormat="1" ht="13.5" thickBot="1">
      <c r="A69" s="799" t="s">
        <v>207</v>
      </c>
      <c r="B69" s="821">
        <v>8411121</v>
      </c>
      <c r="C69" s="576" t="s">
        <v>208</v>
      </c>
      <c r="D69" s="576" t="s">
        <v>209</v>
      </c>
      <c r="E69" s="565" t="s">
        <v>113</v>
      </c>
      <c r="F69" s="455">
        <f>(444500*12)*G3</f>
        <v>5424677.9999999991</v>
      </c>
      <c r="G69" s="483">
        <f>4127500+(4*444500)</f>
        <v>5905500</v>
      </c>
      <c r="H69" s="542"/>
    </row>
    <row r="70" spans="1:9" s="543" customFormat="1" ht="14.25" thickTop="1" thickBot="1">
      <c r="A70" s="800"/>
      <c r="B70" s="822"/>
      <c r="C70" s="784" t="s">
        <v>128</v>
      </c>
      <c r="D70" s="785"/>
      <c r="E70" s="785"/>
      <c r="F70" s="598">
        <f>F69</f>
        <v>5424677.9999999991</v>
      </c>
      <c r="G70" s="541">
        <f>SUM(G69)</f>
        <v>5905500</v>
      </c>
      <c r="H70" s="542"/>
    </row>
    <row r="71" spans="1:9" s="543" customFormat="1" ht="31.5" customHeight="1" thickBot="1">
      <c r="A71" s="885" t="s">
        <v>276</v>
      </c>
      <c r="B71" s="887">
        <v>8411541</v>
      </c>
      <c r="C71" s="576" t="s">
        <v>277</v>
      </c>
      <c r="D71" s="599" t="s">
        <v>278</v>
      </c>
      <c r="E71" s="563">
        <v>41698</v>
      </c>
      <c r="F71" s="600">
        <v>8669866</v>
      </c>
      <c r="G71" s="483">
        <v>13004800</v>
      </c>
      <c r="H71" s="542"/>
    </row>
    <row r="72" spans="1:9" s="543" customFormat="1" ht="14.25" thickTop="1" thickBot="1">
      <c r="A72" s="886"/>
      <c r="B72" s="888"/>
      <c r="C72" s="883" t="s">
        <v>128</v>
      </c>
      <c r="D72" s="884"/>
      <c r="E72" s="884"/>
      <c r="F72" s="598">
        <f>SUM(F71)</f>
        <v>8669866</v>
      </c>
      <c r="G72" s="541">
        <f>SUM(G71)</f>
        <v>13004800</v>
      </c>
      <c r="H72" s="542"/>
    </row>
    <row r="73" spans="1:9" ht="25.5">
      <c r="A73" s="799" t="s">
        <v>210</v>
      </c>
      <c r="B73" s="801">
        <v>8414021</v>
      </c>
      <c r="C73" s="443" t="s">
        <v>279</v>
      </c>
      <c r="D73" s="444" t="s">
        <v>211</v>
      </c>
      <c r="E73" s="431">
        <v>42582</v>
      </c>
      <c r="F73" s="432">
        <f>(444500*12)*G3</f>
        <v>5424677.9999999991</v>
      </c>
      <c r="G73" s="534">
        <v>1778000</v>
      </c>
    </row>
    <row r="74" spans="1:9">
      <c r="A74" s="862"/>
      <c r="B74" s="860"/>
      <c r="C74" s="443" t="s">
        <v>212</v>
      </c>
      <c r="D74" s="444" t="s">
        <v>213</v>
      </c>
      <c r="E74" s="431" t="s">
        <v>113</v>
      </c>
      <c r="F74" s="432">
        <f>G74*G3</f>
        <v>40140957.455999993</v>
      </c>
      <c r="G74" s="433">
        <v>39469968</v>
      </c>
    </row>
    <row r="75" spans="1:9" ht="13.5" thickBot="1">
      <c r="A75" s="862"/>
      <c r="B75" s="860"/>
      <c r="C75" s="537" t="s">
        <v>153</v>
      </c>
      <c r="D75" s="556" t="s">
        <v>214</v>
      </c>
      <c r="E75" s="539">
        <v>41698</v>
      </c>
      <c r="F75" s="455">
        <f>((G75/12)*2)*G3</f>
        <v>3135879.8369999998</v>
      </c>
      <c r="G75" s="456">
        <v>18500766</v>
      </c>
      <c r="I75" s="564"/>
    </row>
    <row r="76" spans="1:9" s="543" customFormat="1" ht="14.25" thickTop="1" thickBot="1">
      <c r="A76" s="856"/>
      <c r="B76" s="861"/>
      <c r="C76" s="784" t="s">
        <v>128</v>
      </c>
      <c r="D76" s="785"/>
      <c r="E76" s="786"/>
      <c r="F76" s="540">
        <f>SUM(F73:F75)</f>
        <v>48701515.29299999</v>
      </c>
      <c r="G76" s="541">
        <f>SUM(G73:G75)</f>
        <v>59748734</v>
      </c>
      <c r="H76" s="542"/>
    </row>
    <row r="77" spans="1:9" s="543" customFormat="1">
      <c r="A77" s="799" t="s">
        <v>215</v>
      </c>
      <c r="B77" s="801">
        <v>8414031</v>
      </c>
      <c r="C77" s="443" t="s">
        <v>216</v>
      </c>
      <c r="D77" s="444" t="s">
        <v>217</v>
      </c>
      <c r="E77" s="431">
        <v>42004</v>
      </c>
      <c r="F77" s="432">
        <f>G77*G3</f>
        <v>366119.99999999994</v>
      </c>
      <c r="G77" s="433">
        <f>300000+(2*30000)</f>
        <v>360000</v>
      </c>
      <c r="H77" s="542"/>
    </row>
    <row r="78" spans="1:9" s="543" customFormat="1">
      <c r="A78" s="793"/>
      <c r="B78" s="796"/>
      <c r="C78" s="570" t="s">
        <v>280</v>
      </c>
      <c r="D78" s="571" t="s">
        <v>281</v>
      </c>
      <c r="E78" s="601" t="s">
        <v>113</v>
      </c>
      <c r="F78" s="533">
        <f>(4*150000)*G3+150000</f>
        <v>760200</v>
      </c>
      <c r="G78" s="534">
        <f>3*150000</f>
        <v>450000</v>
      </c>
      <c r="H78" s="542"/>
    </row>
    <row r="79" spans="1:9" ht="25.5" customHeight="1">
      <c r="A79" s="794"/>
      <c r="B79" s="797"/>
      <c r="C79" s="570" t="s">
        <v>130</v>
      </c>
      <c r="D79" s="571" t="s">
        <v>218</v>
      </c>
      <c r="E79" s="601">
        <v>41759</v>
      </c>
      <c r="F79" s="533"/>
      <c r="G79" s="534">
        <v>501468</v>
      </c>
    </row>
    <row r="80" spans="1:9" ht="14.25" customHeight="1">
      <c r="A80" s="794"/>
      <c r="B80" s="797"/>
      <c r="C80" s="429" t="s">
        <v>112</v>
      </c>
      <c r="D80" s="430" t="s">
        <v>219</v>
      </c>
      <c r="E80" s="445" t="s">
        <v>113</v>
      </c>
      <c r="F80" s="533">
        <f>G80*G3</f>
        <v>537424.49699999997</v>
      </c>
      <c r="G80" s="534">
        <v>528441</v>
      </c>
    </row>
    <row r="81" spans="1:9">
      <c r="A81" s="794"/>
      <c r="B81" s="797"/>
      <c r="C81" s="443" t="s">
        <v>220</v>
      </c>
      <c r="D81" s="444" t="s">
        <v>222</v>
      </c>
      <c r="E81" s="431" t="s">
        <v>113</v>
      </c>
      <c r="F81" s="432">
        <f>(160782*12)*G3</f>
        <v>1962183.5279999997</v>
      </c>
      <c r="G81" s="433">
        <f>1281922+(3*169946)</f>
        <v>1791760</v>
      </c>
    </row>
    <row r="82" spans="1:9" ht="25.5">
      <c r="A82" s="794"/>
      <c r="B82" s="797"/>
      <c r="C82" s="443" t="s">
        <v>223</v>
      </c>
      <c r="D82" s="444" t="s">
        <v>224</v>
      </c>
      <c r="E82" s="602">
        <v>41698</v>
      </c>
      <c r="F82" s="446">
        <v>184150</v>
      </c>
      <c r="G82" s="432">
        <v>228600</v>
      </c>
    </row>
    <row r="83" spans="1:9" ht="12.75" customHeight="1">
      <c r="A83" s="794"/>
      <c r="B83" s="797"/>
      <c r="C83" s="450" t="s">
        <v>151</v>
      </c>
      <c r="D83" s="451" t="s">
        <v>225</v>
      </c>
      <c r="E83" s="603" t="s">
        <v>113</v>
      </c>
      <c r="F83" s="432">
        <f>G83*G3</f>
        <v>1296963.828</v>
      </c>
      <c r="G83" s="433">
        <v>1275284</v>
      </c>
    </row>
    <row r="84" spans="1:9" ht="12.75" customHeight="1">
      <c r="A84" s="794"/>
      <c r="B84" s="797"/>
      <c r="C84" s="450" t="s">
        <v>196</v>
      </c>
      <c r="D84" s="451" t="s">
        <v>195</v>
      </c>
      <c r="E84" s="603" t="s">
        <v>197</v>
      </c>
      <c r="F84" s="432">
        <f>G84*G3</f>
        <v>459683.99999999994</v>
      </c>
      <c r="G84" s="433">
        <v>452000</v>
      </c>
    </row>
    <row r="85" spans="1:9" ht="12.75" customHeight="1">
      <c r="A85" s="794"/>
      <c r="B85" s="797"/>
      <c r="C85" s="450" t="s">
        <v>226</v>
      </c>
      <c r="D85" s="451" t="s">
        <v>227</v>
      </c>
      <c r="E85" s="603" t="s">
        <v>113</v>
      </c>
      <c r="F85" s="432">
        <f>G85*G3</f>
        <v>3406893.0479999995</v>
      </c>
      <c r="G85" s="433">
        <v>3349944</v>
      </c>
    </row>
    <row r="86" spans="1:9" ht="12.75" customHeight="1">
      <c r="A86" s="794"/>
      <c r="B86" s="797"/>
      <c r="C86" s="450" t="s">
        <v>240</v>
      </c>
      <c r="D86" s="451" t="s">
        <v>282</v>
      </c>
      <c r="E86" s="603">
        <v>41943</v>
      </c>
      <c r="F86" s="432">
        <v>292100</v>
      </c>
      <c r="G86" s="433">
        <v>0</v>
      </c>
    </row>
    <row r="87" spans="1:9" ht="12.75" customHeight="1">
      <c r="A87" s="794"/>
      <c r="B87" s="797"/>
      <c r="C87" s="450" t="s">
        <v>228</v>
      </c>
      <c r="D87" s="451" t="s">
        <v>229</v>
      </c>
      <c r="E87" s="603"/>
      <c r="F87" s="432">
        <f>G87*G3</f>
        <v>12203.999999999998</v>
      </c>
      <c r="G87" s="433">
        <v>12000</v>
      </c>
    </row>
    <row r="88" spans="1:9" ht="25.5" customHeight="1">
      <c r="A88" s="794"/>
      <c r="B88" s="797"/>
      <c r="C88" s="450" t="s">
        <v>230</v>
      </c>
      <c r="D88" s="451" t="s">
        <v>231</v>
      </c>
      <c r="E88" s="603" t="s">
        <v>232</v>
      </c>
      <c r="F88" s="432">
        <v>355600</v>
      </c>
      <c r="G88" s="433">
        <v>355600</v>
      </c>
    </row>
    <row r="89" spans="1:9">
      <c r="A89" s="794"/>
      <c r="B89" s="797"/>
      <c r="C89" s="443" t="s">
        <v>153</v>
      </c>
      <c r="D89" s="430" t="s">
        <v>233</v>
      </c>
      <c r="E89" s="602">
        <v>41698</v>
      </c>
      <c r="F89" s="432">
        <f>((G89/12)*2)*G3</f>
        <v>289508.20349999995</v>
      </c>
      <c r="G89" s="433">
        <v>1708013</v>
      </c>
      <c r="I89" s="564"/>
    </row>
    <row r="90" spans="1:9" ht="26.25" customHeight="1" thickBot="1">
      <c r="A90" s="794"/>
      <c r="B90" s="797"/>
      <c r="C90" s="604" t="s">
        <v>405</v>
      </c>
      <c r="D90" s="605" t="s">
        <v>283</v>
      </c>
      <c r="E90" s="606">
        <v>41652</v>
      </c>
      <c r="F90" s="607">
        <v>1628839</v>
      </c>
      <c r="G90" s="608" t="s">
        <v>274</v>
      </c>
      <c r="I90" s="564"/>
    </row>
    <row r="91" spans="1:9" s="543" customFormat="1" ht="14.25" thickTop="1" thickBot="1">
      <c r="A91" s="795"/>
      <c r="B91" s="798"/>
      <c r="C91" s="784" t="s">
        <v>128</v>
      </c>
      <c r="D91" s="785"/>
      <c r="E91" s="786"/>
      <c r="F91" s="540">
        <f>SUM(F77:F90)</f>
        <v>11551870.104499999</v>
      </c>
      <c r="G91" s="541">
        <f>SUM(G77:G90)</f>
        <v>11013110</v>
      </c>
      <c r="H91" s="542"/>
    </row>
    <row r="92" spans="1:9" ht="12.75" customHeight="1">
      <c r="A92" s="799" t="s">
        <v>234</v>
      </c>
      <c r="B92" s="804">
        <v>8425411</v>
      </c>
      <c r="C92" s="812" t="s">
        <v>235</v>
      </c>
      <c r="D92" s="814" t="s">
        <v>236</v>
      </c>
      <c r="E92" s="815" t="s">
        <v>197</v>
      </c>
      <c r="F92" s="773"/>
      <c r="G92" s="775">
        <v>0</v>
      </c>
    </row>
    <row r="93" spans="1:9" hidden="1">
      <c r="A93" s="794"/>
      <c r="B93" s="806"/>
      <c r="C93" s="813"/>
      <c r="D93" s="813"/>
      <c r="E93" s="816"/>
      <c r="F93" s="774"/>
      <c r="G93" s="776"/>
    </row>
    <row r="94" spans="1:9">
      <c r="A94" s="794"/>
      <c r="B94" s="806"/>
      <c r="C94" s="450" t="s">
        <v>151</v>
      </c>
      <c r="D94" s="451" t="s">
        <v>237</v>
      </c>
      <c r="E94" s="452" t="s">
        <v>113</v>
      </c>
      <c r="F94" s="432">
        <f>G94*G3</f>
        <v>3272034.78</v>
      </c>
      <c r="G94" s="433">
        <v>3217340</v>
      </c>
    </row>
    <row r="95" spans="1:9" ht="13.5" thickBot="1">
      <c r="A95" s="794"/>
      <c r="B95" s="806"/>
      <c r="C95" s="537" t="s">
        <v>153</v>
      </c>
      <c r="D95" s="556" t="s">
        <v>238</v>
      </c>
      <c r="E95" s="609">
        <v>41698</v>
      </c>
      <c r="F95" s="455">
        <f>((G95/12)*2)*G3</f>
        <v>73217.38949999999</v>
      </c>
      <c r="G95" s="456">
        <v>431961</v>
      </c>
      <c r="I95" s="564"/>
    </row>
    <row r="96" spans="1:9" s="543" customFormat="1" ht="14.25" thickTop="1" thickBot="1">
      <c r="A96" s="795"/>
      <c r="B96" s="805"/>
      <c r="C96" s="784" t="s">
        <v>128</v>
      </c>
      <c r="D96" s="785"/>
      <c r="E96" s="786"/>
      <c r="F96" s="540">
        <f>SUM(F92:F95)</f>
        <v>3345252.1694999998</v>
      </c>
      <c r="G96" s="541">
        <f>SUM(G92:G95)</f>
        <v>3649301</v>
      </c>
      <c r="H96" s="542"/>
    </row>
    <row r="97" spans="1:14" s="543" customFormat="1" ht="13.5" thickBot="1">
      <c r="A97" s="851" t="s">
        <v>239</v>
      </c>
      <c r="B97" s="823">
        <v>8520001</v>
      </c>
      <c r="C97" s="576" t="s">
        <v>284</v>
      </c>
      <c r="D97" s="599" t="s">
        <v>285</v>
      </c>
      <c r="E97" s="563">
        <v>41754</v>
      </c>
      <c r="F97" s="466">
        <v>5447012</v>
      </c>
      <c r="G97" s="483">
        <f>10800000+5400000</f>
        <v>16200000</v>
      </c>
      <c r="H97" s="542"/>
    </row>
    <row r="98" spans="1:14" s="543" customFormat="1" ht="14.25" thickTop="1" thickBot="1">
      <c r="A98" s="853"/>
      <c r="B98" s="824"/>
      <c r="C98" s="784" t="s">
        <v>128</v>
      </c>
      <c r="D98" s="810"/>
      <c r="E98" s="811"/>
      <c r="F98" s="540">
        <f>SUM(F97)</f>
        <v>5447012</v>
      </c>
      <c r="G98" s="541">
        <f>SUM(G97)</f>
        <v>16200000</v>
      </c>
      <c r="H98" s="542"/>
    </row>
    <row r="99" spans="1:14" s="543" customFormat="1">
      <c r="A99" s="855" t="s">
        <v>239</v>
      </c>
      <c r="B99" s="832">
        <v>8520211</v>
      </c>
      <c r="C99" s="807"/>
      <c r="D99" s="867"/>
      <c r="E99" s="815"/>
      <c r="F99" s="771"/>
      <c r="G99" s="775"/>
      <c r="H99" s="542"/>
    </row>
    <row r="100" spans="1:14" s="543" customFormat="1" ht="0.75" customHeight="1">
      <c r="A100" s="794"/>
      <c r="B100" s="833"/>
      <c r="C100" s="864"/>
      <c r="D100" s="868"/>
      <c r="E100" s="879"/>
      <c r="F100" s="772"/>
      <c r="G100" s="830"/>
      <c r="H100" s="542"/>
    </row>
    <row r="101" spans="1:14" s="543" customFormat="1" ht="25.5" customHeight="1" thickBot="1">
      <c r="A101" s="794"/>
      <c r="B101" s="833"/>
      <c r="C101" s="610" t="s">
        <v>286</v>
      </c>
      <c r="D101" s="559" t="s">
        <v>287</v>
      </c>
      <c r="E101" s="560">
        <v>41820</v>
      </c>
      <c r="F101" s="611">
        <f>((G101/11)*12)*G3</f>
        <v>1922878.8818181818</v>
      </c>
      <c r="G101" s="612">
        <v>1733175</v>
      </c>
      <c r="H101" s="542"/>
    </row>
    <row r="102" spans="1:14" s="543" customFormat="1" ht="14.25" customHeight="1" thickTop="1" thickBot="1">
      <c r="A102" s="795"/>
      <c r="B102" s="805"/>
      <c r="C102" s="784" t="s">
        <v>128</v>
      </c>
      <c r="D102" s="785"/>
      <c r="E102" s="786"/>
      <c r="F102" s="540">
        <f>SUM(F99:F101)</f>
        <v>1922878.8818181818</v>
      </c>
      <c r="G102" s="541">
        <f>SUM(G99:G101)</f>
        <v>1733175</v>
      </c>
      <c r="H102" s="542"/>
    </row>
    <row r="103" spans="1:14" ht="16.5" customHeight="1">
      <c r="A103" s="799" t="s">
        <v>241</v>
      </c>
      <c r="B103" s="804">
        <v>8621021</v>
      </c>
      <c r="C103" s="591" t="s">
        <v>242</v>
      </c>
      <c r="D103" s="592" t="s">
        <v>243</v>
      </c>
      <c r="E103" s="613">
        <v>42490</v>
      </c>
      <c r="F103" s="553">
        <f>(213829*12)*G3+(855316)</f>
        <v>3464885.1159999999</v>
      </c>
      <c r="G103" s="614">
        <v>2138290</v>
      </c>
      <c r="I103" s="615"/>
      <c r="J103" s="616"/>
      <c r="K103" s="617"/>
      <c r="L103" s="618"/>
      <c r="M103" s="619"/>
      <c r="N103" s="620"/>
    </row>
    <row r="104" spans="1:14" ht="16.5" customHeight="1" thickBot="1">
      <c r="A104" s="793"/>
      <c r="B104" s="831"/>
      <c r="C104" s="622" t="s">
        <v>244</v>
      </c>
      <c r="D104" s="623" t="s">
        <v>243</v>
      </c>
      <c r="E104" s="565">
        <v>42490</v>
      </c>
      <c r="F104" s="547"/>
      <c r="G104" s="624">
        <v>0</v>
      </c>
      <c r="I104" s="620"/>
      <c r="J104" s="620"/>
      <c r="K104" s="620"/>
      <c r="L104" s="620"/>
      <c r="M104" s="620"/>
      <c r="N104" s="620"/>
    </row>
    <row r="105" spans="1:14" s="543" customFormat="1" ht="14.25" customHeight="1" thickTop="1" thickBot="1">
      <c r="A105" s="800"/>
      <c r="B105" s="805"/>
      <c r="C105" s="784" t="s">
        <v>128</v>
      </c>
      <c r="D105" s="785"/>
      <c r="E105" s="786"/>
      <c r="F105" s="540">
        <f>SUM(F103:F104)</f>
        <v>3464885.1159999999</v>
      </c>
      <c r="G105" s="541">
        <f>SUM(G103:G104)</f>
        <v>2138290</v>
      </c>
      <c r="H105" s="542"/>
      <c r="I105" s="625"/>
      <c r="J105" s="625"/>
      <c r="K105" s="625"/>
      <c r="L105" s="625"/>
      <c r="M105" s="625"/>
      <c r="N105" s="625"/>
    </row>
    <row r="106" spans="1:14" s="543" customFormat="1" ht="15" customHeight="1" thickBot="1">
      <c r="A106" s="799" t="s">
        <v>245</v>
      </c>
      <c r="B106" s="880">
        <v>8622311</v>
      </c>
      <c r="C106" s="537" t="s">
        <v>246</v>
      </c>
      <c r="D106" s="538" t="s">
        <v>247</v>
      </c>
      <c r="E106" s="539" t="s">
        <v>113</v>
      </c>
      <c r="F106" s="455">
        <f>12*184350</f>
        <v>2212200</v>
      </c>
      <c r="G106" s="456">
        <v>2570050</v>
      </c>
      <c r="H106" s="446"/>
    </row>
    <row r="107" spans="1:14" s="543" customFormat="1" ht="14.25" customHeight="1" thickTop="1" thickBot="1">
      <c r="A107" s="800"/>
      <c r="B107" s="881"/>
      <c r="C107" s="784" t="s">
        <v>128</v>
      </c>
      <c r="D107" s="785"/>
      <c r="E107" s="786"/>
      <c r="F107" s="540">
        <f>SUM(F106)</f>
        <v>2212200</v>
      </c>
      <c r="G107" s="541">
        <f>SUM(G106)</f>
        <v>2570050</v>
      </c>
      <c r="H107" s="542"/>
    </row>
    <row r="108" spans="1:14" ht="20.25" customHeight="1" thickBot="1">
      <c r="A108" s="799" t="s">
        <v>248</v>
      </c>
      <c r="B108" s="804">
        <v>8690421</v>
      </c>
      <c r="C108" s="566" t="s">
        <v>246</v>
      </c>
      <c r="D108" s="589" t="s">
        <v>249</v>
      </c>
      <c r="E108" s="568" t="s">
        <v>113</v>
      </c>
      <c r="F108" s="466">
        <f>(12*26200)*G3+39200</f>
        <v>358944.8</v>
      </c>
      <c r="G108" s="590">
        <v>392900</v>
      </c>
    </row>
    <row r="109" spans="1:14" s="543" customFormat="1" ht="14.25" customHeight="1" thickTop="1" thickBot="1">
      <c r="A109" s="800"/>
      <c r="B109" s="805"/>
      <c r="C109" s="784" t="s">
        <v>128</v>
      </c>
      <c r="D109" s="785"/>
      <c r="E109" s="786"/>
      <c r="F109" s="626">
        <f>SUM(F108)</f>
        <v>358944.8</v>
      </c>
      <c r="G109" s="541">
        <f>SUM(G108)</f>
        <v>392900</v>
      </c>
      <c r="H109" s="542"/>
    </row>
    <row r="110" spans="1:14" s="587" customFormat="1" ht="20.25" hidden="1" customHeight="1">
      <c r="A110" s="535"/>
      <c r="B110" s="621"/>
      <c r="C110" s="865"/>
      <c r="D110" s="865"/>
      <c r="E110" s="819"/>
      <c r="F110" s="782"/>
      <c r="G110" s="766"/>
      <c r="H110" s="585"/>
    </row>
    <row r="111" spans="1:14" ht="20.25" hidden="1" customHeight="1">
      <c r="A111" s="535"/>
      <c r="B111" s="621"/>
      <c r="C111" s="866"/>
      <c r="D111" s="866"/>
      <c r="E111" s="820"/>
      <c r="F111" s="783"/>
      <c r="G111" s="767"/>
    </row>
    <row r="112" spans="1:14" ht="20.25" customHeight="1" thickBot="1">
      <c r="A112" s="799" t="s">
        <v>250</v>
      </c>
      <c r="B112" s="801">
        <v>8821291</v>
      </c>
      <c r="C112" s="604" t="s">
        <v>288</v>
      </c>
      <c r="D112" s="444" t="s">
        <v>251</v>
      </c>
      <c r="E112" s="606">
        <v>41644</v>
      </c>
      <c r="F112" s="607">
        <v>556500</v>
      </c>
      <c r="G112" s="627">
        <v>1113000</v>
      </c>
    </row>
    <row r="113" spans="1:9" s="543" customFormat="1" ht="14.25" customHeight="1" thickTop="1" thickBot="1">
      <c r="A113" s="856"/>
      <c r="B113" s="861"/>
      <c r="C113" s="784" t="s">
        <v>128</v>
      </c>
      <c r="D113" s="785"/>
      <c r="E113" s="786"/>
      <c r="F113" s="540">
        <f>SUM(F110:F112)</f>
        <v>556500</v>
      </c>
      <c r="G113" s="541">
        <f>SUM(G110:G112)</f>
        <v>1113000</v>
      </c>
      <c r="H113" s="542"/>
    </row>
    <row r="114" spans="1:9" ht="26.25" thickBot="1">
      <c r="A114" s="799" t="s">
        <v>252</v>
      </c>
      <c r="B114" s="804">
        <v>8904311</v>
      </c>
      <c r="C114" s="566" t="s">
        <v>156</v>
      </c>
      <c r="D114" s="589" t="s">
        <v>253</v>
      </c>
      <c r="E114" s="568" t="s">
        <v>113</v>
      </c>
      <c r="F114" s="466">
        <f>(13*333333)*G3</f>
        <v>4406995.5929999994</v>
      </c>
      <c r="G114" s="590">
        <v>3666667</v>
      </c>
    </row>
    <row r="115" spans="1:9" s="543" customFormat="1" ht="14.25" customHeight="1" thickTop="1" thickBot="1">
      <c r="A115" s="800"/>
      <c r="B115" s="805"/>
      <c r="C115" s="784" t="s">
        <v>128</v>
      </c>
      <c r="D115" s="785"/>
      <c r="E115" s="786"/>
      <c r="F115" s="540">
        <f>SUM(F114)</f>
        <v>4406995.5929999994</v>
      </c>
      <c r="G115" s="541">
        <f>SUM(G114)</f>
        <v>3666667</v>
      </c>
      <c r="H115" s="542"/>
    </row>
    <row r="116" spans="1:9" s="543" customFormat="1" ht="14.25" customHeight="1" thickBot="1">
      <c r="A116" s="825" t="s">
        <v>289</v>
      </c>
      <c r="B116" s="823">
        <v>8904421</v>
      </c>
      <c r="C116" s="544" t="s">
        <v>142</v>
      </c>
      <c r="D116" s="545" t="s">
        <v>290</v>
      </c>
      <c r="E116" s="628">
        <v>41698</v>
      </c>
      <c r="F116" s="553">
        <v>192807</v>
      </c>
      <c r="G116" s="554" t="s">
        <v>274</v>
      </c>
      <c r="H116" s="542"/>
    </row>
    <row r="117" spans="1:9" s="543" customFormat="1" ht="14.25" customHeight="1" thickTop="1" thickBot="1">
      <c r="A117" s="882"/>
      <c r="B117" s="861"/>
      <c r="C117" s="784" t="s">
        <v>128</v>
      </c>
      <c r="D117" s="785"/>
      <c r="E117" s="786"/>
      <c r="F117" s="540">
        <f>SUM(F116)</f>
        <v>192807</v>
      </c>
      <c r="G117" s="541">
        <f>SUM(G116:G116)</f>
        <v>0</v>
      </c>
      <c r="H117" s="542"/>
    </row>
    <row r="118" spans="1:9" s="630" customFormat="1" ht="35.25" customHeight="1" thickBot="1">
      <c r="A118" s="854" t="s">
        <v>254</v>
      </c>
      <c r="B118" s="863">
        <v>9004001</v>
      </c>
      <c r="C118" s="576" t="s">
        <v>255</v>
      </c>
      <c r="D118" s="567" t="s">
        <v>291</v>
      </c>
      <c r="E118" s="568">
        <v>42735</v>
      </c>
      <c r="F118" s="466">
        <f>G118*G3</f>
        <v>1525499.9999999998</v>
      </c>
      <c r="G118" s="483">
        <f>1000000+500000</f>
        <v>1500000</v>
      </c>
      <c r="H118" s="629"/>
    </row>
    <row r="119" spans="1:9" s="630" customFormat="1" ht="14.25" customHeight="1" thickTop="1" thickBot="1">
      <c r="A119" s="795"/>
      <c r="B119" s="797"/>
      <c r="C119" s="784" t="s">
        <v>128</v>
      </c>
      <c r="D119" s="785"/>
      <c r="E119" s="786"/>
      <c r="F119" s="540">
        <f>SUM(F118)</f>
        <v>1525499.9999999998</v>
      </c>
      <c r="G119" s="541">
        <f>SUM(G118)</f>
        <v>1500000</v>
      </c>
      <c r="H119" s="631"/>
    </row>
    <row r="120" spans="1:9" s="587" customFormat="1" ht="13.5" thickBot="1">
      <c r="A120" s="799" t="s">
        <v>256</v>
      </c>
      <c r="B120" s="804">
        <v>9105025</v>
      </c>
      <c r="C120" s="537" t="s">
        <v>255</v>
      </c>
      <c r="D120" s="538" t="s">
        <v>257</v>
      </c>
      <c r="E120" s="539">
        <v>42735</v>
      </c>
      <c r="F120" s="547">
        <f>G120*G3</f>
        <v>41249977.649999999</v>
      </c>
      <c r="G120" s="624">
        <v>40560450</v>
      </c>
      <c r="H120" s="585"/>
    </row>
    <row r="121" spans="1:9" s="543" customFormat="1" ht="14.25" thickTop="1" thickBot="1">
      <c r="A121" s="795"/>
      <c r="B121" s="831"/>
      <c r="C121" s="784" t="s">
        <v>128</v>
      </c>
      <c r="D121" s="785"/>
      <c r="E121" s="786"/>
      <c r="F121" s="540">
        <f>SUM(F120:F120)</f>
        <v>41249977.649999999</v>
      </c>
      <c r="G121" s="541">
        <f>SUM(G120:G120)</f>
        <v>40560450</v>
      </c>
      <c r="H121" s="542"/>
    </row>
    <row r="122" spans="1:9">
      <c r="A122" s="799" t="s">
        <v>258</v>
      </c>
      <c r="B122" s="823">
        <v>9311021</v>
      </c>
      <c r="C122" s="570" t="s">
        <v>151</v>
      </c>
      <c r="D122" s="571" t="s">
        <v>259</v>
      </c>
      <c r="E122" s="572" t="s">
        <v>113</v>
      </c>
      <c r="F122" s="432">
        <f>G122*G3</f>
        <v>6891121.8269999996</v>
      </c>
      <c r="G122" s="433">
        <f>6775616+315</f>
        <v>6775931</v>
      </c>
    </row>
    <row r="123" spans="1:9" ht="26.25" thickBot="1">
      <c r="A123" s="862"/>
      <c r="B123" s="860"/>
      <c r="C123" s="537" t="s">
        <v>260</v>
      </c>
      <c r="D123" s="623" t="s">
        <v>261</v>
      </c>
      <c r="E123" s="632" t="s">
        <v>113</v>
      </c>
      <c r="F123" s="547">
        <f>G123*G3</f>
        <v>7447766.6069999989</v>
      </c>
      <c r="G123" s="624">
        <v>7323271</v>
      </c>
      <c r="I123" s="446"/>
    </row>
    <row r="124" spans="1:9" s="543" customFormat="1" ht="14.25" customHeight="1" thickTop="1" thickBot="1">
      <c r="A124" s="856"/>
      <c r="B124" s="861"/>
      <c r="C124" s="784" t="s">
        <v>128</v>
      </c>
      <c r="D124" s="785"/>
      <c r="E124" s="786"/>
      <c r="F124" s="540">
        <f>SUM(F122:F123)</f>
        <v>14338888.433999998</v>
      </c>
      <c r="G124" s="541">
        <f>SUM(G122:G123)</f>
        <v>14099202</v>
      </c>
      <c r="H124" s="542"/>
    </row>
    <row r="125" spans="1:9" ht="13.5" thickBot="1">
      <c r="A125" s="857" t="s">
        <v>442</v>
      </c>
      <c r="B125" s="858"/>
      <c r="C125" s="858"/>
      <c r="D125" s="858"/>
      <c r="E125" s="859"/>
      <c r="F125" s="633">
        <f>F124+F121+F119+F117+F115+F113+F109+F107+F105+F102+F98+F96+F91+F76+F72+F70+F68+F62+F57+F53+F51+F32+F25+F18+F15+F11+F8+F20</f>
        <v>250053739.0658181</v>
      </c>
      <c r="G125" s="633">
        <f>G124+G121+G119+G117+G115+G113+G109+G107+G105+G102+G98+G96+G91+G76+G72+G70+G68+G62+G57+G53+G51+G32+G25+G18+G15+G11+G8+G20</f>
        <v>402828034</v>
      </c>
    </row>
    <row r="126" spans="1:9" ht="13.5" thickBot="1">
      <c r="C126" s="615"/>
      <c r="D126" s="616"/>
      <c r="E126" s="617"/>
      <c r="F126" s="634"/>
    </row>
    <row r="127" spans="1:9" ht="13.5" thickBot="1">
      <c r="C127" s="615"/>
      <c r="D127" s="616"/>
      <c r="E127" s="635"/>
      <c r="F127" s="634"/>
    </row>
    <row r="128" spans="1:9">
      <c r="C128" s="615"/>
      <c r="D128" s="616"/>
      <c r="E128" s="574"/>
      <c r="F128" s="634"/>
    </row>
    <row r="129" spans="3:8">
      <c r="C129" s="615"/>
      <c r="D129" s="616"/>
      <c r="E129" s="574"/>
      <c r="F129" s="634"/>
    </row>
    <row r="130" spans="3:8">
      <c r="C130" s="615"/>
      <c r="D130" s="636"/>
      <c r="E130" s="574"/>
      <c r="F130" s="634"/>
    </row>
    <row r="131" spans="3:8">
      <c r="C131" s="615"/>
      <c r="D131" s="636"/>
      <c r="E131" s="574"/>
      <c r="F131" s="634"/>
    </row>
    <row r="132" spans="3:8">
      <c r="C132" s="615"/>
      <c r="D132" s="636"/>
      <c r="E132" s="574"/>
      <c r="F132" s="634"/>
    </row>
    <row r="133" spans="3:8">
      <c r="C133" s="615"/>
      <c r="D133" s="636"/>
      <c r="E133" s="574"/>
      <c r="F133" s="634"/>
    </row>
    <row r="134" spans="3:8">
      <c r="C134" s="615"/>
      <c r="D134" s="636"/>
      <c r="E134" s="574"/>
      <c r="F134" s="634"/>
      <c r="H134" s="542"/>
    </row>
    <row r="135" spans="3:8">
      <c r="C135" s="615"/>
      <c r="D135" s="636"/>
      <c r="E135" s="574"/>
      <c r="F135" s="634"/>
    </row>
    <row r="136" spans="3:8">
      <c r="C136" s="615"/>
      <c r="D136" s="636"/>
      <c r="E136" s="574"/>
      <c r="F136" s="634"/>
    </row>
    <row r="137" spans="3:8">
      <c r="C137" s="615"/>
      <c r="D137" s="636"/>
      <c r="E137" s="574"/>
      <c r="F137" s="634"/>
    </row>
    <row r="138" spans="3:8">
      <c r="C138" s="615"/>
      <c r="D138" s="636"/>
      <c r="E138" s="574"/>
      <c r="F138" s="634"/>
    </row>
    <row r="139" spans="3:8">
      <c r="C139" s="615"/>
      <c r="D139" s="636"/>
      <c r="E139" s="574"/>
      <c r="F139" s="634"/>
    </row>
    <row r="140" spans="3:8">
      <c r="C140" s="615"/>
      <c r="D140" s="636"/>
      <c r="E140" s="574"/>
      <c r="F140" s="634"/>
    </row>
    <row r="141" spans="3:8">
      <c r="C141" s="615"/>
      <c r="D141" s="616"/>
      <c r="E141" s="574"/>
      <c r="F141" s="634"/>
    </row>
    <row r="142" spans="3:8">
      <c r="E142" s="517"/>
    </row>
    <row r="143" spans="3:8">
      <c r="E143" s="517"/>
    </row>
    <row r="144" spans="3:8">
      <c r="E144" s="517"/>
    </row>
    <row r="145" spans="5:5">
      <c r="E145" s="517"/>
    </row>
    <row r="146" spans="5:5">
      <c r="E146" s="517"/>
    </row>
    <row r="147" spans="5:5">
      <c r="E147" s="517"/>
    </row>
    <row r="148" spans="5:5">
      <c r="E148" s="517"/>
    </row>
    <row r="149" spans="5:5">
      <c r="E149" s="517"/>
    </row>
    <row r="150" spans="5:5">
      <c r="E150" s="517"/>
    </row>
    <row r="151" spans="5:5">
      <c r="E151" s="517"/>
    </row>
    <row r="152" spans="5:5">
      <c r="E152" s="517"/>
    </row>
    <row r="153" spans="5:5">
      <c r="E153" s="517"/>
    </row>
    <row r="154" spans="5:5">
      <c r="E154" s="517"/>
    </row>
    <row r="155" spans="5:5">
      <c r="E155" s="517"/>
    </row>
    <row r="156" spans="5:5">
      <c r="E156" s="517"/>
    </row>
    <row r="157" spans="5:5">
      <c r="E157" s="517"/>
    </row>
    <row r="158" spans="5:5">
      <c r="E158" s="517"/>
    </row>
    <row r="159" spans="5:5">
      <c r="E159" s="517"/>
    </row>
    <row r="160" spans="5:5">
      <c r="E160" s="517"/>
    </row>
    <row r="161" spans="5:10">
      <c r="E161" s="517"/>
    </row>
    <row r="162" spans="5:10">
      <c r="E162" s="517"/>
    </row>
    <row r="163" spans="5:10">
      <c r="J163" s="542"/>
    </row>
    <row r="169" spans="5:10">
      <c r="G169" s="542"/>
    </row>
    <row r="174" spans="5:10">
      <c r="G174" s="542"/>
    </row>
    <row r="176" spans="5:10" ht="13.5">
      <c r="G176" s="637"/>
    </row>
    <row r="179" spans="5:6">
      <c r="E179" s="517"/>
    </row>
    <row r="186" spans="5:6" ht="13.5">
      <c r="F186" s="638"/>
    </row>
    <row r="188" spans="5:6">
      <c r="F188" s="639"/>
    </row>
    <row r="189" spans="5:6">
      <c r="E189" s="640"/>
    </row>
    <row r="194" spans="6:6">
      <c r="F194" s="639"/>
    </row>
    <row r="263" spans="3:5">
      <c r="C263" s="516"/>
      <c r="D263" s="641"/>
    </row>
    <row r="264" spans="3:5">
      <c r="C264" s="642"/>
      <c r="D264" s="642"/>
      <c r="E264" s="517"/>
    </row>
    <row r="265" spans="3:5">
      <c r="C265" s="642"/>
      <c r="D265" s="642"/>
      <c r="E265" s="517"/>
    </row>
    <row r="266" spans="3:5">
      <c r="C266" s="642"/>
      <c r="D266" s="642"/>
      <c r="E266" s="517"/>
    </row>
    <row r="267" spans="3:5">
      <c r="C267" s="642"/>
      <c r="D267" s="642"/>
      <c r="E267" s="517"/>
    </row>
    <row r="268" spans="3:5">
      <c r="C268" s="642"/>
      <c r="D268" s="642"/>
      <c r="E268" s="517"/>
    </row>
    <row r="269" spans="3:5">
      <c r="C269" s="642"/>
      <c r="D269" s="642"/>
      <c r="E269" s="517"/>
    </row>
    <row r="270" spans="3:5">
      <c r="C270" s="642"/>
      <c r="D270" s="642"/>
      <c r="E270" s="517"/>
    </row>
    <row r="271" spans="3:5">
      <c r="C271" s="642"/>
      <c r="D271" s="642"/>
      <c r="E271" s="517"/>
    </row>
    <row r="272" spans="3:5">
      <c r="C272" s="642"/>
      <c r="D272" s="642"/>
      <c r="E272" s="517"/>
    </row>
    <row r="273" spans="3:5">
      <c r="C273" s="642"/>
      <c r="D273" s="642"/>
      <c r="E273" s="517"/>
    </row>
    <row r="274" spans="3:5">
      <c r="C274" s="642"/>
      <c r="D274" s="642"/>
      <c r="E274" s="517"/>
    </row>
    <row r="275" spans="3:5">
      <c r="C275" s="642"/>
      <c r="D275" s="642"/>
      <c r="E275" s="517"/>
    </row>
    <row r="276" spans="3:5">
      <c r="C276" s="642"/>
      <c r="D276" s="642"/>
      <c r="E276" s="517"/>
    </row>
    <row r="277" spans="3:5">
      <c r="C277" s="642"/>
      <c r="D277" s="643"/>
      <c r="E277" s="640"/>
    </row>
    <row r="278" spans="3:5">
      <c r="C278" s="642"/>
      <c r="D278" s="642"/>
      <c r="E278" s="517"/>
    </row>
    <row r="279" spans="3:5">
      <c r="C279" s="642"/>
      <c r="D279" s="642"/>
      <c r="E279" s="517"/>
    </row>
    <row r="280" spans="3:5">
      <c r="C280" s="642"/>
      <c r="D280" s="642"/>
      <c r="E280" s="517"/>
    </row>
    <row r="281" spans="3:5">
      <c r="C281" s="642"/>
      <c r="D281" s="642"/>
      <c r="E281" s="517"/>
    </row>
    <row r="282" spans="3:5">
      <c r="C282" s="643"/>
      <c r="D282" s="642"/>
      <c r="E282" s="517"/>
    </row>
    <row r="283" spans="3:5">
      <c r="C283" s="642"/>
      <c r="D283" s="642"/>
      <c r="E283" s="517"/>
    </row>
    <row r="284" spans="3:5">
      <c r="C284" s="642"/>
      <c r="D284" s="642"/>
      <c r="E284" s="517"/>
    </row>
    <row r="285" spans="3:5">
      <c r="C285" s="642"/>
      <c r="D285" s="642"/>
      <c r="E285" s="517"/>
    </row>
    <row r="286" spans="3:5">
      <c r="C286" s="642"/>
      <c r="D286" s="642"/>
      <c r="E286" s="517"/>
    </row>
    <row r="287" spans="3:5">
      <c r="C287" s="642"/>
      <c r="D287" s="642"/>
      <c r="E287" s="517"/>
    </row>
    <row r="289" spans="3:5">
      <c r="C289" s="516"/>
      <c r="D289" s="644"/>
    </row>
    <row r="290" spans="3:5">
      <c r="C290" s="642"/>
      <c r="D290" s="645"/>
      <c r="E290" s="517"/>
    </row>
    <row r="291" spans="3:5">
      <c r="C291" s="642"/>
      <c r="D291" s="645"/>
      <c r="E291" s="517"/>
    </row>
    <row r="292" spans="3:5">
      <c r="C292" s="642"/>
      <c r="D292" s="645"/>
      <c r="E292" s="517"/>
    </row>
    <row r="293" spans="3:5">
      <c r="C293" s="642"/>
      <c r="D293" s="645"/>
      <c r="E293" s="517"/>
    </row>
    <row r="294" spans="3:5">
      <c r="C294" s="642"/>
      <c r="D294" s="645"/>
      <c r="E294" s="517"/>
    </row>
    <row r="295" spans="3:5">
      <c r="C295" s="642"/>
      <c r="D295" s="645"/>
      <c r="E295" s="517"/>
    </row>
    <row r="296" spans="3:5">
      <c r="C296" s="642"/>
      <c r="D296" s="645"/>
      <c r="E296" s="517"/>
    </row>
    <row r="297" spans="3:5">
      <c r="C297" s="642"/>
      <c r="D297" s="645"/>
      <c r="E297" s="517"/>
    </row>
    <row r="298" spans="3:5">
      <c r="C298" s="642"/>
      <c r="D298" s="645"/>
      <c r="E298" s="517"/>
    </row>
    <row r="299" spans="3:5">
      <c r="C299" s="642"/>
      <c r="D299" s="645"/>
      <c r="E299" s="517"/>
    </row>
    <row r="300" spans="3:5">
      <c r="C300" s="642"/>
      <c r="D300" s="645"/>
      <c r="E300" s="517"/>
    </row>
    <row r="301" spans="3:5">
      <c r="C301" s="642"/>
      <c r="D301" s="645"/>
      <c r="E301" s="517"/>
    </row>
    <row r="302" spans="3:5">
      <c r="C302" s="642"/>
      <c r="D302" s="645"/>
      <c r="E302" s="517"/>
    </row>
    <row r="303" spans="3:5">
      <c r="C303" s="642"/>
      <c r="D303" s="645"/>
      <c r="E303" s="517"/>
    </row>
    <row r="304" spans="3:5">
      <c r="C304" s="642"/>
      <c r="D304" s="645"/>
      <c r="E304" s="517"/>
    </row>
    <row r="305" spans="3:5">
      <c r="C305" s="642"/>
      <c r="D305" s="645"/>
      <c r="E305" s="517"/>
    </row>
    <row r="306" spans="3:5">
      <c r="C306" s="642"/>
      <c r="D306" s="645"/>
      <c r="E306" s="517"/>
    </row>
    <row r="307" spans="3:5">
      <c r="C307" s="642"/>
      <c r="D307" s="645"/>
      <c r="E307" s="517"/>
    </row>
    <row r="308" spans="3:5">
      <c r="C308" s="642"/>
      <c r="D308" s="645"/>
      <c r="E308" s="517"/>
    </row>
    <row r="309" spans="3:5">
      <c r="C309" s="643"/>
      <c r="D309" s="646"/>
      <c r="E309" s="640"/>
    </row>
  </sheetData>
  <mergeCells count="126">
    <mergeCell ref="B116:B117"/>
    <mergeCell ref="C117:E117"/>
    <mergeCell ref="A116:A117"/>
    <mergeCell ref="B77:B91"/>
    <mergeCell ref="B112:B113"/>
    <mergeCell ref="C72:E72"/>
    <mergeCell ref="A71:A72"/>
    <mergeCell ref="B71:B72"/>
    <mergeCell ref="A54:A57"/>
    <mergeCell ref="A106:A107"/>
    <mergeCell ref="C113:E113"/>
    <mergeCell ref="B108:B109"/>
    <mergeCell ref="C109:E109"/>
    <mergeCell ref="A73:A76"/>
    <mergeCell ref="E99:E100"/>
    <mergeCell ref="B106:B107"/>
    <mergeCell ref="B73:B76"/>
    <mergeCell ref="A63:A68"/>
    <mergeCell ref="B63:B68"/>
    <mergeCell ref="A125:E125"/>
    <mergeCell ref="A120:A121"/>
    <mergeCell ref="B120:B121"/>
    <mergeCell ref="C121:E121"/>
    <mergeCell ref="C124:E124"/>
    <mergeCell ref="B122:B124"/>
    <mergeCell ref="A122:A124"/>
    <mergeCell ref="B118:B119"/>
    <mergeCell ref="C119:E119"/>
    <mergeCell ref="A118:A119"/>
    <mergeCell ref="A99:A102"/>
    <mergeCell ref="A69:A70"/>
    <mergeCell ref="A92:A96"/>
    <mergeCell ref="A103:A105"/>
    <mergeCell ref="A108:A109"/>
    <mergeCell ref="A114:A115"/>
    <mergeCell ref="A97:A98"/>
    <mergeCell ref="A77:A91"/>
    <mergeCell ref="A112:A113"/>
    <mergeCell ref="F4:F5"/>
    <mergeCell ref="G4:G5"/>
    <mergeCell ref="A4:B4"/>
    <mergeCell ref="C4:C5"/>
    <mergeCell ref="D4:D5"/>
    <mergeCell ref="E4:E5"/>
    <mergeCell ref="B16:B18"/>
    <mergeCell ref="B9:B11"/>
    <mergeCell ref="A16:A18"/>
    <mergeCell ref="B12:B15"/>
    <mergeCell ref="A9:A11"/>
    <mergeCell ref="A12:A15"/>
    <mergeCell ref="C8:E8"/>
    <mergeCell ref="C11:E11"/>
    <mergeCell ref="C115:E115"/>
    <mergeCell ref="B114:B115"/>
    <mergeCell ref="E110:E111"/>
    <mergeCell ref="B92:B96"/>
    <mergeCell ref="C96:E96"/>
    <mergeCell ref="B69:B70"/>
    <mergeCell ref="B97:B98"/>
    <mergeCell ref="C91:E91"/>
    <mergeCell ref="A6:A8"/>
    <mergeCell ref="B6:B8"/>
    <mergeCell ref="C107:E107"/>
    <mergeCell ref="C105:E105"/>
    <mergeCell ref="B103:B105"/>
    <mergeCell ref="B99:B102"/>
    <mergeCell ref="B21:B25"/>
    <mergeCell ref="A21:A25"/>
    <mergeCell ref="A19:A20"/>
    <mergeCell ref="B19:B20"/>
    <mergeCell ref="C102:E102"/>
    <mergeCell ref="C99:C100"/>
    <mergeCell ref="C110:C111"/>
    <mergeCell ref="D110:D111"/>
    <mergeCell ref="D99:D100"/>
    <mergeCell ref="D33:D35"/>
    <mergeCell ref="C98:E98"/>
    <mergeCell ref="C92:C93"/>
    <mergeCell ref="D92:D93"/>
    <mergeCell ref="E92:E93"/>
    <mergeCell ref="C57:E57"/>
    <mergeCell ref="C76:E76"/>
    <mergeCell ref="C70:E70"/>
    <mergeCell ref="C26:C28"/>
    <mergeCell ref="E26:E28"/>
    <mergeCell ref="E33:E35"/>
    <mergeCell ref="D26:D28"/>
    <mergeCell ref="C32:E32"/>
    <mergeCell ref="C25:E25"/>
    <mergeCell ref="C15:E15"/>
    <mergeCell ref="D23:D24"/>
    <mergeCell ref="E23:E24"/>
    <mergeCell ref="C18:E18"/>
    <mergeCell ref="C20:E20"/>
    <mergeCell ref="C53:E53"/>
    <mergeCell ref="C68:E68"/>
    <mergeCell ref="A29:A32"/>
    <mergeCell ref="B29:B32"/>
    <mergeCell ref="A58:A62"/>
    <mergeCell ref="B33:B51"/>
    <mergeCell ref="A52:A53"/>
    <mergeCell ref="A33:A51"/>
    <mergeCell ref="C51:E51"/>
    <mergeCell ref="C62:E62"/>
    <mergeCell ref="B52:B53"/>
    <mergeCell ref="B58:B62"/>
    <mergeCell ref="C33:C35"/>
    <mergeCell ref="C23:C24"/>
    <mergeCell ref="C21:C22"/>
    <mergeCell ref="D21:D22"/>
    <mergeCell ref="E21:E22"/>
    <mergeCell ref="B54:B57"/>
    <mergeCell ref="G110:G111"/>
    <mergeCell ref="G33:G35"/>
    <mergeCell ref="F99:F100"/>
    <mergeCell ref="F21:F22"/>
    <mergeCell ref="F92:F93"/>
    <mergeCell ref="G21:G22"/>
    <mergeCell ref="G23:G24"/>
    <mergeCell ref="F26:F28"/>
    <mergeCell ref="F23:F24"/>
    <mergeCell ref="F110:F111"/>
    <mergeCell ref="G99:G100"/>
    <mergeCell ref="F33:F35"/>
    <mergeCell ref="G92:G93"/>
    <mergeCell ref="G26:G28"/>
  </mergeCells>
  <phoneticPr fontId="25" type="noConversion"/>
  <printOptions horizontalCentered="1"/>
  <pageMargins left="0.23622047244094491" right="0.19685039370078741" top="0.35433070866141736" bottom="0.39370078740157483" header="0.15748031496062992" footer="0.11811023622047245"/>
  <pageSetup paperSize="9" scale="60" orientation="portrait" r:id="rId1"/>
  <headerFooter alignWithMargins="0">
    <oddHeader>&amp;C&amp;"Times New Roman,Félkövér"&amp;13Több évre kihatással járó kötelezettségvállalások 2013-2014. évi kifizetései</oddHeader>
    <oddFooter>&amp;P. oldal, összesen: &amp;N</oddFooter>
  </headerFooter>
  <rowBreaks count="1" manualBreakCount="1">
    <brk id="91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17</vt:i4>
      </vt:variant>
    </vt:vector>
  </HeadingPairs>
  <TitlesOfParts>
    <vt:vector size="33" baseType="lpstr">
      <vt:lpstr>bevétel 1.sz.</vt:lpstr>
      <vt:lpstr>kiadás 2.sz. </vt:lpstr>
      <vt:lpstr>2.a Gyermekvilág Óvoda</vt:lpstr>
      <vt:lpstr>2.b KÖH</vt:lpstr>
      <vt:lpstr>3. sz. létszám</vt:lpstr>
      <vt:lpstr>4. melléklet</vt:lpstr>
      <vt:lpstr>5.a melléklet-hitelek</vt:lpstr>
      <vt:lpstr>5.b melléklet-kezességv.</vt:lpstr>
      <vt:lpstr>5.c melléklet-szerződések-ÖK</vt:lpstr>
      <vt:lpstr>5.c melléklet-szerződések-PH</vt:lpstr>
      <vt:lpstr>6. melléklet</vt:lpstr>
      <vt:lpstr>7. melléklet</vt:lpstr>
      <vt:lpstr>8. melléklet</vt:lpstr>
      <vt:lpstr>8.a melléklet</vt:lpstr>
      <vt:lpstr>9. melléklet</vt:lpstr>
      <vt:lpstr>10. melléklet EU</vt:lpstr>
      <vt:lpstr>'10. melléklet EU'!Nyomtatási_cím</vt:lpstr>
      <vt:lpstr>'2.a Gyermekvilág Óvoda'!Nyomtatási_cím</vt:lpstr>
      <vt:lpstr>'2.b KÖH'!Nyomtatási_cím</vt:lpstr>
      <vt:lpstr>'5.c melléklet-szerződések-ÖK'!Nyomtatási_cím</vt:lpstr>
      <vt:lpstr>'5.c melléklet-szerződések-PH'!Nyomtatási_cím</vt:lpstr>
      <vt:lpstr>'bevétel 1.sz.'!Nyomtatási_cím</vt:lpstr>
      <vt:lpstr>'kiadás 2.sz. '!Nyomtatási_cím</vt:lpstr>
      <vt:lpstr>'10. melléklet EU'!Nyomtatási_terület</vt:lpstr>
      <vt:lpstr>'2.a Gyermekvilág Óvoda'!Nyomtatási_terület</vt:lpstr>
      <vt:lpstr>'2.b KÖH'!Nyomtatási_terület</vt:lpstr>
      <vt:lpstr>'3. sz. létszám'!Nyomtatási_terület</vt:lpstr>
      <vt:lpstr>'5.b melléklet-kezességv.'!Nyomtatási_terület</vt:lpstr>
      <vt:lpstr>'5.c melléklet-szerződések-ÖK'!Nyomtatási_terület</vt:lpstr>
      <vt:lpstr>'5.c melléklet-szerződések-PH'!Nyomtatási_terület</vt:lpstr>
      <vt:lpstr>'8.a melléklet'!Nyomtatási_terület</vt:lpstr>
      <vt:lpstr>'bevétel 1.sz.'!Nyomtatási_terület</vt:lpstr>
      <vt:lpstr>'kiadás 2.sz.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Babati</cp:lastModifiedBy>
  <cp:lastPrinted>2014-03-05T10:11:55Z</cp:lastPrinted>
  <dcterms:created xsi:type="dcterms:W3CDTF">2009-01-15T09:14:34Z</dcterms:created>
  <dcterms:modified xsi:type="dcterms:W3CDTF">2014-10-31T08:52:54Z</dcterms:modified>
</cp:coreProperties>
</file>