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kument\word\Anikó\A testület\képviselő testület\rendeletek\2020\"/>
    </mc:Choice>
  </mc:AlternateContent>
  <xr:revisionPtr revIDLastSave="0" documentId="13_ncr:1_{66487663-5B1B-43F4-AD59-2692081FD628}" xr6:coauthVersionLast="45" xr6:coauthVersionMax="45" xr10:uidLastSave="{00000000-0000-0000-0000-000000000000}"/>
  <bookViews>
    <workbookView xWindow="-120" yWindow="-120" windowWidth="19440" windowHeight="15000" tabRatio="848" firstSheet="15" activeTab="21" xr2:uid="{00000000-000D-0000-FFFF-FFFF00000000}"/>
  </bookViews>
  <sheets>
    <sheet name="2019.telj.-Bev-Önk" sheetId="34" state="hidden" r:id="rId1"/>
    <sheet name="2019.telj.-Kiad-Önk" sheetId="35" state="hidden" r:id="rId2"/>
    <sheet name="2019.telj.- Bev.Hiv." sheetId="36" state="hidden" r:id="rId3"/>
    <sheet name="2019.telj.Kiad.Hiv." sheetId="39" state="hidden" r:id="rId4"/>
    <sheet name="2019.telj.Bev.Ovi" sheetId="41" state="hidden" r:id="rId5"/>
    <sheet name="2019.telj.Kiad.Ovi" sheetId="40" state="hidden" r:id="rId6"/>
    <sheet name="2019.telj.Bev.Műv." sheetId="38" state="hidden" r:id="rId7"/>
    <sheet name="2019.telj.Kiad.Műv." sheetId="37" state="hidden" r:id="rId8"/>
    <sheet name="1. sz.melléklet" sheetId="3" r:id="rId9"/>
    <sheet name="2. sz. melléklet" sheetId="2" r:id="rId10"/>
    <sheet name="3. sz. melléklet" sheetId="18" r:id="rId11"/>
    <sheet name="4.sz.melléklet" sheetId="23" r:id="rId12"/>
    <sheet name="5.sz.melléklet" sheetId="24" r:id="rId13"/>
    <sheet name="6. sz.melléklet" sheetId="5" r:id="rId14"/>
    <sheet name="7.sz. melléklet" sheetId="21" r:id="rId15"/>
    <sheet name="8.sz. melléklet" sheetId="22" r:id="rId16"/>
    <sheet name="9.sz. melléklet" sheetId="33" r:id="rId17"/>
    <sheet name="10-11.sz.melléklet" sheetId="25" r:id="rId18"/>
    <sheet name="12. sz. melléklet" sheetId="26" r:id="rId19"/>
    <sheet name="13.sz. melléklet" sheetId="27" r:id="rId20"/>
    <sheet name="14.sz. melléklet" sheetId="42" r:id="rId21"/>
    <sheet name="15.sz. melléklet" sheetId="43" r:id="rId22"/>
  </sheets>
  <externalReferences>
    <externalReference r:id="rId23"/>
    <externalReference r:id="rId24"/>
    <externalReference r:id="rId25"/>
    <externalReference r:id="rId26"/>
  </externalReferences>
  <definedNames>
    <definedName name="_xlnm.Print_Area" localSheetId="8">'1. sz.melléklet'!$A$1:$H$28</definedName>
    <definedName name="_xlnm.Print_Area" localSheetId="17">'10-11.sz.melléklet'!$A$1:$E$41</definedName>
    <definedName name="_xlnm.Print_Area" localSheetId="19">'13.sz. melléklet'!#REF!</definedName>
    <definedName name="_xlnm.Print_Area" localSheetId="20">'14.sz. melléklet'!#REF!</definedName>
    <definedName name="_xlnm.Print_Area" localSheetId="21">'15.sz. melléklet'!#REF!</definedName>
    <definedName name="_xlnm.Print_Area" localSheetId="9">'2. sz. melléklet'!$A$1:$E$64</definedName>
    <definedName name="_xlnm.Print_Area" localSheetId="1">'2019.telj.-Kiad-Önk'!#REF!</definedName>
    <definedName name="_xlnm.Print_Area" localSheetId="10">'3. sz. melléklet'!$A$1:$D$17</definedName>
    <definedName name="_xlnm.Print_Area" localSheetId="12">'5.sz.melléklet'!$A$1:$O$33</definedName>
    <definedName name="_xlnm.Print_Area" localSheetId="13">'6. sz.melléklet'!$A$1:$F$32</definedName>
    <definedName name="_xlnm.Print_Area" localSheetId="14">'7.sz. melléklet'!$A$1:$F$41</definedName>
    <definedName name="_xlnm.Print_Area" localSheetId="15">'8.sz. melléklet'!$A$1:$F$48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7" i="43" l="1"/>
  <c r="L17" i="43" s="1"/>
  <c r="G17" i="43"/>
  <c r="F17" i="43" s="1"/>
  <c r="L15" i="43"/>
  <c r="G15" i="43"/>
  <c r="E15" i="43" s="1"/>
  <c r="N14" i="43"/>
  <c r="L14" i="43" s="1"/>
  <c r="G14" i="43"/>
  <c r="E14" i="43" s="1"/>
  <c r="F14" i="43"/>
  <c r="N13" i="43"/>
  <c r="M13" i="43" s="1"/>
  <c r="G13" i="43"/>
  <c r="G16" i="43" s="1"/>
  <c r="N12" i="43"/>
  <c r="M12" i="43" s="1"/>
  <c r="E13" i="43" l="1"/>
  <c r="E17" i="43"/>
  <c r="F15" i="43"/>
  <c r="M14" i="43"/>
  <c r="L12" i="43"/>
  <c r="E16" i="43"/>
  <c r="G18" i="43"/>
  <c r="F16" i="43"/>
  <c r="N16" i="43"/>
  <c r="L13" i="43"/>
  <c r="L16" i="43" s="1"/>
  <c r="L18" i="43" s="1"/>
  <c r="F18" i="43" l="1"/>
  <c r="E18" i="43"/>
  <c r="N18" i="43"/>
  <c r="M18" i="43" s="1"/>
  <c r="M16" i="43"/>
  <c r="C23" i="42" l="1"/>
  <c r="N18" i="42"/>
  <c r="M18" i="42" s="1"/>
  <c r="G18" i="42"/>
  <c r="F18" i="42" s="1"/>
  <c r="J17" i="42"/>
  <c r="J19" i="42" s="1"/>
  <c r="C17" i="42"/>
  <c r="C19" i="42" s="1"/>
  <c r="G16" i="42"/>
  <c r="F16" i="42" s="1"/>
  <c r="N15" i="42"/>
  <c r="M15" i="42" s="1"/>
  <c r="G15" i="42"/>
  <c r="F15" i="42" s="1"/>
  <c r="N14" i="42"/>
  <c r="M14" i="42" s="1"/>
  <c r="G14" i="42"/>
  <c r="F14" i="42" s="1"/>
  <c r="N13" i="42"/>
  <c r="M13" i="42" s="1"/>
  <c r="G13" i="42"/>
  <c r="F13" i="42" s="1"/>
  <c r="E13" i="42" l="1"/>
  <c r="L15" i="42"/>
  <c r="L13" i="42"/>
  <c r="E15" i="42"/>
  <c r="L18" i="42"/>
  <c r="G17" i="42"/>
  <c r="N17" i="42"/>
  <c r="L14" i="42"/>
  <c r="E18" i="42"/>
  <c r="E14" i="42"/>
  <c r="E16" i="42"/>
  <c r="L17" i="42" l="1"/>
  <c r="L19" i="42" s="1"/>
  <c r="M17" i="42"/>
  <c r="N19" i="42"/>
  <c r="M19" i="42" s="1"/>
  <c r="F17" i="42"/>
  <c r="G19" i="42"/>
  <c r="E17" i="42"/>
  <c r="F19" i="42" l="1"/>
  <c r="E19" i="42"/>
  <c r="N19" i="27" l="1"/>
  <c r="L19" i="27" s="1"/>
  <c r="G19" i="27"/>
  <c r="F19" i="27" s="1"/>
  <c r="G17" i="27"/>
  <c r="F17" i="27" s="1"/>
  <c r="G16" i="27"/>
  <c r="F16" i="27" s="1"/>
  <c r="N15" i="27"/>
  <c r="M15" i="27" s="1"/>
  <c r="G15" i="27"/>
  <c r="E15" i="27" s="1"/>
  <c r="N14" i="27"/>
  <c r="M14" i="27" s="1"/>
  <c r="G14" i="27"/>
  <c r="F14" i="27" s="1"/>
  <c r="N13" i="27"/>
  <c r="M13" i="27" s="1"/>
  <c r="G13" i="27"/>
  <c r="E13" i="27" s="1"/>
  <c r="L14" i="27" l="1"/>
  <c r="E19" i="27"/>
  <c r="F15" i="27"/>
  <c r="E17" i="27"/>
  <c r="E14" i="27"/>
  <c r="F13" i="27"/>
  <c r="E16" i="27"/>
  <c r="G18" i="27"/>
  <c r="L15" i="27"/>
  <c r="N18" i="27"/>
  <c r="L13" i="27"/>
  <c r="N20" i="27" l="1"/>
  <c r="M18" i="27"/>
  <c r="L18" i="27"/>
  <c r="E18" i="27"/>
  <c r="G20" i="27"/>
  <c r="F18" i="27"/>
  <c r="F20" i="27" l="1"/>
  <c r="E20" i="27"/>
  <c r="M20" i="27"/>
  <c r="L20" i="27"/>
  <c r="N21" i="26" l="1"/>
  <c r="L21" i="26" s="1"/>
  <c r="M21" i="26"/>
  <c r="N20" i="26"/>
  <c r="M20" i="26" s="1"/>
  <c r="L20" i="26"/>
  <c r="G20" i="26"/>
  <c r="F20" i="26" s="1"/>
  <c r="N19" i="26"/>
  <c r="L19" i="26"/>
  <c r="G19" i="26"/>
  <c r="E19" i="26" s="1"/>
  <c r="N18" i="26"/>
  <c r="L18" i="26" s="1"/>
  <c r="M18" i="26"/>
  <c r="G18" i="26"/>
  <c r="F18" i="26" s="1"/>
  <c r="N17" i="26"/>
  <c r="L17" i="26"/>
  <c r="G17" i="26"/>
  <c r="E17" i="26" s="1"/>
  <c r="N16" i="26"/>
  <c r="M16" i="26"/>
  <c r="L16" i="26"/>
  <c r="G16" i="26"/>
  <c r="F16" i="26"/>
  <c r="E16" i="26"/>
  <c r="N14" i="26"/>
  <c r="M14" i="26"/>
  <c r="L14" i="26"/>
  <c r="N13" i="26"/>
  <c r="L13" i="26" s="1"/>
  <c r="E13" i="26"/>
  <c r="N12" i="26"/>
  <c r="M12" i="26" s="1"/>
  <c r="L12" i="26"/>
  <c r="G12" i="26"/>
  <c r="F12" i="26" s="1"/>
  <c r="N11" i="26"/>
  <c r="L11" i="26" s="1"/>
  <c r="G11" i="26"/>
  <c r="F11" i="26" s="1"/>
  <c r="E11" i="26"/>
  <c r="N10" i="26"/>
  <c r="M10" i="26" s="1"/>
  <c r="L10" i="26"/>
  <c r="G10" i="26"/>
  <c r="F10" i="26" s="1"/>
  <c r="N9" i="26"/>
  <c r="L9" i="26" s="1"/>
  <c r="G9" i="26"/>
  <c r="F9" i="26"/>
  <c r="E9" i="26"/>
  <c r="M9" i="26" l="1"/>
  <c r="M11" i="26"/>
  <c r="M13" i="26"/>
  <c r="F17" i="26"/>
  <c r="E18" i="26"/>
  <c r="N15" i="26"/>
  <c r="N22" i="26" s="1"/>
  <c r="M22" i="26" s="1"/>
  <c r="L15" i="26"/>
  <c r="L22" i="26" s="1"/>
  <c r="G15" i="26"/>
  <c r="E10" i="26"/>
  <c r="E12" i="26"/>
  <c r="M15" i="26"/>
  <c r="E15" i="26" l="1"/>
  <c r="E22" i="26" s="1"/>
  <c r="C25" i="26" s="1"/>
  <c r="G22" i="26"/>
  <c r="F22" i="26" s="1"/>
  <c r="F15" i="26"/>
  <c r="D20" i="33" l="1"/>
  <c r="D12" i="33"/>
  <c r="B37" i="33"/>
  <c r="E35" i="22"/>
  <c r="E45" i="22"/>
  <c r="C39" i="21" l="1"/>
  <c r="E26" i="21"/>
  <c r="D26" i="21"/>
  <c r="D41" i="21" s="1"/>
  <c r="D39" i="21"/>
  <c r="E39" i="21"/>
  <c r="E32" i="21"/>
  <c r="E25" i="21"/>
  <c r="D25" i="21"/>
  <c r="D20" i="21"/>
  <c r="E20" i="21"/>
  <c r="C26" i="21" l="1"/>
  <c r="D29" i="5"/>
  <c r="D13" i="5"/>
  <c r="E19" i="5"/>
  <c r="E24" i="5"/>
  <c r="E20" i="5"/>
  <c r="E22" i="5"/>
  <c r="E18" i="5"/>
  <c r="E16" i="5"/>
  <c r="E14" i="5" s="1"/>
  <c r="E13" i="5" l="1"/>
  <c r="E29" i="5" s="1"/>
  <c r="C29" i="5"/>
  <c r="O29" i="24"/>
  <c r="N32" i="24" l="1"/>
  <c r="M32" i="24"/>
  <c r="K32" i="24"/>
  <c r="J32" i="24"/>
  <c r="H32" i="24"/>
  <c r="G32" i="24"/>
  <c r="N31" i="24"/>
  <c r="M31" i="24"/>
  <c r="K31" i="24"/>
  <c r="J31" i="24"/>
  <c r="H31" i="24"/>
  <c r="G31" i="24"/>
  <c r="N30" i="24"/>
  <c r="M30" i="24"/>
  <c r="K30" i="24"/>
  <c r="J30" i="24"/>
  <c r="H30" i="24"/>
  <c r="G30" i="24"/>
  <c r="M14" i="23"/>
  <c r="M15" i="23"/>
  <c r="M16" i="23"/>
  <c r="M17" i="23"/>
  <c r="M18" i="23"/>
  <c r="M19" i="23"/>
  <c r="M13" i="23"/>
  <c r="M12" i="23"/>
  <c r="L20" i="23"/>
  <c r="K20" i="23"/>
  <c r="J20" i="23"/>
  <c r="D20" i="23"/>
  <c r="E20" i="23"/>
  <c r="F20" i="23"/>
  <c r="G20" i="23"/>
  <c r="H20" i="23"/>
  <c r="I20" i="23"/>
  <c r="C20" i="23"/>
  <c r="C17" i="18"/>
  <c r="B17" i="18"/>
  <c r="D13" i="18"/>
  <c r="C13" i="18"/>
  <c r="C12" i="18"/>
  <c r="B12" i="18"/>
  <c r="C11" i="18"/>
  <c r="B11" i="18"/>
  <c r="C10" i="18"/>
  <c r="B10" i="18"/>
  <c r="C9" i="18"/>
  <c r="B9" i="18"/>
  <c r="E17" i="2"/>
  <c r="D17" i="2"/>
  <c r="D12" i="2"/>
  <c r="D18" i="2" s="1"/>
  <c r="C12" i="2"/>
  <c r="E16" i="2"/>
  <c r="D16" i="2"/>
  <c r="E44" i="2"/>
  <c r="D44" i="2"/>
  <c r="D62" i="2"/>
  <c r="C62" i="2"/>
  <c r="G18" i="3"/>
  <c r="F18" i="3"/>
  <c r="G21" i="3"/>
  <c r="G20" i="3"/>
  <c r="F21" i="3"/>
  <c r="F20" i="3"/>
  <c r="G17" i="3"/>
  <c r="G16" i="3"/>
  <c r="F17" i="3"/>
  <c r="F16" i="3"/>
  <c r="G13" i="3"/>
  <c r="F13" i="3"/>
  <c r="G12" i="3"/>
  <c r="F12" i="3"/>
  <c r="G11" i="3"/>
  <c r="F11" i="3"/>
  <c r="G10" i="3"/>
  <c r="F10" i="3"/>
  <c r="G9" i="3"/>
  <c r="F9" i="3"/>
  <c r="G8" i="3"/>
  <c r="F8" i="3"/>
  <c r="B15" i="3"/>
  <c r="B24" i="3" s="1"/>
  <c r="C19" i="3"/>
  <c r="B19" i="3"/>
  <c r="D18" i="3"/>
  <c r="C18" i="3"/>
  <c r="B18" i="3"/>
  <c r="C22" i="3"/>
  <c r="B22" i="3"/>
  <c r="C20" i="3"/>
  <c r="B20" i="3"/>
  <c r="C21" i="3"/>
  <c r="B21" i="3"/>
  <c r="C23" i="3"/>
  <c r="B23" i="3"/>
  <c r="C17" i="3"/>
  <c r="B17" i="3"/>
  <c r="C16" i="3"/>
  <c r="B16" i="3"/>
  <c r="G14" i="3"/>
  <c r="F14" i="3"/>
  <c r="C13" i="3"/>
  <c r="B13" i="3"/>
  <c r="C11" i="3"/>
  <c r="B11" i="3"/>
  <c r="C10" i="3"/>
  <c r="B10" i="3"/>
  <c r="C9" i="3"/>
  <c r="B9" i="3"/>
  <c r="C8" i="3"/>
  <c r="B8" i="3"/>
  <c r="D35" i="37" l="1"/>
  <c r="C35" i="37"/>
  <c r="G31" i="37"/>
  <c r="G30" i="37"/>
  <c r="F30" i="37" s="1"/>
  <c r="G28" i="37"/>
  <c r="F28" i="37" s="1"/>
  <c r="G27" i="37"/>
  <c r="F27" i="37" s="1"/>
  <c r="G26" i="37"/>
  <c r="F26" i="37"/>
  <c r="E26" i="37"/>
  <c r="G25" i="37"/>
  <c r="F25" i="37" s="1"/>
  <c r="G24" i="37"/>
  <c r="F24" i="37" s="1"/>
  <c r="G23" i="37"/>
  <c r="F23" i="37" s="1"/>
  <c r="G22" i="37"/>
  <c r="F22" i="37" s="1"/>
  <c r="E22" i="37"/>
  <c r="G21" i="37"/>
  <c r="F21" i="37" s="1"/>
  <c r="G20" i="37"/>
  <c r="F20" i="37" s="1"/>
  <c r="G19" i="37"/>
  <c r="F19" i="37" s="1"/>
  <c r="G17" i="37"/>
  <c r="F17" i="37" s="1"/>
  <c r="E17" i="37"/>
  <c r="G16" i="37"/>
  <c r="F16" i="37" s="1"/>
  <c r="G14" i="37"/>
  <c r="F14" i="37"/>
  <c r="E14" i="37"/>
  <c r="G13" i="37"/>
  <c r="E13" i="37" s="1"/>
  <c r="G12" i="37"/>
  <c r="F12" i="37" s="1"/>
  <c r="G11" i="37"/>
  <c r="E11" i="37" s="1"/>
  <c r="G10" i="37"/>
  <c r="E10" i="37"/>
  <c r="G9" i="37"/>
  <c r="F9" i="37" s="1"/>
  <c r="G8" i="37"/>
  <c r="E8" i="37" s="1"/>
  <c r="G13" i="38"/>
  <c r="F13" i="38" s="1"/>
  <c r="G12" i="38"/>
  <c r="E12" i="38" s="1"/>
  <c r="G11" i="38"/>
  <c r="E11" i="38" s="1"/>
  <c r="F11" i="38"/>
  <c r="G10" i="38"/>
  <c r="D19" i="3" s="1"/>
  <c r="E10" i="38"/>
  <c r="G9" i="38"/>
  <c r="F9" i="38" s="1"/>
  <c r="G8" i="38"/>
  <c r="F8" i="38" s="1"/>
  <c r="F8" i="37" l="1"/>
  <c r="F10" i="38"/>
  <c r="F12" i="38"/>
  <c r="F11" i="37"/>
  <c r="G32" i="37"/>
  <c r="F32" i="37" s="1"/>
  <c r="G14" i="38"/>
  <c r="F14" i="38" s="1"/>
  <c r="E21" i="37"/>
  <c r="E25" i="37"/>
  <c r="E30" i="37"/>
  <c r="E16" i="37"/>
  <c r="E18" i="37" s="1"/>
  <c r="G18" i="37"/>
  <c r="E20" i="37"/>
  <c r="E24" i="37"/>
  <c r="E28" i="37"/>
  <c r="E9" i="37"/>
  <c r="E12" i="37"/>
  <c r="E19" i="37"/>
  <c r="E23" i="37"/>
  <c r="E27" i="37"/>
  <c r="G29" i="37"/>
  <c r="E31" i="37"/>
  <c r="E32" i="37" s="1"/>
  <c r="G15" i="37"/>
  <c r="I32" i="24" s="1"/>
  <c r="F31" i="37"/>
  <c r="E13" i="38"/>
  <c r="E9" i="38"/>
  <c r="E8" i="38"/>
  <c r="E14" i="38" s="1"/>
  <c r="F29" i="37" l="1"/>
  <c r="O32" i="24"/>
  <c r="F18" i="37"/>
  <c r="L32" i="24"/>
  <c r="E15" i="37"/>
  <c r="F15" i="37"/>
  <c r="G33" i="37"/>
  <c r="E29" i="37"/>
  <c r="E33" i="37" s="1"/>
  <c r="E35" i="37" s="1"/>
  <c r="G35" i="37" l="1"/>
  <c r="F33" i="37"/>
  <c r="F35" i="37" s="1"/>
  <c r="D37" i="40" l="1"/>
  <c r="C35" i="40"/>
  <c r="C37" i="40" s="1"/>
  <c r="G33" i="40"/>
  <c r="F33" i="40" s="1"/>
  <c r="G32" i="40"/>
  <c r="F32" i="40" s="1"/>
  <c r="G30" i="40"/>
  <c r="F30" i="40" s="1"/>
  <c r="E30" i="40"/>
  <c r="G29" i="40"/>
  <c r="F29" i="40" s="1"/>
  <c r="G28" i="40"/>
  <c r="F28" i="40" s="1"/>
  <c r="G27" i="40"/>
  <c r="F27" i="40" s="1"/>
  <c r="G26" i="40"/>
  <c r="F26" i="40" s="1"/>
  <c r="G25" i="40"/>
  <c r="F25" i="40" s="1"/>
  <c r="G24" i="40"/>
  <c r="F24" i="40" s="1"/>
  <c r="G23" i="40"/>
  <c r="F23" i="40" s="1"/>
  <c r="G22" i="40"/>
  <c r="F22" i="40" s="1"/>
  <c r="G21" i="40"/>
  <c r="F21" i="40" s="1"/>
  <c r="G20" i="40"/>
  <c r="F20" i="40" s="1"/>
  <c r="G18" i="40"/>
  <c r="E18" i="40" s="1"/>
  <c r="G17" i="40"/>
  <c r="F17" i="40" s="1"/>
  <c r="G15" i="40"/>
  <c r="E15" i="40" s="1"/>
  <c r="G14" i="40"/>
  <c r="F14" i="40" s="1"/>
  <c r="G13" i="40"/>
  <c r="E13" i="40" s="1"/>
  <c r="G12" i="40"/>
  <c r="F12" i="40" s="1"/>
  <c r="G11" i="40"/>
  <c r="E11" i="40" s="1"/>
  <c r="G10" i="40"/>
  <c r="F10" i="40" s="1"/>
  <c r="G9" i="40"/>
  <c r="E9" i="40" s="1"/>
  <c r="G8" i="40"/>
  <c r="F8" i="40" s="1"/>
  <c r="C15" i="41"/>
  <c r="G14" i="41"/>
  <c r="F14" i="41" s="1"/>
  <c r="G13" i="41"/>
  <c r="F13" i="41" s="1"/>
  <c r="G11" i="41"/>
  <c r="E11" i="41" s="1"/>
  <c r="G10" i="41"/>
  <c r="F10" i="41" s="1"/>
  <c r="G9" i="41"/>
  <c r="E8" i="41"/>
  <c r="E27" i="40" l="1"/>
  <c r="E12" i="40"/>
  <c r="F11" i="41"/>
  <c r="D17" i="3"/>
  <c r="F13" i="40"/>
  <c r="E22" i="40"/>
  <c r="E23" i="40"/>
  <c r="G16" i="40"/>
  <c r="F11" i="40"/>
  <c r="E26" i="40"/>
  <c r="E8" i="40"/>
  <c r="G19" i="40"/>
  <c r="E21" i="40"/>
  <c r="E25" i="40"/>
  <c r="E29" i="40"/>
  <c r="G31" i="40"/>
  <c r="E33" i="40"/>
  <c r="E14" i="40"/>
  <c r="E17" i="40"/>
  <c r="E19" i="40" s="1"/>
  <c r="E20" i="40"/>
  <c r="E24" i="40"/>
  <c r="E28" i="40"/>
  <c r="E32" i="40"/>
  <c r="G34" i="40"/>
  <c r="F34" i="40" s="1"/>
  <c r="E10" i="40"/>
  <c r="E10" i="41"/>
  <c r="G12" i="41"/>
  <c r="E14" i="41"/>
  <c r="E9" i="41"/>
  <c r="E13" i="41"/>
  <c r="F9" i="41"/>
  <c r="F31" i="40" l="1"/>
  <c r="O31" i="24"/>
  <c r="F16" i="40"/>
  <c r="I31" i="24"/>
  <c r="F19" i="40"/>
  <c r="L31" i="24"/>
  <c r="E31" i="40"/>
  <c r="E34" i="40"/>
  <c r="E16" i="40"/>
  <c r="G35" i="40"/>
  <c r="E12" i="41"/>
  <c r="E15" i="41" s="1"/>
  <c r="F12" i="41"/>
  <c r="G15" i="41"/>
  <c r="F15" i="41" s="1"/>
  <c r="E35" i="40" l="1"/>
  <c r="E37" i="40" s="1"/>
  <c r="G37" i="40"/>
  <c r="F35" i="40"/>
  <c r="F37" i="40" s="1"/>
  <c r="D38" i="39" l="1"/>
  <c r="C38" i="39"/>
  <c r="G35" i="39"/>
  <c r="E35" i="39" s="1"/>
  <c r="G33" i="39"/>
  <c r="F33" i="39" s="1"/>
  <c r="G32" i="39"/>
  <c r="F32" i="39" s="1"/>
  <c r="G31" i="39"/>
  <c r="E31" i="39" s="1"/>
  <c r="F31" i="39"/>
  <c r="G30" i="39"/>
  <c r="F30" i="39" s="1"/>
  <c r="G29" i="39"/>
  <c r="F29" i="39" s="1"/>
  <c r="G28" i="39"/>
  <c r="F28" i="39" s="1"/>
  <c r="G27" i="39"/>
  <c r="E27" i="39" s="1"/>
  <c r="G26" i="39"/>
  <c r="E26" i="39" s="1"/>
  <c r="F26" i="39"/>
  <c r="G25" i="39"/>
  <c r="G23" i="39"/>
  <c r="E23" i="39" s="1"/>
  <c r="G22" i="39"/>
  <c r="F22" i="39" s="1"/>
  <c r="E22" i="39"/>
  <c r="E24" i="39" s="1"/>
  <c r="G20" i="39"/>
  <c r="F20" i="39" s="1"/>
  <c r="G19" i="39"/>
  <c r="E19" i="39" s="1"/>
  <c r="F19" i="39"/>
  <c r="E18" i="39"/>
  <c r="G17" i="39"/>
  <c r="E17" i="39" s="1"/>
  <c r="G16" i="39"/>
  <c r="E16" i="39" s="1"/>
  <c r="G15" i="39"/>
  <c r="F15" i="39" s="1"/>
  <c r="G14" i="39"/>
  <c r="E14" i="39" s="1"/>
  <c r="G13" i="39"/>
  <c r="E13" i="39" s="1"/>
  <c r="G12" i="39"/>
  <c r="F12" i="39" s="1"/>
  <c r="G11" i="39"/>
  <c r="E11" i="39" s="1"/>
  <c r="G10" i="39"/>
  <c r="F10" i="39" s="1"/>
  <c r="G9" i="39"/>
  <c r="E9" i="39"/>
  <c r="G8" i="39"/>
  <c r="F8" i="39"/>
  <c r="D27" i="36"/>
  <c r="G25" i="36"/>
  <c r="F25" i="36" s="1"/>
  <c r="F24" i="36"/>
  <c r="E24" i="36"/>
  <c r="E25" i="36" s="1"/>
  <c r="G20" i="36"/>
  <c r="F20" i="36" s="1"/>
  <c r="F19" i="36"/>
  <c r="E19" i="36"/>
  <c r="F18" i="36"/>
  <c r="E18" i="36"/>
  <c r="E20" i="36" s="1"/>
  <c r="F17" i="36"/>
  <c r="E17" i="36"/>
  <c r="F12" i="36"/>
  <c r="E12" i="36"/>
  <c r="F11" i="36"/>
  <c r="E11" i="36"/>
  <c r="G10" i="36"/>
  <c r="F10" i="36" s="1"/>
  <c r="E10" i="36"/>
  <c r="G9" i="36"/>
  <c r="F9" i="36" s="1"/>
  <c r="F8" i="36"/>
  <c r="E8" i="36"/>
  <c r="F23" i="39" l="1"/>
  <c r="F13" i="39"/>
  <c r="E10" i="39"/>
  <c r="E12" i="39"/>
  <c r="G34" i="39"/>
  <c r="F27" i="39"/>
  <c r="E30" i="39"/>
  <c r="F14" i="39"/>
  <c r="G21" i="39"/>
  <c r="I30" i="24" s="1"/>
  <c r="G24" i="39"/>
  <c r="F17" i="39"/>
  <c r="E25" i="39"/>
  <c r="E29" i="39"/>
  <c r="E33" i="39"/>
  <c r="E15" i="39"/>
  <c r="E20" i="39"/>
  <c r="F25" i="39"/>
  <c r="E28" i="39"/>
  <c r="E32" i="39"/>
  <c r="E8" i="39"/>
  <c r="E21" i="39" s="1"/>
  <c r="E9" i="36"/>
  <c r="E13" i="36" s="1"/>
  <c r="E27" i="36" s="1"/>
  <c r="G13" i="36"/>
  <c r="F24" i="39" l="1"/>
  <c r="L30" i="24"/>
  <c r="F34" i="39"/>
  <c r="O30" i="24"/>
  <c r="E34" i="39"/>
  <c r="E36" i="39" s="1"/>
  <c r="E38" i="39" s="1"/>
  <c r="F21" i="39"/>
  <c r="G36" i="39"/>
  <c r="F36" i="39" s="1"/>
  <c r="G27" i="36"/>
  <c r="F27" i="36" s="1"/>
  <c r="F13" i="36"/>
  <c r="G38" i="39" l="1"/>
  <c r="D85" i="35"/>
  <c r="C82" i="35"/>
  <c r="C85" i="35" s="1"/>
  <c r="G81" i="35"/>
  <c r="E81" i="35" s="1"/>
  <c r="G80" i="35"/>
  <c r="F80" i="35" s="1"/>
  <c r="G79" i="35"/>
  <c r="F79" i="35" s="1"/>
  <c r="G78" i="35"/>
  <c r="G77" i="35"/>
  <c r="G76" i="35"/>
  <c r="G74" i="35"/>
  <c r="F74" i="35" s="1"/>
  <c r="G73" i="35"/>
  <c r="F73" i="35" s="1"/>
  <c r="G72" i="35"/>
  <c r="G71" i="35"/>
  <c r="F71" i="35" s="1"/>
  <c r="G70" i="35"/>
  <c r="F70" i="35" s="1"/>
  <c r="G69" i="35"/>
  <c r="F69" i="35" s="1"/>
  <c r="E68" i="35"/>
  <c r="G67" i="35"/>
  <c r="G65" i="35"/>
  <c r="H13" i="3" s="1"/>
  <c r="E64" i="35"/>
  <c r="G63" i="35"/>
  <c r="H12" i="3" s="1"/>
  <c r="E62" i="35"/>
  <c r="G61" i="35"/>
  <c r="G59" i="35"/>
  <c r="E59" i="35" s="1"/>
  <c r="F59" i="35"/>
  <c r="E58" i="35"/>
  <c r="G57" i="35"/>
  <c r="E57" i="35" s="1"/>
  <c r="G56" i="35"/>
  <c r="F56" i="35" s="1"/>
  <c r="E55" i="35"/>
  <c r="E54" i="35"/>
  <c r="G53" i="35"/>
  <c r="F53" i="35" s="1"/>
  <c r="G51" i="35"/>
  <c r="E51" i="35" s="1"/>
  <c r="G50" i="35"/>
  <c r="F50" i="35" s="1"/>
  <c r="G49" i="35"/>
  <c r="F49" i="35" s="1"/>
  <c r="G48" i="35"/>
  <c r="F48" i="35" s="1"/>
  <c r="G47" i="35"/>
  <c r="F47" i="35" s="1"/>
  <c r="G46" i="35"/>
  <c r="E46" i="35" s="1"/>
  <c r="G45" i="35"/>
  <c r="F45" i="35" s="1"/>
  <c r="G44" i="35"/>
  <c r="F44" i="35" s="1"/>
  <c r="G43" i="35"/>
  <c r="F43" i="35" s="1"/>
  <c r="G42" i="35"/>
  <c r="F42" i="35" s="1"/>
  <c r="G41" i="35"/>
  <c r="F41" i="35" s="1"/>
  <c r="G40" i="35"/>
  <c r="F40" i="35" s="1"/>
  <c r="G39" i="35"/>
  <c r="F39" i="35" s="1"/>
  <c r="G38" i="35"/>
  <c r="F38" i="35" s="1"/>
  <c r="G37" i="35"/>
  <c r="F37" i="35" s="1"/>
  <c r="E36" i="35"/>
  <c r="G35" i="35"/>
  <c r="F35" i="35" s="1"/>
  <c r="G34" i="35"/>
  <c r="F34" i="35" s="1"/>
  <c r="F33" i="35"/>
  <c r="E33" i="35"/>
  <c r="F32" i="35"/>
  <c r="E32" i="35"/>
  <c r="F31" i="35"/>
  <c r="E31" i="35"/>
  <c r="F30" i="35"/>
  <c r="E30" i="35"/>
  <c r="F29" i="35"/>
  <c r="E29" i="35"/>
  <c r="F28" i="35"/>
  <c r="E28" i="35"/>
  <c r="G27" i="35"/>
  <c r="F27" i="35" s="1"/>
  <c r="F26" i="35"/>
  <c r="E26" i="35"/>
  <c r="F25" i="35"/>
  <c r="E25" i="35"/>
  <c r="F24" i="35"/>
  <c r="E24" i="35"/>
  <c r="G23" i="35"/>
  <c r="G21" i="35"/>
  <c r="G20" i="35"/>
  <c r="F20" i="35" s="1"/>
  <c r="G18" i="35"/>
  <c r="E18" i="35" s="1"/>
  <c r="G17" i="35"/>
  <c r="F17" i="35" s="1"/>
  <c r="G16" i="35"/>
  <c r="F16" i="35" s="1"/>
  <c r="G15" i="35"/>
  <c r="F15" i="35" s="1"/>
  <c r="G14" i="35"/>
  <c r="E14" i="35"/>
  <c r="G13" i="35"/>
  <c r="F13" i="35" s="1"/>
  <c r="G12" i="35"/>
  <c r="E12" i="35" s="1"/>
  <c r="G11" i="35"/>
  <c r="F11" i="35" s="1"/>
  <c r="E11" i="35"/>
  <c r="G10" i="35"/>
  <c r="F10" i="35" s="1"/>
  <c r="G9" i="35"/>
  <c r="F9" i="35" s="1"/>
  <c r="G8" i="35"/>
  <c r="F8" i="35" s="1"/>
  <c r="D55" i="34"/>
  <c r="C55" i="34"/>
  <c r="G50" i="34"/>
  <c r="G49" i="34"/>
  <c r="G47" i="34"/>
  <c r="E47" i="34" s="1"/>
  <c r="G46" i="34"/>
  <c r="E45" i="34"/>
  <c r="G44" i="34"/>
  <c r="E44" i="34" s="1"/>
  <c r="G43" i="34"/>
  <c r="F43" i="34" s="1"/>
  <c r="E42" i="34"/>
  <c r="G41" i="34"/>
  <c r="E41" i="34" s="1"/>
  <c r="G39" i="34"/>
  <c r="F39" i="34" s="1"/>
  <c r="G38" i="34"/>
  <c r="F38" i="34" s="1"/>
  <c r="G37" i="34"/>
  <c r="F37" i="34" s="1"/>
  <c r="G36" i="34"/>
  <c r="F36" i="34" s="1"/>
  <c r="G35" i="34"/>
  <c r="F35" i="34" s="1"/>
  <c r="G34" i="34"/>
  <c r="E34" i="34" s="1"/>
  <c r="G33" i="34"/>
  <c r="E12" i="2" s="1"/>
  <c r="G32" i="34"/>
  <c r="F32" i="34" s="1"/>
  <c r="F31" i="34"/>
  <c r="E31" i="34"/>
  <c r="G30" i="34"/>
  <c r="E28" i="34"/>
  <c r="G27" i="34"/>
  <c r="F27" i="34" s="1"/>
  <c r="E26" i="34"/>
  <c r="G25" i="34"/>
  <c r="E25" i="34" s="1"/>
  <c r="E24" i="34"/>
  <c r="G23" i="34"/>
  <c r="F23" i="34" s="1"/>
  <c r="G22" i="34"/>
  <c r="F22" i="34" s="1"/>
  <c r="G21" i="34"/>
  <c r="E21" i="34" s="1"/>
  <c r="G20" i="34"/>
  <c r="G18" i="34"/>
  <c r="F18" i="34" s="1"/>
  <c r="G16" i="34"/>
  <c r="G15" i="34"/>
  <c r="F15" i="34" s="1"/>
  <c r="G13" i="34"/>
  <c r="F13" i="34" s="1"/>
  <c r="G12" i="34"/>
  <c r="F12" i="34" s="1"/>
  <c r="G11" i="34"/>
  <c r="D12" i="18" s="1"/>
  <c r="G10" i="34"/>
  <c r="G9" i="34"/>
  <c r="G8" i="34"/>
  <c r="F18" i="35" l="1"/>
  <c r="H17" i="3"/>
  <c r="E11" i="34"/>
  <c r="F33" i="34"/>
  <c r="E8" i="35"/>
  <c r="E35" i="35"/>
  <c r="E42" i="35"/>
  <c r="E45" i="35"/>
  <c r="F57" i="35"/>
  <c r="E17" i="35"/>
  <c r="G66" i="35"/>
  <c r="F66" i="35" s="1"/>
  <c r="E43" i="34"/>
  <c r="G22" i="35"/>
  <c r="H9" i="3" s="1"/>
  <c r="F46" i="35"/>
  <c r="E49" i="35"/>
  <c r="F49" i="34"/>
  <c r="D16" i="3"/>
  <c r="E62" i="2"/>
  <c r="F77" i="35"/>
  <c r="H21" i="3"/>
  <c r="F50" i="34"/>
  <c r="D23" i="3"/>
  <c r="F67" i="35"/>
  <c r="H16" i="3"/>
  <c r="F78" i="35"/>
  <c r="D13" i="3"/>
  <c r="H14" i="3"/>
  <c r="H25" i="3" s="1"/>
  <c r="F8" i="34"/>
  <c r="D9" i="18"/>
  <c r="F11" i="34"/>
  <c r="F21" i="34"/>
  <c r="F34" i="34"/>
  <c r="E37" i="34"/>
  <c r="E46" i="34"/>
  <c r="E48" i="34" s="1"/>
  <c r="D20" i="3"/>
  <c r="E38" i="35"/>
  <c r="E63" i="35"/>
  <c r="E65" i="35"/>
  <c r="E72" i="35"/>
  <c r="F10" i="34"/>
  <c r="D11" i="18"/>
  <c r="F22" i="35"/>
  <c r="F9" i="34"/>
  <c r="D10" i="18"/>
  <c r="G40" i="34"/>
  <c r="E33" i="34"/>
  <c r="D22" i="3"/>
  <c r="F44" i="34"/>
  <c r="E21" i="35"/>
  <c r="E41" i="35"/>
  <c r="E61" i="35"/>
  <c r="F63" i="35"/>
  <c r="F65" i="35"/>
  <c r="F72" i="35"/>
  <c r="F76" i="35"/>
  <c r="H18" i="3"/>
  <c r="E79" i="35"/>
  <c r="H20" i="3"/>
  <c r="G60" i="35"/>
  <c r="G17" i="34"/>
  <c r="G19" i="34"/>
  <c r="D21" i="3" s="1"/>
  <c r="E10" i="34"/>
  <c r="E15" i="34"/>
  <c r="E18" i="34"/>
  <c r="E19" i="34" s="1"/>
  <c r="G29" i="34"/>
  <c r="E22" i="34"/>
  <c r="E38" i="34"/>
  <c r="E50" i="35"/>
  <c r="E53" i="35"/>
  <c r="E60" i="35" s="1"/>
  <c r="E76" i="35"/>
  <c r="E80" i="35"/>
  <c r="E30" i="34"/>
  <c r="G48" i="34"/>
  <c r="F48" i="34" s="1"/>
  <c r="G52" i="35"/>
  <c r="E37" i="35"/>
  <c r="E56" i="35"/>
  <c r="E66" i="35"/>
  <c r="E71" i="35"/>
  <c r="E10" i="35"/>
  <c r="E13" i="35"/>
  <c r="E16" i="35"/>
  <c r="E20" i="35"/>
  <c r="E23" i="35"/>
  <c r="E34" i="35"/>
  <c r="E40" i="35"/>
  <c r="E44" i="35"/>
  <c r="E48" i="35"/>
  <c r="E70" i="35"/>
  <c r="E74" i="35"/>
  <c r="E78" i="35"/>
  <c r="E9" i="35"/>
  <c r="E15" i="35"/>
  <c r="F23" i="35"/>
  <c r="E27" i="35"/>
  <c r="E39" i="35"/>
  <c r="E43" i="35"/>
  <c r="E47" i="35"/>
  <c r="E67" i="35"/>
  <c r="E69" i="35"/>
  <c r="E73" i="35"/>
  <c r="G75" i="35"/>
  <c r="F75" i="35" s="1"/>
  <c r="E77" i="35"/>
  <c r="G19" i="35"/>
  <c r="H8" i="3" s="1"/>
  <c r="E13" i="34"/>
  <c r="E20" i="34"/>
  <c r="E27" i="34"/>
  <c r="F30" i="34"/>
  <c r="E32" i="34"/>
  <c r="E36" i="34"/>
  <c r="F41" i="34"/>
  <c r="E50" i="34"/>
  <c r="E9" i="34"/>
  <c r="E8" i="34"/>
  <c r="E12" i="34"/>
  <c r="G14" i="34"/>
  <c r="D8" i="3" s="1"/>
  <c r="E16" i="34"/>
  <c r="E17" i="34" s="1"/>
  <c r="F20" i="34"/>
  <c r="E23" i="34"/>
  <c r="E35" i="34"/>
  <c r="E39" i="34"/>
  <c r="E49" i="34"/>
  <c r="F16" i="34"/>
  <c r="E29" i="34" l="1"/>
  <c r="E14" i="34"/>
  <c r="F29" i="34"/>
  <c r="D10" i="3"/>
  <c r="F40" i="34"/>
  <c r="D11" i="3"/>
  <c r="F17" i="34"/>
  <c r="D9" i="3"/>
  <c r="D17" i="18"/>
  <c r="E22" i="35"/>
  <c r="F52" i="35"/>
  <c r="H10" i="3"/>
  <c r="F60" i="35"/>
  <c r="H11" i="3"/>
  <c r="E40" i="34"/>
  <c r="E19" i="35"/>
  <c r="G82" i="35"/>
  <c r="F19" i="35"/>
  <c r="E52" i="35"/>
  <c r="E75" i="35"/>
  <c r="G51" i="34"/>
  <c r="F14" i="34"/>
  <c r="E51" i="34"/>
  <c r="E55" i="34" s="1"/>
  <c r="H15" i="3" l="1"/>
  <c r="H24" i="3" s="1"/>
  <c r="H26" i="3" s="1"/>
  <c r="E82" i="35"/>
  <c r="E85" i="35" s="1"/>
  <c r="G85" i="35"/>
  <c r="F82" i="35"/>
  <c r="G55" i="34"/>
  <c r="F51" i="34"/>
  <c r="F55" i="34" s="1"/>
  <c r="D36" i="2" l="1"/>
  <c r="E36" i="2"/>
  <c r="C36" i="2"/>
  <c r="D49" i="2"/>
  <c r="E49" i="2"/>
  <c r="C49" i="2"/>
  <c r="C30" i="2"/>
  <c r="D30" i="2"/>
  <c r="E30" i="2"/>
  <c r="D54" i="2"/>
  <c r="E54" i="2"/>
  <c r="C54" i="2"/>
  <c r="C26" i="2"/>
  <c r="D26" i="2"/>
  <c r="E26" i="2"/>
  <c r="C41" i="21" l="1"/>
  <c r="G25" i="3" l="1"/>
  <c r="F25" i="3"/>
  <c r="C25" i="3"/>
  <c r="D25" i="3"/>
  <c r="B25" i="3"/>
  <c r="F15" i="3" l="1"/>
  <c r="G15" i="3" l="1"/>
  <c r="G24" i="3" l="1"/>
  <c r="B21" i="33" l="1"/>
  <c r="D29" i="33"/>
  <c r="D26" i="33"/>
  <c r="D23" i="33"/>
  <c r="B39" i="33"/>
  <c r="B40" i="33"/>
  <c r="B18" i="33"/>
  <c r="B13" i="33"/>
  <c r="B9" i="33"/>
  <c r="C45" i="22"/>
  <c r="D45" i="22"/>
  <c r="D23" i="22"/>
  <c r="E23" i="22"/>
  <c r="C23" i="22"/>
  <c r="D27" i="33" l="1"/>
  <c r="B16" i="33"/>
  <c r="D46" i="22"/>
  <c r="C46" i="22"/>
  <c r="E46" i="22"/>
  <c r="D30" i="33"/>
  <c r="B22" i="33"/>
  <c r="E41" i="21" l="1"/>
  <c r="O33" i="24" l="1"/>
  <c r="N29" i="24"/>
  <c r="N33" i="24" s="1"/>
  <c r="M29" i="24"/>
  <c r="M33" i="24" s="1"/>
  <c r="L29" i="24"/>
  <c r="L33" i="24" s="1"/>
  <c r="K29" i="24"/>
  <c r="K33" i="24" s="1"/>
  <c r="J29" i="24"/>
  <c r="J33" i="24" s="1"/>
  <c r="I29" i="24"/>
  <c r="I33" i="24" s="1"/>
  <c r="H29" i="24"/>
  <c r="H33" i="24" s="1"/>
  <c r="G29" i="24"/>
  <c r="G33" i="24" s="1"/>
  <c r="C60" i="2"/>
  <c r="D60" i="2"/>
  <c r="E60" i="2"/>
  <c r="B45" i="33" l="1"/>
  <c r="B43" i="33"/>
  <c r="B48" i="33" s="1"/>
  <c r="B49" i="33" l="1"/>
  <c r="M20" i="23" l="1"/>
  <c r="D64" i="2" l="1"/>
  <c r="E18" i="2"/>
  <c r="E64" i="2" s="1"/>
  <c r="C18" i="2"/>
  <c r="C64" i="2" s="1"/>
  <c r="C15" i="3" l="1"/>
  <c r="C24" i="3" s="1"/>
  <c r="C26" i="3" s="1"/>
  <c r="D15" i="3" l="1"/>
  <c r="D24" i="3" s="1"/>
  <c r="D26" i="3" s="1"/>
  <c r="B26" i="3" l="1"/>
  <c r="F24" i="3"/>
  <c r="G26" i="3" l="1"/>
  <c r="F26" i="3"/>
</calcChain>
</file>

<file path=xl/sharedStrings.xml><?xml version="1.0" encoding="utf-8"?>
<sst xmlns="http://schemas.openxmlformats.org/spreadsheetml/2006/main" count="1112" uniqueCount="648">
  <si>
    <t>Összesen</t>
  </si>
  <si>
    <t>Bevételek</t>
  </si>
  <si>
    <t>Kiadások</t>
  </si>
  <si>
    <t>Személyi juttatások</t>
  </si>
  <si>
    <t>Felhalmozási bevételek</t>
  </si>
  <si>
    <t>Dologi kiadások</t>
  </si>
  <si>
    <t>Általános tartalék</t>
  </si>
  <si>
    <t>Mindösszesen</t>
  </si>
  <si>
    <t>Megnevezés</t>
  </si>
  <si>
    <t>Tárgyévi bevételek</t>
  </si>
  <si>
    <t>Tárgyévi működési kiadások</t>
  </si>
  <si>
    <t>Helyi adónál biztosított kedvezmények</t>
  </si>
  <si>
    <t>Bérbeadásnál nyújtott kedvezmény</t>
  </si>
  <si>
    <t>Egyéb nyújtott kedvezmény</t>
  </si>
  <si>
    <t>Visszanem térítendő lakás építási tám.</t>
  </si>
  <si>
    <t>Működési bevételek</t>
  </si>
  <si>
    <t>Intézmény finanszírozás</t>
  </si>
  <si>
    <t>Halmozódásmentes főösszeg</t>
  </si>
  <si>
    <t>Személyi juttatások (K1)</t>
  </si>
  <si>
    <t>Munkaadót terh. járulékok és szoc. h. adó (K2)</t>
  </si>
  <si>
    <t>Dologi kiadások (K3)</t>
  </si>
  <si>
    <t>Ellátottak pénzbeli juttatásai (K4)</t>
  </si>
  <si>
    <t>Beruházások (K6)</t>
  </si>
  <si>
    <t>Felújítások (K7)</t>
  </si>
  <si>
    <t>Egyéb műk. c. tám. bev. államh.-on belülről (B16)</t>
  </si>
  <si>
    <t>Egyéb felhalm. c. támog. bev. államh. bel. (B25)</t>
  </si>
  <si>
    <t>Közhatalmi bevételek (B3)</t>
  </si>
  <si>
    <t>Működési bevételek (B4)</t>
  </si>
  <si>
    <t>Felhalmozási bevételek (B5)</t>
  </si>
  <si>
    <t>Maradvány igénybevétele (B813) önkormányzat</t>
  </si>
  <si>
    <t>Maradvány igénybevétele (B813) óvoda</t>
  </si>
  <si>
    <t>Központi, irányítószervi támogatás (B816)</t>
  </si>
  <si>
    <t>Működési bevételek összesen</t>
  </si>
  <si>
    <t>Ellátási díjak</t>
  </si>
  <si>
    <t>Önkormányzatok működési tám. összesen</t>
  </si>
  <si>
    <t>Közhatalmi bevételek</t>
  </si>
  <si>
    <t>Közhatalmi bevételek összesen</t>
  </si>
  <si>
    <t xml:space="preserve">Egyéb műk. c. tám. bev. államh.-on belülről </t>
  </si>
  <si>
    <t>Önkormányzatok működési támogatása</t>
  </si>
  <si>
    <t>Ellátottak pénzbeli juttatásai</t>
  </si>
  <si>
    <t>összesen</t>
  </si>
  <si>
    <t>Önkormányzatok működési támogatása (B11)</t>
  </si>
  <si>
    <t>Támogatás mindösszesen</t>
  </si>
  <si>
    <t>Beruházási kiadások</t>
  </si>
  <si>
    <t>Felújítási kiadások</t>
  </si>
  <si>
    <t>Felhalmozási kiadások összesen:</t>
  </si>
  <si>
    <t>Szolgáltatások ellenértéke</t>
  </si>
  <si>
    <t>Tulajdonosi bevételek</t>
  </si>
  <si>
    <t>Kiszámlázott általános forgalmi adó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</si>
  <si>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</si>
  <si>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</si>
  <si>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</si>
  <si>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</si>
  <si>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Ellátottak pénzbeli juttatásai összesen</t>
  </si>
  <si>
    <t>Egyéb tárgyi eszközök beszerzése, létesítése</t>
  </si>
  <si>
    <t>Beruházási célú előzetesen felszámított általános forgalmi adó</t>
  </si>
  <si>
    <t>Ingatlanok felújítása</t>
  </si>
  <si>
    <t>Általános forgalmi adó visszatérítése</t>
  </si>
  <si>
    <t>Likvidtartalék</t>
  </si>
  <si>
    <t>adatok: ezer forintban</t>
  </si>
  <si>
    <t>Munkaadót terhelő járulékok</t>
  </si>
  <si>
    <t>055131</t>
  </si>
  <si>
    <t>059141</t>
  </si>
  <si>
    <t>%</t>
  </si>
  <si>
    <t>Késedelmi és önellenőrzési pótlék</t>
  </si>
  <si>
    <t>Egyéb működési bevételek</t>
  </si>
  <si>
    <t>Központi irányítószervi kiadások folyósítása (K9)</t>
  </si>
  <si>
    <t>ÁHT-on belüli megelőlegezések visszafiz. (K91)</t>
  </si>
  <si>
    <t>adatok: forintban</t>
  </si>
  <si>
    <t>Felhalmozási bevételek összesen</t>
  </si>
  <si>
    <t>Beruházási kiadások összesen:</t>
  </si>
  <si>
    <t>Felújítási kiadások összesen:</t>
  </si>
  <si>
    <t>Összeg</t>
  </si>
  <si>
    <t>Felújítási célú előzetesen felszámított általános forgalmi adó</t>
  </si>
  <si>
    <t>Mindösszesen:</t>
  </si>
  <si>
    <t>Jogcím</t>
  </si>
  <si>
    <t>Felhalmozási célú önk-i támogatások (B21)</t>
  </si>
  <si>
    <t>Felhalmozási c. átvett pénzeszk. Áht-on kívülről összesen</t>
  </si>
  <si>
    <t>Egyéb műk. c. tám. bev. államh.-on belülről összesen</t>
  </si>
  <si>
    <t>Összes bevétel:</t>
  </si>
  <si>
    <t xml:space="preserve">Felhalmozási célú önkormányzati támogatás </t>
  </si>
  <si>
    <t>Felhalmozási célú támogatások Áht-on belülről</t>
  </si>
  <si>
    <t>Eredeti EI</t>
  </si>
  <si>
    <t>Módosított EI</t>
  </si>
  <si>
    <t>Teljesítés</t>
  </si>
  <si>
    <t>Áht-on belüli megelőlegezések (B814)</t>
  </si>
  <si>
    <t>Egyéb műk. célú támog. Áht-on belülre (K502,506)</t>
  </si>
  <si>
    <t>Egyéb műk. c. támog. államházt.kívülre (K512)</t>
  </si>
  <si>
    <t>Tartalékok (K513)</t>
  </si>
  <si>
    <t>Szolgáltatások ellenértéke (B402)</t>
  </si>
  <si>
    <t>Tulajdonosi bevételek (B404)</t>
  </si>
  <si>
    <t>Ellátási díjak (B405)</t>
  </si>
  <si>
    <t>Kiszámlázott általános forgalmi adó (B406)</t>
  </si>
  <si>
    <t>Általános forgalmi adó visszatérítése (B407)</t>
  </si>
  <si>
    <t>Kamatbevételek (B408)</t>
  </si>
  <si>
    <t>Egyéb működési bevételek (B411)</t>
  </si>
  <si>
    <t>Állandó jelleggel végzett iparűzési tev. után fizetett helyi adó</t>
  </si>
  <si>
    <t>Belföldi gépjárművek adójának  a helyi önk-ot megillető része</t>
  </si>
  <si>
    <t>Központi kezelésű ei-tól műk-i támogatás (091632)</t>
  </si>
  <si>
    <t>ebből: Nemzeti Egbizt. Alapkezelő által nyújtott tám.</t>
  </si>
  <si>
    <t>Elkülönített állami pénzalapok (091635)</t>
  </si>
  <si>
    <t>ebből: Diákmunka finanszírozás</t>
  </si>
  <si>
    <t>ebből: Közfoglalkoztatottak finanszírozása</t>
  </si>
  <si>
    <t>Ingatlanok értékesítése</t>
  </si>
  <si>
    <t>Egyéb felhalmozási célú támog. Áht-on belülről</t>
  </si>
  <si>
    <t>ebből: egyéb, az önkormányzat rendeletében megállapított juttatás (K48)</t>
  </si>
  <si>
    <t>Beiskolázási támogatás</t>
  </si>
  <si>
    <t xml:space="preserve">Időskorúak támogatása </t>
  </si>
  <si>
    <t>ebből: települési támogatás (Szoc.tv. 45.§) (K48)</t>
  </si>
  <si>
    <t>Egyéb, nem intézményi ellátások  (K48)</t>
  </si>
  <si>
    <t>Rovat</t>
  </si>
  <si>
    <t>Intézményi működési bevételek - teljesítési adatok</t>
  </si>
  <si>
    <t>B402</t>
  </si>
  <si>
    <t>B404</t>
  </si>
  <si>
    <t>B405</t>
  </si>
  <si>
    <t>B406</t>
  </si>
  <si>
    <t>B407</t>
  </si>
  <si>
    <t>B408</t>
  </si>
  <si>
    <t>Egyéb kapott kamatok és kamatjell. Bevételek</t>
  </si>
  <si>
    <t>B411</t>
  </si>
  <si>
    <t>Működési bevételek összesen:</t>
  </si>
  <si>
    <t>Szennyvíz gyűjtés, tisztítás</t>
  </si>
  <si>
    <t>Közművelődés</t>
  </si>
  <si>
    <t>Önk-i jogalkotás, igazgatás</t>
  </si>
  <si>
    <t>Gyermekétk. Óvoda</t>
  </si>
  <si>
    <t>Gyermekétk. Iskola</t>
  </si>
  <si>
    <t>Önkormányzat összesen</t>
  </si>
  <si>
    <t>Kiadások kormányati funkciók (COFOG) szerinti bontásban (összesítő)</t>
  </si>
  <si>
    <t>adatok: ezer Ft-ban</t>
  </si>
  <si>
    <t>Kormányzati funkció (COFOG)</t>
  </si>
  <si>
    <t>011130 - Önkormányzatok és önkormányzati hivatalok jogalkotó és általános igazgatási tevékenysége</t>
  </si>
  <si>
    <t>013320 - Köztemető-fenntartás és -működtetés</t>
  </si>
  <si>
    <t>016080 - Kiemelt állami és önkormányzati rendezvények</t>
  </si>
  <si>
    <t>045160 - Közutak, hidak, alagutak üzemeltetése, fenntartása</t>
  </si>
  <si>
    <t>052020 - Szennyvíz gyűjtése, tisztítása, elhelyezése</t>
  </si>
  <si>
    <t>064010 - Közvilágítás</t>
  </si>
  <si>
    <t>066020 - Város-, községgazdálkodási egyéb szolgáltatások</t>
  </si>
  <si>
    <t>074031 - Család és nővédelmi egészségügyi gondozás</t>
  </si>
  <si>
    <t>096015 - Gyermekétkeztetés köznevelési intézményben</t>
  </si>
  <si>
    <t>107060 - Egyéb szociális pénzbeni és természetbeni ellátások</t>
  </si>
  <si>
    <t>Önkormányzat összesen:</t>
  </si>
  <si>
    <t>Helyi önkormányzatok előző évi elszámolásából származó kiadások</t>
  </si>
  <si>
    <t>Egyéb működési célú támogatások Áht-on belülre</t>
  </si>
  <si>
    <t>ebből: Támogatáskezelőnek utalt Bursa támogatás</t>
  </si>
  <si>
    <t>ebből: Piliscsévi Közös Hivatalnak utalt támogatás</t>
  </si>
  <si>
    <t>ebből: Dorog és Térsége Családsegítőnek utalt hozzájárulás</t>
  </si>
  <si>
    <t>Egyéb működési célú támogatások Áht-on kívülre</t>
  </si>
  <si>
    <t>Egyéb működési célú támogatások Áht-on belülre összesen:</t>
  </si>
  <si>
    <t>Egyéb működési célú kiadások összesen:</t>
  </si>
  <si>
    <t>ESZKÖZÖK</t>
  </si>
  <si>
    <t>FORRÁSOK</t>
  </si>
  <si>
    <t>A/I/1 Vagyoni értékű jogok</t>
  </si>
  <si>
    <t>G/I  Nemzeti vagyon induláskori értéke</t>
  </si>
  <si>
    <t>A/I/2 Szellemi termékek</t>
  </si>
  <si>
    <t>G/III Egyéb eszközök induláskori értéke és változásai</t>
  </si>
  <si>
    <t>A/I Immateriális javak (=A/I/1+A/I/2+A/I/3)</t>
  </si>
  <si>
    <t>G/IV Felhalmozott eredmény</t>
  </si>
  <si>
    <t>A/II/1 Ingatlanok és a kapcsolódó vagyoni értékű jogok</t>
  </si>
  <si>
    <t>G/VI Mérleg szerinti eredmény</t>
  </si>
  <si>
    <t>A/II/2 Gépek, berendezések, felszerelések, járművek</t>
  </si>
  <si>
    <t>G/ SAJÁT TŐKE  (= G/I+…+G/VI)</t>
  </si>
  <si>
    <t>A/II/4 Beruházások, felújítások</t>
  </si>
  <si>
    <t>H/I/2 Költségvetési évben esedékes kötelezettségek munkaadókat terhelő járulékokra és szociális hozzájárulási adóra</t>
  </si>
  <si>
    <t>A/II Tárgyi eszközök  (=A/II/1+...+A/II/5)</t>
  </si>
  <si>
    <t>H/I/3 Költségvetési évben esedékes kötelezettségek dologi kiadásokra</t>
  </si>
  <si>
    <t>A) NEMZETI VAGYONBA TARTOZÓ BEFEKTETETT ESZKÖZÖK (=A/I+A/II+A/III+A/IV)</t>
  </si>
  <si>
    <t>H/I/4 Költségvetési évben esedékes kötelezettségek ellátottak pénzbeli juttatásaira</t>
  </si>
  <si>
    <t>C/II/1 Forintpénztár</t>
  </si>
  <si>
    <t>H/I/6 Költségvetési évben esedékes kötelezettségek beruházásokra</t>
  </si>
  <si>
    <t>C/II Pénztárak, csekkek, betétkönyvek (=C/II/1+C/II/2+C/II/3)</t>
  </si>
  <si>
    <t>H/I/7 Költségvetési évben esedékes kötelezettségek felújításokra</t>
  </si>
  <si>
    <t>C/III/1 Kincstáron kívüli forintszámlák</t>
  </si>
  <si>
    <t>H/I/9 Költségvetési évben esedékes kötelezettségek finanszírozási kiadásokra (&gt;=H/I/9a+…+H/I/9l)</t>
  </si>
  <si>
    <t>C/III Forintszámlák (=C/III/1+C/III/2)</t>
  </si>
  <si>
    <t>H/I/9g - ebből: költségvetési évben esedékes kötelezettségek államháztartáson belüli megelőlegezések visszafizetésére</t>
  </si>
  <si>
    <t>C) PÉNZESZKÖZÖK (=C/I+…+C/IV)</t>
  </si>
  <si>
    <t>H/I Költségvetési évben esedékes kötelezettségek (=H/I/1+…+H/I/9)</t>
  </si>
  <si>
    <t>D/I/3 Költségvetési évben esedékes követelések közhatalmi bevételre (=D/I/3a+…+D/I/3f)</t>
  </si>
  <si>
    <t>H/II/9 Költségvetési évet követően esedékes kötelezettségek finanszírozási kiadásokra (&gt;=H/II/9a+…+H/II/9i)</t>
  </si>
  <si>
    <t>D/I/3d - ebből: költségvetési évben esedékes követelések vagyoni típusú adókra</t>
  </si>
  <si>
    <t>H/II Költségvetési évet követően esedékes kötelezettségek (=H/II/1+…+H/II/9)</t>
  </si>
  <si>
    <t>D/I/3e - ebből: költségvetési évben esedékes követelések termékek és szolgáltatások adóira</t>
  </si>
  <si>
    <t>H/III/3 Más szervezetet megillető bevételek elszámolása</t>
  </si>
  <si>
    <t>D/I/3f - ebből: költségvetési évben esedékes követelések egyéb közhatalmi bevételekre</t>
  </si>
  <si>
    <t>D/I/4 Költségvetési évben esedékes követelések működési bevételre (=D/I/4a+…+D/I/4i)</t>
  </si>
  <si>
    <t>H/III Kötelezettség jellegű sajátos elszámolások (=H/III/1+…+H/III/10)</t>
  </si>
  <si>
    <t>D/I/4a - ebből: költségvetési évben esedékes követelések készletértékesítés ellenértékére, szolgáltatások ellenértékére, közvetített szolgáltatások ellenértékére</t>
  </si>
  <si>
    <t>H) KÖTELEZETTSÉGEK (=H/I+H/II+H/III)</t>
  </si>
  <si>
    <t>D/I/4b - ebből: költségvetési évben esedékes követelések tulajdonosi bevételekre</t>
  </si>
  <si>
    <t>FORRÁSOK ÖSSZESEN (=G+H+I+J)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</si>
  <si>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</si>
  <si>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</si>
  <si>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</si>
  <si>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D/I/4i - ebből: költségvetési évben esedékes követelések egyéb működési bevételekre</t>
  </si>
  <si>
    <t>D/I/7c - ebből: költségvetési évben esedékes követelések felhalmozási célú visszatérítendő támogatások, kölcsönök visszatérülésére államháztartáson kívülről</t>
  </si>
  <si>
    <t>D/I Költségvetési évben esedékes követelések (=D/I/1+…+D/I/8)</t>
  </si>
  <si>
    <t>D/III Követelés jellegű sajátos elszámolások (=D/III/1+…+D/III/9)</t>
  </si>
  <si>
    <t>D) KÖVETELÉSEK  (=D/I+D/II+D/III)</t>
  </si>
  <si>
    <t>ESZKÖZÖK ÖSSZESEN (=A+B+C+D+E+F)</t>
  </si>
  <si>
    <t>C/III/2 Kincstárban vezetett forintszámlák</t>
  </si>
  <si>
    <t>E/I/2 Más előzetesen felszámított levonható általános forgalmi adó</t>
  </si>
  <si>
    <t>E/I/4 Más előzetesen felszámított nem levonható általános forgalmi adó</t>
  </si>
  <si>
    <t>E/II/2 Más fizetendő forgalmi adó</t>
  </si>
  <si>
    <t>E/III/1 December havi illetmények, munkabérek elszámolása</t>
  </si>
  <si>
    <t>E/I Előzetesen felszámított általános forgalmi adó elszámolása (=E/I/1+…+E/I/4)</t>
  </si>
  <si>
    <t>E/II Fizetendő általános forgalmi adó elszámolása (=E/II/1+E/II/2)</t>
  </si>
  <si>
    <t>E/III Egyéb sajátos eszközoldali elszámolások (=E/III/1+E/III/2)</t>
  </si>
  <si>
    <t>E) EGYÉB SAJÁTOS ESZKÖZOLDALI  ELSZÁMOLÁSOK (=E/I+…+E/III)</t>
  </si>
  <si>
    <t>H/II/9e - ebből költségvetési évet követően esedékes kötelezettségek Áht-on belüli megelőlegezések visszafiz.</t>
  </si>
  <si>
    <t>H/III/1 Kapott előlegek</t>
  </si>
  <si>
    <t>Az önkormányzat által nyújtott közvetett támogatások</t>
  </si>
  <si>
    <t>Az önkormányzat adósság állománya</t>
  </si>
  <si>
    <t>Típus</t>
  </si>
  <si>
    <t>Belföldi szállító</t>
  </si>
  <si>
    <t>Lejárat</t>
  </si>
  <si>
    <t>Nyt.szla</t>
  </si>
  <si>
    <t>0911</t>
  </si>
  <si>
    <t>051</t>
  </si>
  <si>
    <t>0916</t>
  </si>
  <si>
    <t>Egyéb műk-i célú tám. ÁH-on belülről</t>
  </si>
  <si>
    <t>052</t>
  </si>
  <si>
    <t>092</t>
  </si>
  <si>
    <t>Felhalmozási c. tám. ÁH-on belülről</t>
  </si>
  <si>
    <t>053</t>
  </si>
  <si>
    <t>093</t>
  </si>
  <si>
    <t>054</t>
  </si>
  <si>
    <t>094</t>
  </si>
  <si>
    <t>055</t>
  </si>
  <si>
    <t>059</t>
  </si>
  <si>
    <t>Irányítószervi támogatás</t>
  </si>
  <si>
    <t>09813</t>
  </si>
  <si>
    <t>Önkorm. Pénzmaradványa igénybevét.</t>
  </si>
  <si>
    <t>056-057</t>
  </si>
  <si>
    <t>Mérleg</t>
  </si>
  <si>
    <t>Munkaadót terh. befizetések</t>
  </si>
  <si>
    <t>Pénzmaradvány</t>
  </si>
  <si>
    <t>Maradvány</t>
  </si>
  <si>
    <t>Magánszemélyek kommunális adója</t>
  </si>
  <si>
    <t>098141</t>
  </si>
  <si>
    <t>Szociális juttatások</t>
  </si>
  <si>
    <t>Átadott pénzeszközök</t>
  </si>
  <si>
    <t>Tárgyévi működési bevételek</t>
  </si>
  <si>
    <t>0952</t>
  </si>
  <si>
    <t>Fejlesztés, felújítás</t>
  </si>
  <si>
    <t>Céltartalék (elköt.pm.terhére)</t>
  </si>
  <si>
    <t>Államháztartáson belüli megelőlegezés</t>
  </si>
  <si>
    <t>058</t>
  </si>
  <si>
    <t>EU-s pályázati visszafizetés</t>
  </si>
  <si>
    <t>ÁHT-n belüli megelőlegezés visszafiz.</t>
  </si>
  <si>
    <t>Bér</t>
  </si>
  <si>
    <t>Járulék</t>
  </si>
  <si>
    <t>Dologi kiadás</t>
  </si>
  <si>
    <t>III.sz. mód.</t>
  </si>
  <si>
    <t>104037 - Intézményen kívüli gyermekétkeztetés</t>
  </si>
  <si>
    <t>09411</t>
  </si>
  <si>
    <t>09816</t>
  </si>
  <si>
    <t>Intézmény fin.(állami tám.)</t>
  </si>
  <si>
    <t>Intézmény fin.(önkorm.hozzáj.)</t>
  </si>
  <si>
    <t>056</t>
  </si>
  <si>
    <t>Közművelődési érdekeltségnövelő támogatás</t>
  </si>
  <si>
    <t>ebből: szociális tüzifa pályázatra beérkezett kiegészítő támogatás</t>
  </si>
  <si>
    <t>Rendszeres gyermekvédelmi pénzbeli ellátás (K42)</t>
  </si>
  <si>
    <t>ebből: Dorog és Térsége házi segítségnyújtásra utalt hj.</t>
  </si>
  <si>
    <t>ISTER-Granum EGTC</t>
  </si>
  <si>
    <t>D/III/4 Forgótőke elszámolása</t>
  </si>
  <si>
    <t>J/2 Költségek, ráfordítások passzív időbeli elhatárolása</t>
  </si>
  <si>
    <t>J) PASSZIV IDŐBELI ELHATÁROLÁSOK (=J/2)</t>
  </si>
  <si>
    <t>2019. évi költségvetési beszámoló</t>
  </si>
  <si>
    <t>Közvetített szolgáltatások ellenértéke</t>
  </si>
  <si>
    <t>097533</t>
  </si>
  <si>
    <t>2019.III.sz. EI mód.</t>
  </si>
  <si>
    <t>2019. évi eredeti EI</t>
  </si>
  <si>
    <t>Teljesítés 2019.12.31.</t>
  </si>
  <si>
    <t>Egyéb felhalmozási c. átvett pénzeszk.</t>
  </si>
  <si>
    <t>2019. évi pénzmaradvány:</t>
  </si>
  <si>
    <t>2019. évi összevont mérleg</t>
  </si>
  <si>
    <t>2019. évi bevételek</t>
  </si>
  <si>
    <t xml:space="preserve">általános működésének és ágazati feladatainak 2019. évi támogatása </t>
  </si>
  <si>
    <t>Közvetített szolgáltatások ellenértéke (B403)</t>
  </si>
  <si>
    <t>Előző évi költségvetési maradvány igénybevétele (B813)</t>
  </si>
  <si>
    <t>Államháztartáson belüli megelőlegezések teljesítése (B814)</t>
  </si>
  <si>
    <t>Működési célú költségvetési és kiegészítő támogatások (B115)</t>
  </si>
  <si>
    <t>2019. évi intézményi működési bevételek teljesülése</t>
  </si>
  <si>
    <t>B403</t>
  </si>
  <si>
    <t>2019. év</t>
  </si>
  <si>
    <t>041233 - Hosszú időtartamú közfoglalkoztatás</t>
  </si>
  <si>
    <t xml:space="preserve">2019. évi szociális ellátások </t>
  </si>
  <si>
    <t>2019. évi felhalmozási kiadások</t>
  </si>
  <si>
    <t>2019. évi támogatások, átadott pénzeszközök</t>
  </si>
  <si>
    <t>2019. december 31.</t>
  </si>
  <si>
    <t>ebből: nemzetiségi önkormányzatnak egyéb működési c. tám</t>
  </si>
  <si>
    <t>egyéb tárgyi eszközök beszerzése, létesítése</t>
  </si>
  <si>
    <t>Tartózkodás után fizetett idegenforgalmi adó</t>
  </si>
  <si>
    <t>Fejezeti kezelésű EI-tól EU-s programok és azok hazai társfinanszírozása miatt felhalmozási célú támogatások bevételei</t>
  </si>
  <si>
    <t>Identitás pályázat bevétele</t>
  </si>
  <si>
    <t>Utas pályázat bevétele</t>
  </si>
  <si>
    <t>Működési támogatás (B11)</t>
  </si>
  <si>
    <t>Földterületek eladása</t>
  </si>
  <si>
    <t xml:space="preserve">   ebből: Magyar Falu Program - óvoda felújítása</t>
  </si>
  <si>
    <t xml:space="preserve">   ebből: falugondnok bértámogatása</t>
  </si>
  <si>
    <t>ebből: Leányvár Község Önkormányzata hozzájárulása</t>
  </si>
  <si>
    <t>ebből:  gyermekvédelmi támogatás</t>
  </si>
  <si>
    <t>Felhalmozási c. kölcsönök visszatérülése</t>
  </si>
  <si>
    <t>Piliscsév Község Önkormányzata</t>
  </si>
  <si>
    <t>I/2.számú melléklet</t>
  </si>
  <si>
    <t>adatok: Ft-ban</t>
  </si>
  <si>
    <t>Főkönyvi szám</t>
  </si>
  <si>
    <t>Főkönyvi szám neve</t>
  </si>
  <si>
    <t>Eredeti előirányzat</t>
  </si>
  <si>
    <t>III.sz. EI módosítás</t>
  </si>
  <si>
    <t>091111</t>
  </si>
  <si>
    <t>091121</t>
  </si>
  <si>
    <t>091131</t>
  </si>
  <si>
    <t>091141</t>
  </si>
  <si>
    <t>091151</t>
  </si>
  <si>
    <t>Működési célú költségvetési támogatások és kiegészítő támogatások</t>
  </si>
  <si>
    <t>091161</t>
  </si>
  <si>
    <t>Elszámolásból származó bevételek - 2018. évi pótigénylés</t>
  </si>
  <si>
    <t>0911   Önkormányzatok működési támogatása</t>
  </si>
  <si>
    <t>0916071</t>
  </si>
  <si>
    <t>Egyéb működési célú támogatások bevételei államháztartáson belülről-helyi önkormányzatok és költségvetési szerveik</t>
  </si>
  <si>
    <t>09161</t>
  </si>
  <si>
    <t>Egyéb működési célú támogatások bevételei államháztartáson belülről</t>
  </si>
  <si>
    <t>0916   Egyéb működési célú támogatások bevételei ÁH-on belülről</t>
  </si>
  <si>
    <t>09251</t>
  </si>
  <si>
    <t>Fejezeti kezelésű EI-tól EU-s programok és azok hazai társfinanszírozása miatt felhalmozási célú támogatások bevételei (Identitás pályázat)</t>
  </si>
  <si>
    <t>0925   Felhalmozási célú önkormányzati támogatások</t>
  </si>
  <si>
    <t>093432</t>
  </si>
  <si>
    <t>09351071</t>
  </si>
  <si>
    <t>Állandó jelleggel végzett iparűzési tevékenység után fizetett helyi adó</t>
  </si>
  <si>
    <t>0935411</t>
  </si>
  <si>
    <t>Belföldi gépjárművek adójának  a helyi önkormányzatot megillető része</t>
  </si>
  <si>
    <t>09355011</t>
  </si>
  <si>
    <t>0936112</t>
  </si>
  <si>
    <t>Szabálysértési pénz- és helyszíni bírság és a közlekedési szabályszegések után kiszabott közigazgatási bírság helyi önkormányzatot megillető része</t>
  </si>
  <si>
    <t>0936121</t>
  </si>
  <si>
    <t>Egyéb bírság</t>
  </si>
  <si>
    <t>0936162</t>
  </si>
  <si>
    <t>Egyéb közhatalmi bevétel</t>
  </si>
  <si>
    <t>0936172</t>
  </si>
  <si>
    <t>09362</t>
  </si>
  <si>
    <t>Egyéb közhatalmi bevételek</t>
  </si>
  <si>
    <t>093   Közhatalmi bevételek</t>
  </si>
  <si>
    <t>094022</t>
  </si>
  <si>
    <t>0940211</t>
  </si>
  <si>
    <t>Tárgyi eszközök bérbeadásából származó bevétel</t>
  </si>
  <si>
    <t>094031</t>
  </si>
  <si>
    <t>094041</t>
  </si>
  <si>
    <t>094051</t>
  </si>
  <si>
    <t>094061</t>
  </si>
  <si>
    <t>094071</t>
  </si>
  <si>
    <t>094082</t>
  </si>
  <si>
    <t>Kamatbevételek</t>
  </si>
  <si>
    <t>094111</t>
  </si>
  <si>
    <t>Kiadások visszatérítései</t>
  </si>
  <si>
    <t>0941142</t>
  </si>
  <si>
    <t>1 és 2 forintos érmék forgalomból történő kivonása miatti kerekítési különbözet</t>
  </si>
  <si>
    <t>094   Működési bevételek</t>
  </si>
  <si>
    <t>095211</t>
  </si>
  <si>
    <t>Ingatlan értékesítés</t>
  </si>
  <si>
    <t>095221</t>
  </si>
  <si>
    <t>09641</t>
  </si>
  <si>
    <t>Működési célú visszatérítendő támogatások, kölcsönök visszatérülése államháztartáson kívülről</t>
  </si>
  <si>
    <t>09741</t>
  </si>
  <si>
    <t>Felhalm.c. kölcsön visszatérülése</t>
  </si>
  <si>
    <t>Egyéb felhalmozási célú átvett pénzeszközök-háztartások</t>
  </si>
  <si>
    <t>09213</t>
  </si>
  <si>
    <t>Felhalmozási célú önkormányzati támogatások teljesítése (Közművelődési pályázaton elnyert összeg)</t>
  </si>
  <si>
    <t>0925031</t>
  </si>
  <si>
    <t>Egyéb felhalmozási célú támogatások bevételei államháztartáson belülről-fejezeti kezelésű előirányzatok EU-s programok és azok hazai társfinanszírozása (utas pályázat)</t>
  </si>
  <si>
    <t>0952 Felhalmozási bevételek</t>
  </si>
  <si>
    <t>0981311</t>
  </si>
  <si>
    <t>Előző év költségvetési maradványának igénybevétele</t>
  </si>
  <si>
    <t>Államháztartáson belüli megelőlegezések teljesítése</t>
  </si>
  <si>
    <t>Bevételek összesen</t>
  </si>
  <si>
    <t>Ellenőrzés:</t>
  </si>
  <si>
    <t>I/3. számú melléklet</t>
  </si>
  <si>
    <t>05110111</t>
  </si>
  <si>
    <t>Köztisztviselők,közalkalmazottak bére</t>
  </si>
  <si>
    <t>05110131</t>
  </si>
  <si>
    <t>MT alapján teljes, részmunkaidős bére</t>
  </si>
  <si>
    <t>0511041</t>
  </si>
  <si>
    <t>Készenléti, ügyeleti, helyettesítési díj, túlóra</t>
  </si>
  <si>
    <t>0511071</t>
  </si>
  <si>
    <t>Béren kívüli juttatások</t>
  </si>
  <si>
    <t>0511091</t>
  </si>
  <si>
    <t>Közlekedési költségtérítés</t>
  </si>
  <si>
    <t>0511101</t>
  </si>
  <si>
    <t>Egyéb költségtérítések</t>
  </si>
  <si>
    <t>0511121</t>
  </si>
  <si>
    <t>Szociális támogatások</t>
  </si>
  <si>
    <t>0511131</t>
  </si>
  <si>
    <t>Foglalkoztatottak egyéb személyi juttatásai</t>
  </si>
  <si>
    <t>051211</t>
  </si>
  <si>
    <t>Választott tisztségviselők juttatásai</t>
  </si>
  <si>
    <t>051221</t>
  </si>
  <si>
    <t>Munkavégzésre irányuló egyéb jogviszonyban nem saját foglalkoztatottnak fizetett juttatások</t>
  </si>
  <si>
    <t>0512361</t>
  </si>
  <si>
    <t>Reprezentáció, üzleti ajándék</t>
  </si>
  <si>
    <t>05211</t>
  </si>
  <si>
    <t>Szociális hozzájárulási adó</t>
  </si>
  <si>
    <t>05261</t>
  </si>
  <si>
    <t>Más járulék fizetési kötelezettség</t>
  </si>
  <si>
    <t>053111</t>
  </si>
  <si>
    <t>Szakmai anyagok beszerzése</t>
  </si>
  <si>
    <t>0531111</t>
  </si>
  <si>
    <t>Gyógyszer</t>
  </si>
  <si>
    <t>0531121</t>
  </si>
  <si>
    <t>Könyv, folyóirat</t>
  </si>
  <si>
    <t>0531141</t>
  </si>
  <si>
    <t>Informatikai eszközök</t>
  </si>
  <si>
    <t>053121</t>
  </si>
  <si>
    <t>Üzemeltetési anyagok beszerzése</t>
  </si>
  <si>
    <t>0531211</t>
  </si>
  <si>
    <t>Élelmiszer</t>
  </si>
  <si>
    <t>0531221</t>
  </si>
  <si>
    <t>Irodaszer, nyomtatvány</t>
  </si>
  <si>
    <t>0531231</t>
  </si>
  <si>
    <t>Hajtó és kenőanyag</t>
  </si>
  <si>
    <t>0531241</t>
  </si>
  <si>
    <t>Munka és védőruha</t>
  </si>
  <si>
    <t>0531251</t>
  </si>
  <si>
    <t>Nyomtatást segítő anyagok</t>
  </si>
  <si>
    <t>0531261</t>
  </si>
  <si>
    <t>Amelyek nem számolhatóak el szakmai anyagnak</t>
  </si>
  <si>
    <t>0532111</t>
  </si>
  <si>
    <t>Informatikai szolgáltatások igénybevétele</t>
  </si>
  <si>
    <t>0532211</t>
  </si>
  <si>
    <t>Telefon, telefax, telex, mobíl díj</t>
  </si>
  <si>
    <t>053311</t>
  </si>
  <si>
    <t>Közüzemidíjak</t>
  </si>
  <si>
    <t>0533111</t>
  </si>
  <si>
    <t>ebből: villamos energia</t>
  </si>
  <si>
    <t>0533121</t>
  </si>
  <si>
    <t>ebből: gázdíj</t>
  </si>
  <si>
    <t>0533131</t>
  </si>
  <si>
    <t>ebből: víz- és csatornadíj</t>
  </si>
  <si>
    <t>053321</t>
  </si>
  <si>
    <t>Vásárolt élelmezés</t>
  </si>
  <si>
    <t>053331</t>
  </si>
  <si>
    <t>Bérleti és lízing díjak</t>
  </si>
  <si>
    <t>053341</t>
  </si>
  <si>
    <t>Karbantartási, kisjavítási szolgáltatások</t>
  </si>
  <si>
    <t>053351</t>
  </si>
  <si>
    <t>Közvetített szolgáltatások Áht-on kívülre</t>
  </si>
  <si>
    <t>053361</t>
  </si>
  <si>
    <t>Szakmai tevékenységet segítő szolgáltatások</t>
  </si>
  <si>
    <t>053371</t>
  </si>
  <si>
    <t>Egyéb szolgáltatások</t>
  </si>
  <si>
    <t>0534111</t>
  </si>
  <si>
    <t>Foglalkoztatottak kiküldetései</t>
  </si>
  <si>
    <t>053511</t>
  </si>
  <si>
    <t>Műk-i célú előzetesen felszámított áfa</t>
  </si>
  <si>
    <t>053521</t>
  </si>
  <si>
    <t>Fizetendő általános forgalmi adó</t>
  </si>
  <si>
    <t>053531</t>
  </si>
  <si>
    <t>Kamatkiadások</t>
  </si>
  <si>
    <t>053551</t>
  </si>
  <si>
    <t>Egyéb dologi kiadások</t>
  </si>
  <si>
    <t>0535531</t>
  </si>
  <si>
    <t>1 és 2 forintos érmék kerekítési különbözete</t>
  </si>
  <si>
    <t>05421</t>
  </si>
  <si>
    <t>Egyéb pénzbeni és természetbeni gyermekvédelmi ell.</t>
  </si>
  <si>
    <t>05471</t>
  </si>
  <si>
    <t>Intézményi ellátottak pénzbeli juttatásai</t>
  </si>
  <si>
    <t>0548</t>
  </si>
  <si>
    <t>Lakásfennt-i támogatás [Szoctv. 45. § ]</t>
  </si>
  <si>
    <t>054831</t>
  </si>
  <si>
    <t>Egyéb, Önkormányzat rendeletében megállapított juttatás</t>
  </si>
  <si>
    <t>054851</t>
  </si>
  <si>
    <t>Települési támogatás [Szoctv. 45.§]</t>
  </si>
  <si>
    <t>054861</t>
  </si>
  <si>
    <t>Temetési segély [Szoctv. 46. §]</t>
  </si>
  <si>
    <t>054871</t>
  </si>
  <si>
    <t>Köztemetés (Szoc.tv. 48.§)</t>
  </si>
  <si>
    <t>0550211</t>
  </si>
  <si>
    <t>A helyi önkormányzatok előző évi elszámolásából származó kiadások</t>
  </si>
  <si>
    <t>05506071</t>
  </si>
  <si>
    <t>Egyéb működési célú támogatások államháztartáson belülre-helyi önkormányzatok és költségvetési szerveik</t>
  </si>
  <si>
    <t>055061</t>
  </si>
  <si>
    <t>Egyéb működési célú támogatások ÁH-on belülre</t>
  </si>
  <si>
    <t>055081</t>
  </si>
  <si>
    <t>Működési célú visszatérítendő támogatások, kölcsönök nyújtása államháztartáson kívülre</t>
  </si>
  <si>
    <t>055121</t>
  </si>
  <si>
    <t>Egyéb működési célú támogatások ÁH-on kívülre</t>
  </si>
  <si>
    <t>05612</t>
  </si>
  <si>
    <t>Immateriális javak beszerzése, létesítése</t>
  </si>
  <si>
    <t>05621</t>
  </si>
  <si>
    <t>Ingatlanok beszerzése, létesítése</t>
  </si>
  <si>
    <t>05631</t>
  </si>
  <si>
    <t>Informatikai eszközök beszerzése, létesítése</t>
  </si>
  <si>
    <t>05641</t>
  </si>
  <si>
    <t>05671</t>
  </si>
  <si>
    <t>Beruházási célú előzetesen felszámított áfa</t>
  </si>
  <si>
    <t>05711</t>
  </si>
  <si>
    <t>05731</t>
  </si>
  <si>
    <t>Egyéb tárgyi eszközök felújítása</t>
  </si>
  <si>
    <t>05741</t>
  </si>
  <si>
    <t>Felújítási célú előzetesen felszámított áfa</t>
  </si>
  <si>
    <t>Fejlesztések</t>
  </si>
  <si>
    <t>05831</t>
  </si>
  <si>
    <t>Központi költségvetési szervnek felhalmozási célú visszatérítendő támogatás, kölcsön törlesztés kiadásai</t>
  </si>
  <si>
    <t>Államháztartáson belüli megelőlegezések visszafizetése</t>
  </si>
  <si>
    <t>059151</t>
  </si>
  <si>
    <t>Központi, irányító szervi támogatás folyósítása</t>
  </si>
  <si>
    <t>Tartalékok (általános)</t>
  </si>
  <si>
    <t>Tartalékok (elköt.pénzm..terh.)</t>
  </si>
  <si>
    <t>Kiadások összesen</t>
  </si>
  <si>
    <t>Piliscsévi Közös Önkormányzati Hivatal</t>
  </si>
  <si>
    <t>Bevételek - COFOG: 018030</t>
  </si>
  <si>
    <t>III. sz. EI mód.</t>
  </si>
  <si>
    <t>098161</t>
  </si>
  <si>
    <t>Központi, irányító szervi támogatás</t>
  </si>
  <si>
    <t>-ebből állami normatív támogatás</t>
  </si>
  <si>
    <t>-ebből bérrendezési alap pályázat</t>
  </si>
  <si>
    <t>-ebből fenntartói támogatás (Piliscsév)</t>
  </si>
  <si>
    <t>Összesen:</t>
  </si>
  <si>
    <t>Bevételek - COFOG: 011130</t>
  </si>
  <si>
    <t>Egyéb működési célú támogatások bevételei államháztartáson belülről (Leányvár)</t>
  </si>
  <si>
    <t>0940821</t>
  </si>
  <si>
    <t>Egyéb kapott (járó) kamatok és kamatjellegű bevételek</t>
  </si>
  <si>
    <t xml:space="preserve">Egyéb működési bevételek </t>
  </si>
  <si>
    <t>Bevételek - COFOG: 016010</t>
  </si>
  <si>
    <t>Központi kezelésű előirányzattól működési célú támogatások bevételei</t>
  </si>
  <si>
    <t>Bevételek összesen:</t>
  </si>
  <si>
    <t>III.sz. EI mód.</t>
  </si>
  <si>
    <t>0511021</t>
  </si>
  <si>
    <t>Normatív jutalmak</t>
  </si>
  <si>
    <t>0511031</t>
  </si>
  <si>
    <t>Céljuttatás, projektprémium</t>
  </si>
  <si>
    <t>Készenléti, ügyeleti, helyettesítési díj, túlóra, túlszolgálat</t>
  </si>
  <si>
    <t>0511061</t>
  </si>
  <si>
    <t>Jubileumi jutalom</t>
  </si>
  <si>
    <t>05111311</t>
  </si>
  <si>
    <t>Felmentett dolgozó juttatásai</t>
  </si>
  <si>
    <t>Reprezentáció</t>
  </si>
  <si>
    <t>053211</t>
  </si>
  <si>
    <t>053221</t>
  </si>
  <si>
    <t xml:space="preserve">Egyéb kommunikációs szolgáltatások </t>
  </si>
  <si>
    <t>053411</t>
  </si>
  <si>
    <t>Kiküldetések kiadásai</t>
  </si>
  <si>
    <t>Működési célú előzetesen felszámított általános forgalmi adó</t>
  </si>
  <si>
    <t>05513</t>
  </si>
  <si>
    <t>Tartalékok előirányzata</t>
  </si>
  <si>
    <t>Piliscsévi "Aranykapu" Egységes Óvoda-Bölcsőde</t>
  </si>
  <si>
    <t xml:space="preserve">Egyéb működési célú támogatások bevételei államháztartáson belülről </t>
  </si>
  <si>
    <t>-ebből fenntartói támogatás (Piliscsév Község Önk.)</t>
  </si>
  <si>
    <t xml:space="preserve">Céljuttatás, projektrprémium </t>
  </si>
  <si>
    <t>Munkavégzésre irányuló egyéb jogviszonyban  nem saját foglalkoztatottnak fizetett juttatások teljesítése</t>
  </si>
  <si>
    <t xml:space="preserve">Közüzemi díjak </t>
  </si>
  <si>
    <t>Karbantartás, kisjavítás szolgáltatások</t>
  </si>
  <si>
    <t>Egyéb szakmai szolgáltatások</t>
  </si>
  <si>
    <t>Egyéb tárgyi eszközök beszerzése</t>
  </si>
  <si>
    <t>Beruházási célú, előzetesen felszámított általános forgalmi adó</t>
  </si>
  <si>
    <t>Beruházások, fejlesztések</t>
  </si>
  <si>
    <t>Kálmánfi Béla Művelődési Ház és Könyvtár</t>
  </si>
  <si>
    <t>051121</t>
  </si>
  <si>
    <t>Maradvány igénybevétele (B813) Hivatal</t>
  </si>
  <si>
    <t>Maradvány igénybevétele (B813) műv.ház</t>
  </si>
  <si>
    <t>Központi ktg-i szervnek felh-i célú visszatérítendő tám., kölcsön törlesztés kiadásai</t>
  </si>
  <si>
    <t xml:space="preserve">Egyéb felhalmozási célú támog. Áht-on belülről </t>
  </si>
  <si>
    <t>ebből: Közös Hivatal bevétele</t>
  </si>
  <si>
    <t>ebből: bérkiegészítő alap pályázat támogatás</t>
  </si>
  <si>
    <t>Elszámolásból származó bevételek (B116)</t>
  </si>
  <si>
    <t>Az önkormányzati vagyonnal való gazd.</t>
  </si>
  <si>
    <t>Gyermekek bölcsődében és mini bölcsődében</t>
  </si>
  <si>
    <t>Gyermekétk. Bölcsődében</t>
  </si>
  <si>
    <t>Óvodai nevelés, ellátás, működtetés</t>
  </si>
  <si>
    <t>Közös Hivatal bevételei</t>
  </si>
  <si>
    <t>Piliscsévi Közös Önkormányzati Hivatal összesen:</t>
  </si>
  <si>
    <t>Piliscsévi Aranykapu Óvoda-Bölcsőde összesen:</t>
  </si>
  <si>
    <t>Kálmánfi Béla Művelődési Ház és Könyvtár összesen:</t>
  </si>
  <si>
    <t>013350 - Az önkormányzati vagyonnal való gazdálkodással kapcs. feladatok</t>
  </si>
  <si>
    <t>041236 - Országos közfoglalkoztatási program</t>
  </si>
  <si>
    <t>074032 - Ifjúság-egészségügyi gondozás</t>
  </si>
  <si>
    <t>082091 - Közművelődés - közösségi és társadalmi részvétel teljesítése</t>
  </si>
  <si>
    <t>104035 - Gyermekétkeztetés bölcsődében, fogyatékosok nappali intézményében</t>
  </si>
  <si>
    <t>104042 - Család-, és gyermekjóléti foglalkozások</t>
  </si>
  <si>
    <t>ebből: Köztemetés (Szoc.tv. 48.§) (K48)</t>
  </si>
  <si>
    <t>SNI fejlesztő pedagógus</t>
  </si>
  <si>
    <t xml:space="preserve">Ösztöndíj támogatás </t>
  </si>
  <si>
    <t>Arany János pályázat</t>
  </si>
  <si>
    <t>Piliscsévi gyerekek bérlet-támogatása</t>
  </si>
  <si>
    <t>Babautalvány</t>
  </si>
  <si>
    <t>Temetési segély</t>
  </si>
  <si>
    <t>Átmeneti települési támogatás</t>
  </si>
  <si>
    <t>Segélyek</t>
  </si>
  <si>
    <t>Immateriális javak beszerzése</t>
  </si>
  <si>
    <t>ebből: Tér-Háló településrendezési terv</t>
  </si>
  <si>
    <t>ebből: Kovit-Terv Kft. - vízgazdálkodási terv</t>
  </si>
  <si>
    <t xml:space="preserve">         ebből:   informatikai eszközök beszerzése</t>
  </si>
  <si>
    <t>tárgyi eszköz beszerzése közfoglalkoztatottaknak</t>
  </si>
  <si>
    <t>tárgyi eszköz beszerzése Identitás pályázathoz</t>
  </si>
  <si>
    <t>eszközbeszerzés Művelődési Házba</t>
  </si>
  <si>
    <t>eszközbeszerzés Óvodába</t>
  </si>
  <si>
    <t>TOP Szoc. Alapellátó és Művelődési Ház felújítása</t>
  </si>
  <si>
    <t>Gyógyszertári parkoló és buszmegálló felújítása</t>
  </si>
  <si>
    <t>Béke utcai járdafelújítás</t>
  </si>
  <si>
    <t>Tisztiítómű felújítása</t>
  </si>
  <si>
    <t>Orvosi rendelőnél felújítás</t>
  </si>
  <si>
    <t xml:space="preserve">"Külterületi helyi utak fejlesztése" c. pályázat </t>
  </si>
  <si>
    <t>Óvoda fejlesztés  - Magyar Falu program keretében</t>
  </si>
  <si>
    <t>Felhalmozási célú visszatérítendő támogatás</t>
  </si>
  <si>
    <t>Diákönkormányzat</t>
  </si>
  <si>
    <t>Leányvári Cselgáncs Klub</t>
  </si>
  <si>
    <t>Vöröskereszt</t>
  </si>
  <si>
    <t>Piliscsév SE</t>
  </si>
  <si>
    <t>Szlovák Baráti Kör</t>
  </si>
  <si>
    <t>Asszonykórus Piliscsév</t>
  </si>
  <si>
    <t>Nyugdíjas Klub</t>
  </si>
  <si>
    <t>Pincefalu Egyesület</t>
  </si>
  <si>
    <t>Piliscsévi Polgárőr Egyesület</t>
  </si>
  <si>
    <t>Egyéb támogatások (Kolibri, Pilis Kupa, stb.)</t>
  </si>
  <si>
    <t>Piliscsévi Szlovák Önkormányzat</t>
  </si>
  <si>
    <t>Piliscsévi Lövész Sportegyesület</t>
  </si>
  <si>
    <t>Katolikus Karitász</t>
  </si>
  <si>
    <t>Trnka Tánccsoport</t>
  </si>
  <si>
    <t>Dorog és Térsége Turizmus Egyesület tagdíj</t>
  </si>
  <si>
    <t>Esztergomi Kórház, eü-i, egyedi kérelmek</t>
  </si>
  <si>
    <t>Duna-Pilis-Gerecse Vidékfejlesztési Egyesület</t>
  </si>
  <si>
    <t>Natúrpark, Virágzó Kesztölc Egyesület</t>
  </si>
  <si>
    <t>A/III/2 Tartós hitelviszonyt megtestesítő értékpapírok</t>
  </si>
  <si>
    <t>A/III Befektetett pénzügyi eszközök</t>
  </si>
  <si>
    <t>D/I/1 Költségvetési évben esedékes követelések műk-i célú tám. Bevételeire áht-on belülről</t>
  </si>
  <si>
    <t xml:space="preserve">D/I/7 Költségvetési évben esedékes követelések felhalmozási célú átvett pénzeszközre </t>
  </si>
  <si>
    <t>G/II. Nemzeti vagyon változásai</t>
  </si>
  <si>
    <t>Önkormányzati bevételek és kiadások teljesülése összesen</t>
  </si>
  <si>
    <t xml:space="preserve">Egyéb működési c. tám. </t>
  </si>
  <si>
    <t>Intézmény fin. (pályázat)</t>
  </si>
  <si>
    <t>Tartalékok</t>
  </si>
  <si>
    <t>09404</t>
  </si>
  <si>
    <t>Beruházások</t>
  </si>
  <si>
    <t>Piliscsév Község Önkormányzatának vagyonmérlege</t>
  </si>
  <si>
    <t>1. melléklet a 3/2020.(VII.01.) önkormányzati rendelethez</t>
  </si>
  <si>
    <t>2. melléklet a 3/2020.(VII.01.) önkormányzati rendelethez</t>
  </si>
  <si>
    <t>3. melléklet a 3/2020.(VII.01.) önkormányzati rendelethez</t>
  </si>
  <si>
    <t>4.sz. melléklet a 3/2020.(VII.01.) önkormányzati rendelethez</t>
  </si>
  <si>
    <t>5. melléklet a 3/2020.(VII.01.) önkormányzati rendelethez</t>
  </si>
  <si>
    <t>6. melléklet a 3/2020.(VII.01.)  önkormányzati rendelethez</t>
  </si>
  <si>
    <t>7. melléklet a 3/2020.(VII.01.) önkormányzati rendelethez</t>
  </si>
  <si>
    <t>8. melléklet a 3/2020.(VII.01.) önkormányzati rendelethez</t>
  </si>
  <si>
    <t>9. melléklet a 3/2020.(VII.01.) önkormányzati rendelethez</t>
  </si>
  <si>
    <t>10. melléklet a 3/2020.(VII.01.) önkormányzati rendelethez</t>
  </si>
  <si>
    <t>11. melléklet a 3/2020.(VII.01.) önkormányzati rendelethez</t>
  </si>
  <si>
    <t>12. melléklet a 3/2020.(VII.01.) önkormányzati rendelethez</t>
  </si>
  <si>
    <t>13. melléklet a 3/2020.(VII.01.) önkormányzati rendelethez</t>
  </si>
  <si>
    <t>14. melléklet a 3/2020.(VII.01.) önkormányzati rendelethez</t>
  </si>
  <si>
    <t>15. melléklet a 3/2020.(VII.01.)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</si>
</sst>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&quot;Ft&quot;_-;\-* #,##0.00\ &quot;Ft&quot;_-;_-* &quot;-&quot;??\ &quot;Ft&quot;_-;_-@_-"/>
    <numFmt numFmtId="165" formatCode="_-* #,##0.00\ _F_t_-;\-* #,##0.00\ _F_t_-;_-* &quot;-&quot;??\ _F_t_-;_-@_-"/>
    <numFmt numFmtId="166" formatCode="_-* #,##0\ _F_t_-;\-* #,##0\ _F_t_-;_-* &quot;-&quot;??\ _F_t_-;_-@_-"/>
    <numFmt numFmtId="167" formatCode="_-* #,##0.00,_F_t_-;\-* #,##0.00,_F_t_-;_-* \-??\ _F_t_-;_-@_-"/>
    <numFmt numFmtId="168" formatCode="#,##0.0"/>
    <numFmt numFmtId="169" formatCode="#,##0_ ;\-#,##0\ "/>
    <numFmt numFmtId="170" formatCode="_-* #,##0,_F_t_-;\-* #,##0,_F_t_-;_-* \-??\ _F_t_-;_-@_-"/>
    <numFmt numFmtId="171" formatCode="_-* #,##0,&quot;Ft&quot;_-;\-* #,##0,&quot;Ft&quot;_-;_-* \-??&quot; Ft&quot;_-;_-@_-"/>
    <numFmt numFmtId="172" formatCode="#,##0\ &quot;Ft&quot;"/>
  </numFmts>
  <fonts count="10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4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  <font>
      <sz val="14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b/>
      <sz val="11"/>
      <name val="Arial"/>
      <family val="2"/>
      <charset val="238"/>
    </font>
    <font>
      <b/>
      <sz val="10"/>
      <name val="Bookman Old Style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sz val="14"/>
      <name val="Bookman Old Style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b/>
      <sz val="11"/>
      <name val="Bookman Old Style"/>
      <family val="1"/>
      <charset val="238"/>
    </font>
    <font>
      <sz val="11"/>
      <name val="Arial CE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Arial CE"/>
      <charset val="238"/>
    </font>
    <font>
      <sz val="9"/>
      <name val="Bookman Old Style"/>
      <family val="1"/>
    </font>
    <font>
      <b/>
      <sz val="9"/>
      <name val="Bookman Old Style"/>
      <family val="1"/>
    </font>
    <font>
      <b/>
      <sz val="9"/>
      <name val="Bookman Old Style"/>
      <family val="1"/>
      <charset val="238"/>
    </font>
    <font>
      <b/>
      <sz val="8"/>
      <name val="Bookman Old Style"/>
      <family val="1"/>
      <charset val="238"/>
    </font>
    <font>
      <sz val="9"/>
      <name val="Bookman Old Style"/>
      <family val="1"/>
      <charset val="238"/>
    </font>
    <font>
      <b/>
      <sz val="12"/>
      <name val="Times New Roman"/>
      <family val="1"/>
      <charset val="238"/>
    </font>
    <font>
      <sz val="9"/>
      <color indexed="8"/>
      <name val="Arial"/>
      <family val="2"/>
      <charset val="238"/>
    </font>
    <font>
      <sz val="12"/>
      <name val="Times New Roman"/>
      <family val="1"/>
      <charset val="1"/>
    </font>
    <font>
      <i/>
      <sz val="12"/>
      <name val="Times New Roman"/>
      <family val="1"/>
      <charset val="238"/>
    </font>
    <font>
      <sz val="9"/>
      <color theme="1"/>
      <name val="Arial CE"/>
      <charset val="238"/>
    </font>
    <font>
      <sz val="9"/>
      <color theme="1"/>
      <name val="Bookman Old Style"/>
      <family val="1"/>
      <charset val="238"/>
    </font>
    <font>
      <sz val="11"/>
      <name val="Bookman Old Style"/>
      <family val="1"/>
      <charset val="238"/>
    </font>
    <font>
      <i/>
      <sz val="10"/>
      <name val="Bookman Old Style"/>
      <family val="1"/>
    </font>
    <font>
      <i/>
      <sz val="10"/>
      <name val="Arial CE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 CE"/>
      <charset val="238"/>
    </font>
    <font>
      <i/>
      <sz val="10"/>
      <name val="Bookman Old Style"/>
      <family val="1"/>
      <charset val="238"/>
    </font>
    <font>
      <b/>
      <sz val="9"/>
      <name val="Arial"/>
      <family val="2"/>
      <charset val="238"/>
    </font>
    <font>
      <b/>
      <sz val="11"/>
      <name val="Bodoni MT"/>
      <family val="1"/>
    </font>
    <font>
      <sz val="11"/>
      <name val="Bodoni MT"/>
      <family val="1"/>
    </font>
    <font>
      <sz val="11"/>
      <color indexed="10"/>
      <name val="Bodoni MT"/>
      <family val="1"/>
    </font>
    <font>
      <i/>
      <sz val="11"/>
      <name val="Bodoni MT"/>
      <family val="1"/>
    </font>
    <font>
      <b/>
      <i/>
      <sz val="11"/>
      <name val="Bodoni MT"/>
      <family val="1"/>
    </font>
    <font>
      <b/>
      <sz val="12"/>
      <name val="Times New Roman"/>
      <family val="1"/>
      <charset val="1"/>
    </font>
    <font>
      <b/>
      <sz val="10"/>
      <name val="Times New Roman"/>
      <family val="1"/>
      <charset val="238"/>
    </font>
    <font>
      <b/>
      <sz val="7"/>
      <color rgb="FF333333"/>
      <name val="Verdana"/>
      <family val="2"/>
      <charset val="238"/>
    </font>
    <font>
      <i/>
      <sz val="11"/>
      <name val="Bookman Old Style"/>
      <family val="1"/>
      <charset val="238"/>
    </font>
    <font>
      <sz val="10"/>
      <name val="MS Sans Serif"/>
      <family val="2"/>
      <charset val="238"/>
    </font>
    <font>
      <b/>
      <sz val="11"/>
      <name val="Traditional Arabic"/>
      <family val="1"/>
    </font>
    <font>
      <i/>
      <sz val="11"/>
      <name val="Traditional Arabic"/>
      <family val="1"/>
    </font>
    <font>
      <b/>
      <sz val="11"/>
      <name val="Traditional Arabic"/>
      <family val="1"/>
      <charset val="1"/>
    </font>
    <font>
      <i/>
      <sz val="11"/>
      <name val="Traditional Arabic"/>
      <family val="1"/>
      <charset val="1"/>
    </font>
    <font>
      <sz val="11"/>
      <name val="Traditional Arabic"/>
      <family val="1"/>
      <charset val="1"/>
    </font>
    <font>
      <b/>
      <i/>
      <sz val="11"/>
      <name val="Traditional Arabic"/>
      <family val="1"/>
      <charset val="1"/>
    </font>
    <font>
      <b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color rgb="FFFF000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1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1"/>
    </font>
    <font>
      <sz val="10"/>
      <color rgb="FFFF0000"/>
      <name val="Arial"/>
      <family val="2"/>
      <charset val="1"/>
    </font>
    <font>
      <sz val="9"/>
      <color rgb="FF333333"/>
      <name val="Times New Roman"/>
      <family val="1"/>
      <charset val="238"/>
    </font>
    <font>
      <b/>
      <sz val="10"/>
      <name val="Arial"/>
      <family val="2"/>
      <charset val="1"/>
    </font>
    <font>
      <b/>
      <i/>
      <sz val="12"/>
      <name val="Arial"/>
      <family val="2"/>
      <charset val="238"/>
    </font>
    <font>
      <b/>
      <sz val="8"/>
      <name val="Times New Roman"/>
      <family val="1"/>
      <charset val="238"/>
    </font>
    <font>
      <i/>
      <sz val="8"/>
      <name val="Arial"/>
      <family val="2"/>
      <charset val="238"/>
    </font>
    <font>
      <i/>
      <sz val="8"/>
      <name val="Times New Roman"/>
      <family val="1"/>
      <charset val="1"/>
    </font>
    <font>
      <i/>
      <sz val="8"/>
      <name val="Arial"/>
      <family val="2"/>
      <charset val="1"/>
    </font>
    <font>
      <i/>
      <sz val="9"/>
      <name val="Times New Roman"/>
      <family val="1"/>
      <charset val="238"/>
    </font>
    <font>
      <sz val="8"/>
      <name val="Arial"/>
      <family val="2"/>
      <charset val="1"/>
    </font>
    <font>
      <i/>
      <sz val="10"/>
      <color rgb="FFFF0000"/>
      <name val="Arial"/>
      <family val="2"/>
      <charset val="238"/>
    </font>
    <font>
      <sz val="7"/>
      <color indexed="8"/>
      <name val="Verdana"/>
      <family val="2"/>
      <charset val="238"/>
    </font>
    <font>
      <sz val="9"/>
      <color indexed="8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b/>
      <sz val="10"/>
      <name val="Verdana"/>
      <family val="2"/>
      <charset val="238"/>
    </font>
    <font>
      <sz val="7"/>
      <name val="Verdana"/>
      <family val="2"/>
      <charset val="238"/>
    </font>
    <font>
      <i/>
      <sz val="7"/>
      <name val="Verdana"/>
      <family val="2"/>
      <charset val="238"/>
    </font>
    <font>
      <b/>
      <sz val="8"/>
      <name val="Verdana"/>
      <family val="2"/>
      <charset val="238"/>
    </font>
    <font>
      <b/>
      <sz val="7"/>
      <name val="Verdana"/>
      <family val="2"/>
      <charset val="238"/>
    </font>
    <font>
      <sz val="8"/>
      <name val="Verdana"/>
      <family val="2"/>
      <charset val="238"/>
    </font>
    <font>
      <b/>
      <i/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9"/>
      <name val="Book Antiqua"/>
      <family val="1"/>
      <charset val="238"/>
    </font>
    <font>
      <b/>
      <sz val="11"/>
      <name val="Traditional Arabic"/>
      <family val="1"/>
      <charset val="238"/>
    </font>
    <font>
      <i/>
      <sz val="10"/>
      <name val="Times New Roman"/>
      <family val="1"/>
      <charset val="238"/>
    </font>
    <font>
      <sz val="12"/>
      <name val="Arial"/>
      <family val="2"/>
      <charset val="238"/>
    </font>
    <font>
      <i/>
      <sz val="8"/>
      <name val="Verdana"/>
      <family val="2"/>
      <charset val="238"/>
    </font>
    <font>
      <b/>
      <sz val="12"/>
      <name val="Traditional Arabic"/>
      <family val="1"/>
      <charset val="1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rgb="FFCCFFFF"/>
      </patternFill>
    </fill>
    <fill>
      <patternFill patternType="solid">
        <fgColor theme="2"/>
        <bgColor rgb="FF8FAADC"/>
      </patternFill>
    </fill>
    <fill>
      <patternFill patternType="solid">
        <fgColor theme="2"/>
        <bgColor rgb="FF9DC3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8"/>
      </patternFill>
    </fill>
    <fill>
      <patternFill patternType="solid">
        <fgColor rgb="FFFFFFFF"/>
        <bgColor rgb="FFFFFFCC"/>
      </patternFill>
    </fill>
    <fill>
      <patternFill patternType="solid">
        <fgColor theme="2" tint="-9.9978637043366805E-2"/>
        <bgColor rgb="FFFFFF99"/>
      </patternFill>
    </fill>
    <fill>
      <patternFill patternType="solid">
        <fgColor theme="2" tint="-9.9978637043366805E-2"/>
        <bgColor rgb="FFCCFFFF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E699"/>
        <bgColor rgb="FFFFFF99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F8CBAD"/>
      </patternFill>
    </fill>
    <fill>
      <patternFill patternType="solid">
        <fgColor rgb="FFFFFFCC"/>
        <bgColor rgb="FFFFF2CC"/>
      </patternFill>
    </fill>
    <fill>
      <patternFill patternType="solid">
        <fgColor rgb="FFFFF2CC"/>
        <bgColor rgb="FFFFFFCC"/>
      </patternFill>
    </fill>
    <fill>
      <patternFill patternType="solid">
        <fgColor rgb="FFFAC090"/>
        <bgColor rgb="FFFFCC99"/>
      </patternFill>
    </fill>
    <fill>
      <patternFill patternType="solid">
        <fgColor indexed="43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3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6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7" fontId="3" fillId="0" borderId="0"/>
    <xf numFmtId="0" fontId="22" fillId="0" borderId="0"/>
    <xf numFmtId="9" fontId="1" fillId="0" borderId="0" applyFont="0" applyFill="0" applyBorder="0" applyAlignment="0" applyProtection="0"/>
    <xf numFmtId="167" fontId="3" fillId="0" borderId="0"/>
    <xf numFmtId="164" fontId="1" fillId="0" borderId="0" applyFont="0" applyFill="0" applyBorder="0" applyAlignment="0" applyProtection="0"/>
    <xf numFmtId="0" fontId="1" fillId="0" borderId="0"/>
  </cellStyleXfs>
  <cellXfs count="124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0" xfId="0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 applyBorder="1"/>
    <xf numFmtId="0" fontId="4" fillId="0" borderId="0" xfId="0" applyFont="1" applyBorder="1"/>
    <xf numFmtId="3" fontId="0" fillId="0" borderId="0" xfId="0" applyNumberFormat="1" applyBorder="1"/>
    <xf numFmtId="0" fontId="0" fillId="0" borderId="0" xfId="0" applyAlignment="1"/>
    <xf numFmtId="0" fontId="11" fillId="0" borderId="0" xfId="0" applyFont="1"/>
    <xf numFmtId="0" fontId="13" fillId="0" borderId="0" xfId="0" applyFont="1"/>
    <xf numFmtId="0" fontId="1" fillId="0" borderId="0" xfId="0" applyFont="1" applyAlignment="1">
      <alignment horizontal="right"/>
    </xf>
    <xf numFmtId="0" fontId="21" fillId="0" borderId="0" xfId="0" applyFont="1"/>
    <xf numFmtId="3" fontId="0" fillId="0" borderId="0" xfId="0" applyNumberFormat="1"/>
    <xf numFmtId="0" fontId="23" fillId="0" borderId="0" xfId="0" applyFont="1" applyAlignment="1">
      <alignment vertical="top" wrapText="1"/>
    </xf>
    <xf numFmtId="3" fontId="8" fillId="0" borderId="0" xfId="0" applyNumberFormat="1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top" wrapText="1"/>
    </xf>
    <xf numFmtId="0" fontId="12" fillId="0" borderId="0" xfId="0" applyFont="1" applyAlignment="1">
      <alignment horizontal="center"/>
    </xf>
    <xf numFmtId="0" fontId="15" fillId="0" borderId="0" xfId="0" applyFont="1" applyAlignment="1"/>
    <xf numFmtId="0" fontId="12" fillId="0" borderId="0" xfId="0" applyFont="1" applyAlignment="1"/>
    <xf numFmtId="0" fontId="18" fillId="0" borderId="0" xfId="0" applyFont="1" applyAlignment="1"/>
    <xf numFmtId="0" fontId="26" fillId="0" borderId="0" xfId="0" applyFont="1" applyAlignment="1">
      <alignment horizontal="right"/>
    </xf>
    <xf numFmtId="0" fontId="25" fillId="0" borderId="0" xfId="0" applyFont="1" applyAlignment="1"/>
    <xf numFmtId="0" fontId="26" fillId="0" borderId="9" xfId="0" applyFont="1" applyBorder="1" applyAlignment="1">
      <alignment horizontal="center" wrapText="1"/>
    </xf>
    <xf numFmtId="0" fontId="26" fillId="0" borderId="10" xfId="0" applyFont="1" applyBorder="1" applyAlignment="1">
      <alignment horizontal="center" wrapText="1"/>
    </xf>
    <xf numFmtId="0" fontId="26" fillId="0" borderId="0" xfId="0" applyFont="1" applyAlignment="1"/>
    <xf numFmtId="0" fontId="22" fillId="0" borderId="15" xfId="0" applyFont="1" applyBorder="1"/>
    <xf numFmtId="0" fontId="22" fillId="0" borderId="2" xfId="0" applyFont="1" applyBorder="1"/>
    <xf numFmtId="0" fontId="6" fillId="0" borderId="0" xfId="0" applyFont="1"/>
    <xf numFmtId="0" fontId="31" fillId="0" borderId="0" xfId="0" applyFont="1" applyAlignment="1">
      <alignment vertical="top" wrapText="1"/>
    </xf>
    <xf numFmtId="3" fontId="17" fillId="0" borderId="0" xfId="0" applyNumberFormat="1" applyFont="1" applyAlignment="1">
      <alignment horizontal="center" wrapText="1"/>
    </xf>
    <xf numFmtId="166" fontId="0" fillId="0" borderId="0" xfId="0" applyNumberFormat="1"/>
    <xf numFmtId="166" fontId="2" fillId="0" borderId="0" xfId="0" applyNumberFormat="1" applyFont="1" applyBorder="1"/>
    <xf numFmtId="166" fontId="13" fillId="0" borderId="0" xfId="0" applyNumberFormat="1" applyFont="1"/>
    <xf numFmtId="3" fontId="24" fillId="0" borderId="0" xfId="0" applyNumberFormat="1" applyFont="1" applyBorder="1" applyAlignment="1">
      <alignment horizontal="center"/>
    </xf>
    <xf numFmtId="0" fontId="40" fillId="0" borderId="0" xfId="0" applyFont="1"/>
    <xf numFmtId="0" fontId="28" fillId="0" borderId="19" xfId="0" applyFont="1" applyBorder="1"/>
    <xf numFmtId="0" fontId="8" fillId="0" borderId="0" xfId="0" applyFont="1" applyAlignment="1">
      <alignment horizontal="center"/>
    </xf>
    <xf numFmtId="0" fontId="39" fillId="0" borderId="0" xfId="0" applyFont="1"/>
    <xf numFmtId="0" fontId="43" fillId="0" borderId="0" xfId="0" applyFont="1"/>
    <xf numFmtId="168" fontId="0" fillId="0" borderId="0" xfId="0" applyNumberFormat="1"/>
    <xf numFmtId="168" fontId="0" fillId="0" borderId="0" xfId="0" applyNumberFormat="1" applyBorder="1"/>
    <xf numFmtId="1" fontId="0" fillId="0" borderId="0" xfId="0" applyNumberFormat="1"/>
    <xf numFmtId="0" fontId="16" fillId="0" borderId="0" xfId="0" applyFont="1" applyFill="1" applyBorder="1" applyAlignment="1">
      <alignment horizontal="center" vertical="top" wrapText="1"/>
    </xf>
    <xf numFmtId="1" fontId="36" fillId="0" borderId="58" xfId="4" applyNumberFormat="1" applyFont="1" applyBorder="1" applyAlignment="1">
      <alignment horizontal="center" vertical="center" wrapText="1"/>
    </xf>
    <xf numFmtId="3" fontId="34" fillId="0" borderId="55" xfId="0" applyNumberFormat="1" applyFont="1" applyBorder="1"/>
    <xf numFmtId="3" fontId="34" fillId="0" borderId="10" xfId="0" applyNumberFormat="1" applyFont="1" applyBorder="1"/>
    <xf numFmtId="0" fontId="34" fillId="0" borderId="14" xfId="0" applyFont="1" applyFill="1" applyBorder="1"/>
    <xf numFmtId="1" fontId="37" fillId="0" borderId="43" xfId="4" applyNumberFormat="1" applyFont="1" applyBorder="1" applyAlignment="1">
      <alignment horizontal="center" vertical="center" wrapText="1"/>
    </xf>
    <xf numFmtId="0" fontId="9" fillId="0" borderId="58" xfId="0" applyFont="1" applyBorder="1"/>
    <xf numFmtId="0" fontId="34" fillId="0" borderId="55" xfId="0" applyFont="1" applyBorder="1"/>
    <xf numFmtId="0" fontId="34" fillId="0" borderId="10" xfId="0" applyFont="1" applyBorder="1"/>
    <xf numFmtId="0" fontId="34" fillId="0" borderId="10" xfId="0" applyFont="1" applyFill="1" applyBorder="1"/>
    <xf numFmtId="0" fontId="34" fillId="0" borderId="9" xfId="0" applyFont="1" applyBorder="1"/>
    <xf numFmtId="3" fontId="34" fillId="0" borderId="9" xfId="0" applyNumberFormat="1" applyFont="1" applyBorder="1"/>
    <xf numFmtId="0" fontId="35" fillId="0" borderId="62" xfId="0" applyFont="1" applyBorder="1"/>
    <xf numFmtId="3" fontId="35" fillId="0" borderId="62" xfId="0" applyNumberFormat="1" applyFont="1" applyBorder="1"/>
    <xf numFmtId="1" fontId="37" fillId="0" borderId="60" xfId="4" applyNumberFormat="1" applyFont="1" applyBorder="1" applyAlignment="1">
      <alignment horizontal="center" vertical="center" wrapText="1"/>
    </xf>
    <xf numFmtId="0" fontId="47" fillId="0" borderId="0" xfId="0" applyFont="1" applyAlignment="1">
      <alignment horizontal="right"/>
    </xf>
    <xf numFmtId="3" fontId="29" fillId="0" borderId="0" xfId="1" applyNumberFormat="1" applyFont="1" applyBorder="1"/>
    <xf numFmtId="3" fontId="29" fillId="0" borderId="0" xfId="1" applyNumberFormat="1" applyFont="1" applyFill="1" applyBorder="1"/>
    <xf numFmtId="3" fontId="38" fillId="0" borderId="0" xfId="1" applyNumberFormat="1" applyFont="1" applyBorder="1"/>
    <xf numFmtId="3" fontId="38" fillId="0" borderId="0" xfId="1" applyNumberFormat="1" applyFont="1" applyFill="1" applyBorder="1"/>
    <xf numFmtId="3" fontId="36" fillId="0" borderId="0" xfId="0" applyNumberFormat="1" applyFont="1" applyBorder="1" applyAlignment="1">
      <alignment horizontal="right"/>
    </xf>
    <xf numFmtId="3" fontId="33" fillId="0" borderId="0" xfId="1" applyNumberFormat="1" applyFont="1" applyBorder="1"/>
    <xf numFmtId="0" fontId="32" fillId="0" borderId="0" xfId="0" applyFont="1" applyFill="1" applyBorder="1" applyAlignment="1"/>
    <xf numFmtId="169" fontId="32" fillId="0" borderId="0" xfId="6" applyNumberFormat="1" applyFont="1" applyFill="1" applyBorder="1" applyAlignment="1" applyProtection="1"/>
    <xf numFmtId="0" fontId="51" fillId="0" borderId="0" xfId="0" applyFont="1" applyBorder="1" applyAlignment="1">
      <alignment horizontal="center"/>
    </xf>
    <xf numFmtId="0" fontId="51" fillId="0" borderId="0" xfId="0" applyFont="1" applyAlignment="1">
      <alignment horizontal="right"/>
    </xf>
    <xf numFmtId="3" fontId="42" fillId="0" borderId="0" xfId="0" applyNumberFormat="1" applyFont="1" applyBorder="1" applyAlignment="1"/>
    <xf numFmtId="170" fontId="42" fillId="0" borderId="4" xfId="0" applyNumberFormat="1" applyFont="1" applyBorder="1" applyAlignment="1"/>
    <xf numFmtId="170" fontId="19" fillId="0" borderId="0" xfId="0" applyNumberFormat="1" applyFont="1" applyAlignment="1"/>
    <xf numFmtId="0" fontId="38" fillId="0" borderId="27" xfId="0" applyFont="1" applyBorder="1"/>
    <xf numFmtId="0" fontId="38" fillId="0" borderId="29" xfId="0" applyFont="1" applyBorder="1"/>
    <xf numFmtId="0" fontId="38" fillId="0" borderId="10" xfId="0" applyFont="1" applyBorder="1" applyAlignment="1">
      <alignment horizontal="justify" wrapText="1"/>
    </xf>
    <xf numFmtId="0" fontId="52" fillId="0" borderId="3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170" fontId="34" fillId="0" borderId="55" xfId="4" applyNumberFormat="1" applyFont="1" applyBorder="1"/>
    <xf numFmtId="170" fontId="34" fillId="0" borderId="10" xfId="4" applyNumberFormat="1" applyFont="1" applyBorder="1"/>
    <xf numFmtId="170" fontId="34" fillId="0" borderId="10" xfId="4" applyNumberFormat="1" applyFont="1" applyFill="1" applyBorder="1"/>
    <xf numFmtId="170" fontId="34" fillId="0" borderId="11" xfId="4" applyNumberFormat="1" applyFont="1" applyFill="1" applyBorder="1"/>
    <xf numFmtId="0" fontId="9" fillId="0" borderId="0" xfId="0" applyFont="1" applyBorder="1"/>
    <xf numFmtId="1" fontId="37" fillId="0" borderId="0" xfId="4" applyNumberFormat="1" applyFont="1" applyBorder="1" applyAlignment="1">
      <alignment horizontal="center" vertical="center" wrapText="1"/>
    </xf>
    <xf numFmtId="1" fontId="36" fillId="0" borderId="0" xfId="4" applyNumberFormat="1" applyFont="1" applyBorder="1" applyAlignment="1">
      <alignment horizontal="center" vertical="center" wrapText="1"/>
    </xf>
    <xf numFmtId="0" fontId="34" fillId="0" borderId="0" xfId="0" applyFont="1" applyBorder="1"/>
    <xf numFmtId="170" fontId="34" fillId="0" borderId="0" xfId="1" applyNumberFormat="1" applyFont="1" applyBorder="1"/>
    <xf numFmtId="170" fontId="34" fillId="0" borderId="0" xfId="4" applyNumberFormat="1" applyFont="1" applyBorder="1"/>
    <xf numFmtId="3" fontId="34" fillId="0" borderId="0" xfId="0" applyNumberFormat="1" applyFont="1" applyBorder="1"/>
    <xf numFmtId="170" fontId="38" fillId="0" borderId="0" xfId="0" applyNumberFormat="1" applyFont="1" applyFill="1" applyBorder="1"/>
    <xf numFmtId="170" fontId="29" fillId="0" borderId="0" xfId="1" applyNumberFormat="1" applyFont="1" applyBorder="1"/>
    <xf numFmtId="170" fontId="29" fillId="0" borderId="0" xfId="1" applyNumberFormat="1" applyFont="1" applyFill="1" applyBorder="1"/>
    <xf numFmtId="170" fontId="38" fillId="0" borderId="0" xfId="1" applyNumberFormat="1" applyFont="1" applyBorder="1" applyAlignment="1"/>
    <xf numFmtId="170" fontId="38" fillId="0" borderId="0" xfId="1" applyNumberFormat="1" applyFont="1" applyBorder="1"/>
    <xf numFmtId="170" fontId="34" fillId="0" borderId="0" xfId="4" applyNumberFormat="1" applyFont="1" applyFill="1" applyBorder="1"/>
    <xf numFmtId="170" fontId="38" fillId="0" borderId="0" xfId="1" applyNumberFormat="1" applyFont="1" applyFill="1" applyBorder="1"/>
    <xf numFmtId="0" fontId="34" fillId="0" borderId="0" xfId="0" applyFont="1" applyFill="1" applyBorder="1"/>
    <xf numFmtId="170" fontId="44" fillId="0" borderId="0" xfId="1" applyNumberFormat="1" applyFont="1" applyBorder="1" applyAlignment="1"/>
    <xf numFmtId="170" fontId="44" fillId="0" borderId="0" xfId="1" applyNumberFormat="1" applyFont="1" applyBorder="1"/>
    <xf numFmtId="0" fontId="35" fillId="0" borderId="0" xfId="0" applyFont="1" applyBorder="1"/>
    <xf numFmtId="170" fontId="35" fillId="0" borderId="0" xfId="0" applyNumberFormat="1" applyFont="1" applyBorder="1" applyAlignment="1">
      <alignment horizontal="right"/>
    </xf>
    <xf numFmtId="3" fontId="35" fillId="0" borderId="0" xfId="0" applyNumberFormat="1" applyFont="1" applyBorder="1"/>
    <xf numFmtId="170" fontId="36" fillId="0" borderId="0" xfId="0" applyNumberFormat="1" applyFont="1" applyBorder="1" applyAlignment="1">
      <alignment horizontal="right"/>
    </xf>
    <xf numFmtId="170" fontId="38" fillId="0" borderId="0" xfId="0" applyNumberFormat="1" applyFont="1" applyBorder="1"/>
    <xf numFmtId="170" fontId="35" fillId="0" borderId="0" xfId="0" applyNumberFormat="1" applyFont="1" applyBorder="1"/>
    <xf numFmtId="170" fontId="34" fillId="0" borderId="0" xfId="0" applyNumberFormat="1" applyFont="1" applyBorder="1"/>
    <xf numFmtId="170" fontId="29" fillId="0" borderId="0" xfId="0" applyNumberFormat="1" applyFont="1" applyBorder="1"/>
    <xf numFmtId="0" fontId="35" fillId="0" borderId="0" xfId="0" applyFont="1" applyFill="1" applyBorder="1"/>
    <xf numFmtId="170" fontId="36" fillId="0" borderId="0" xfId="0" applyNumberFormat="1" applyFont="1" applyBorder="1"/>
    <xf numFmtId="170" fontId="33" fillId="0" borderId="0" xfId="1" applyNumberFormat="1" applyFont="1" applyBorder="1"/>
    <xf numFmtId="3" fontId="34" fillId="0" borderId="11" xfId="0" applyNumberFormat="1" applyFont="1" applyBorder="1"/>
    <xf numFmtId="0" fontId="49" fillId="0" borderId="0" xfId="0" applyFont="1" applyFill="1" applyBorder="1" applyAlignment="1"/>
    <xf numFmtId="0" fontId="53" fillId="0" borderId="0" xfId="0" applyFont="1" applyBorder="1"/>
    <xf numFmtId="0" fontId="54" fillId="0" borderId="0" xfId="0" applyFont="1" applyBorder="1"/>
    <xf numFmtId="170" fontId="34" fillId="0" borderId="52" xfId="4" applyNumberFormat="1" applyFont="1" applyBorder="1"/>
    <xf numFmtId="170" fontId="34" fillId="0" borderId="21" xfId="4" applyNumberFormat="1" applyFont="1" applyBorder="1"/>
    <xf numFmtId="170" fontId="34" fillId="0" borderId="4" xfId="4" applyNumberFormat="1" applyFont="1" applyBorder="1"/>
    <xf numFmtId="170" fontId="34" fillId="0" borderId="21" xfId="4" applyNumberFormat="1" applyFont="1" applyFill="1" applyBorder="1"/>
    <xf numFmtId="170" fontId="35" fillId="0" borderId="63" xfId="0" applyNumberFormat="1" applyFont="1" applyBorder="1" applyAlignment="1">
      <alignment horizontal="right"/>
    </xf>
    <xf numFmtId="170" fontId="35" fillId="0" borderId="64" xfId="0" applyNumberFormat="1" applyFont="1" applyBorder="1" applyAlignment="1">
      <alignment horizontal="right"/>
    </xf>
    <xf numFmtId="170" fontId="34" fillId="0" borderId="22" xfId="4" applyNumberFormat="1" applyFont="1" applyBorder="1"/>
    <xf numFmtId="170" fontId="34" fillId="0" borderId="20" xfId="4" applyNumberFormat="1" applyFont="1" applyBorder="1"/>
    <xf numFmtId="170" fontId="34" fillId="0" borderId="6" xfId="4" applyNumberFormat="1" applyFont="1" applyBorder="1"/>
    <xf numFmtId="170" fontId="35" fillId="0" borderId="48" xfId="0" applyNumberFormat="1" applyFont="1" applyBorder="1"/>
    <xf numFmtId="169" fontId="1" fillId="0" borderId="0" xfId="6" applyNumberFormat="1" applyFill="1" applyBorder="1" applyAlignment="1" applyProtection="1"/>
    <xf numFmtId="0" fontId="0" fillId="0" borderId="0" xfId="0" applyFill="1" applyBorder="1"/>
    <xf numFmtId="0" fontId="47" fillId="0" borderId="0" xfId="0" applyFont="1" applyFill="1" applyBorder="1"/>
    <xf numFmtId="0" fontId="49" fillId="0" borderId="0" xfId="0" applyFont="1" applyFill="1" applyBorder="1" applyAlignment="1">
      <alignment horizontal="center"/>
    </xf>
    <xf numFmtId="0" fontId="49" fillId="0" borderId="0" xfId="0" applyFont="1" applyFill="1" applyBorder="1"/>
    <xf numFmtId="169" fontId="49" fillId="0" borderId="0" xfId="6" applyNumberFormat="1" applyFont="1" applyFill="1" applyBorder="1" applyAlignment="1" applyProtection="1"/>
    <xf numFmtId="14" fontId="31" fillId="0" borderId="0" xfId="0" applyNumberFormat="1" applyFont="1" applyFill="1" applyBorder="1" applyAlignment="1">
      <alignment horizontal="center" vertical="top" wrapText="1"/>
    </xf>
    <xf numFmtId="3" fontId="24" fillId="0" borderId="0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49" fillId="0" borderId="0" xfId="0" applyFont="1" applyFill="1" applyBorder="1" applyAlignment="1"/>
    <xf numFmtId="0" fontId="32" fillId="0" borderId="0" xfId="0" applyFont="1" applyFill="1" applyBorder="1" applyAlignment="1"/>
    <xf numFmtId="170" fontId="34" fillId="0" borderId="65" xfId="4" applyNumberFormat="1" applyFont="1" applyBorder="1"/>
    <xf numFmtId="170" fontId="34" fillId="0" borderId="25" xfId="4" applyNumberFormat="1" applyFont="1" applyFill="1" applyBorder="1"/>
    <xf numFmtId="0" fontId="35" fillId="0" borderId="45" xfId="0" applyFont="1" applyBorder="1"/>
    <xf numFmtId="1" fontId="37" fillId="0" borderId="58" xfId="4" applyNumberFormat="1" applyFont="1" applyBorder="1" applyAlignment="1">
      <alignment horizontal="center" vertical="center" wrapText="1"/>
    </xf>
    <xf numFmtId="170" fontId="35" fillId="0" borderId="62" xfId="0" applyNumberFormat="1" applyFont="1" applyBorder="1" applyAlignment="1">
      <alignment horizontal="right"/>
    </xf>
    <xf numFmtId="170" fontId="34" fillId="0" borderId="9" xfId="4" applyNumberFormat="1" applyFont="1" applyBorder="1"/>
    <xf numFmtId="170" fontId="35" fillId="0" borderId="45" xfId="0" applyNumberFormat="1" applyFont="1" applyBorder="1"/>
    <xf numFmtId="170" fontId="34" fillId="0" borderId="14" xfId="0" applyNumberFormat="1" applyFont="1" applyBorder="1"/>
    <xf numFmtId="170" fontId="38" fillId="0" borderId="55" xfId="0" applyNumberFormat="1" applyFont="1" applyFill="1" applyBorder="1"/>
    <xf numFmtId="170" fontId="38" fillId="0" borderId="10" xfId="0" applyNumberFormat="1" applyFont="1" applyFill="1" applyBorder="1"/>
    <xf numFmtId="170" fontId="36" fillId="0" borderId="62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49" fontId="54" fillId="0" borderId="9" xfId="0" applyNumberFormat="1" applyFont="1" applyFill="1" applyBorder="1" applyAlignment="1" applyProtection="1">
      <alignment vertical="center" wrapText="1" shrinkToFit="1"/>
    </xf>
    <xf numFmtId="0" fontId="54" fillId="0" borderId="9" xfId="0" applyFont="1" applyBorder="1"/>
    <xf numFmtId="0" fontId="54" fillId="0" borderId="10" xfId="0" applyFont="1" applyBorder="1"/>
    <xf numFmtId="0" fontId="11" fillId="0" borderId="0" xfId="0" applyFont="1" applyBorder="1"/>
    <xf numFmtId="0" fontId="47" fillId="0" borderId="0" xfId="0" applyFont="1" applyBorder="1" applyAlignment="1">
      <alignment horizontal="right"/>
    </xf>
    <xf numFmtId="49" fontId="54" fillId="0" borderId="10" xfId="0" applyNumberFormat="1" applyFont="1" applyFill="1" applyBorder="1" applyAlignment="1" applyProtection="1">
      <alignment vertical="center" wrapText="1" shrinkToFit="1"/>
    </xf>
    <xf numFmtId="49" fontId="54" fillId="0" borderId="11" xfId="0" applyNumberFormat="1" applyFont="1" applyFill="1" applyBorder="1" applyAlignment="1" applyProtection="1">
      <alignment vertical="center" wrapText="1" shrinkToFit="1"/>
    </xf>
    <xf numFmtId="0" fontId="55" fillId="0" borderId="9" xfId="0" applyFont="1" applyFill="1" applyBorder="1"/>
    <xf numFmtId="0" fontId="54" fillId="0" borderId="14" xfId="0" applyFont="1" applyBorder="1"/>
    <xf numFmtId="170" fontId="29" fillId="0" borderId="55" xfId="1" applyNumberFormat="1" applyFont="1" applyBorder="1"/>
    <xf numFmtId="170" fontId="29" fillId="0" borderId="10" xfId="1" applyNumberFormat="1" applyFont="1" applyBorder="1"/>
    <xf numFmtId="170" fontId="29" fillId="0" borderId="10" xfId="1" applyNumberFormat="1" applyFont="1" applyFill="1" applyBorder="1"/>
    <xf numFmtId="170" fontId="38" fillId="0" borderId="10" xfId="1" applyNumberFormat="1" applyFont="1" applyBorder="1"/>
    <xf numFmtId="170" fontId="38" fillId="0" borderId="10" xfId="1" applyNumberFormat="1" applyFont="1" applyFill="1" applyBorder="1"/>
    <xf numFmtId="170" fontId="29" fillId="0" borderId="9" xfId="1" applyNumberFormat="1" applyFont="1" applyBorder="1"/>
    <xf numFmtId="170" fontId="29" fillId="0" borderId="11" xfId="1" applyNumberFormat="1" applyFont="1" applyBorder="1"/>
    <xf numFmtId="170" fontId="29" fillId="0" borderId="14" xfId="1" applyNumberFormat="1" applyFont="1" applyBorder="1"/>
    <xf numFmtId="1" fontId="37" fillId="0" borderId="74" xfId="4" applyNumberFormat="1" applyFont="1" applyBorder="1" applyAlignment="1">
      <alignment horizontal="center" vertical="center" wrapText="1"/>
    </xf>
    <xf numFmtId="170" fontId="38" fillId="0" borderId="75" xfId="0" applyNumberFormat="1" applyFont="1" applyFill="1" applyBorder="1"/>
    <xf numFmtId="170" fontId="38" fillId="0" borderId="27" xfId="0" applyNumberFormat="1" applyFont="1" applyFill="1" applyBorder="1"/>
    <xf numFmtId="170" fontId="36" fillId="0" borderId="80" xfId="0" applyNumberFormat="1" applyFont="1" applyBorder="1" applyAlignment="1">
      <alignment horizontal="right"/>
    </xf>
    <xf numFmtId="170" fontId="38" fillId="0" borderId="29" xfId="0" applyNumberFormat="1" applyFont="1" applyBorder="1"/>
    <xf numFmtId="170" fontId="38" fillId="0" borderId="33" xfId="0" applyNumberFormat="1" applyFont="1" applyBorder="1"/>
    <xf numFmtId="170" fontId="38" fillId="0" borderId="27" xfId="0" applyNumberFormat="1" applyFont="1" applyBorder="1"/>
    <xf numFmtId="170" fontId="38" fillId="0" borderId="32" xfId="0" applyNumberFormat="1" applyFont="1" applyFill="1" applyBorder="1"/>
    <xf numFmtId="170" fontId="38" fillId="0" borderId="10" xfId="1" applyNumberFormat="1" applyFont="1" applyBorder="1" applyAlignment="1"/>
    <xf numFmtId="170" fontId="44" fillId="0" borderId="10" xfId="1" applyNumberFormat="1" applyFont="1" applyBorder="1" applyAlignment="1"/>
    <xf numFmtId="3" fontId="54" fillId="0" borderId="9" xfId="1" applyNumberFormat="1" applyFont="1" applyFill="1" applyBorder="1" applyAlignment="1" applyProtection="1">
      <alignment horizontal="right" vertical="center" wrapText="1" shrinkToFit="1"/>
    </xf>
    <xf numFmtId="3" fontId="54" fillId="0" borderId="22" xfId="0" applyNumberFormat="1" applyFont="1" applyFill="1" applyBorder="1" applyAlignment="1" applyProtection="1">
      <alignment horizontal="right" vertical="center" wrapText="1" shrinkToFit="1"/>
    </xf>
    <xf numFmtId="3" fontId="54" fillId="0" borderId="69" xfId="0" applyNumberFormat="1" applyFont="1" applyFill="1" applyBorder="1" applyAlignment="1" applyProtection="1">
      <alignment horizontal="right" vertical="center" wrapText="1" shrinkToFit="1"/>
    </xf>
    <xf numFmtId="0" fontId="0" fillId="0" borderId="0" xfId="0" applyAlignment="1">
      <alignment horizontal="center"/>
    </xf>
    <xf numFmtId="0" fontId="0" fillId="0" borderId="0" xfId="0" applyAlignment="1"/>
    <xf numFmtId="49" fontId="56" fillId="0" borderId="10" xfId="0" applyNumberFormat="1" applyFont="1" applyFill="1" applyBorder="1" applyAlignment="1" applyProtection="1">
      <alignment horizontal="left" vertical="center" wrapText="1" indent="1" shrinkToFit="1"/>
    </xf>
    <xf numFmtId="49" fontId="57" fillId="0" borderId="10" xfId="0" applyNumberFormat="1" applyFont="1" applyFill="1" applyBorder="1" applyAlignment="1" applyProtection="1">
      <alignment horizontal="left" vertical="center" wrapText="1" shrinkToFit="1"/>
    </xf>
    <xf numFmtId="49" fontId="57" fillId="0" borderId="10" xfId="0" applyNumberFormat="1" applyFont="1" applyFill="1" applyBorder="1" applyAlignment="1" applyProtection="1">
      <alignment vertical="center" wrapText="1" shrinkToFit="1"/>
    </xf>
    <xf numFmtId="49" fontId="56" fillId="0" borderId="11" xfId="0" applyNumberFormat="1" applyFont="1" applyFill="1" applyBorder="1" applyAlignment="1" applyProtection="1">
      <alignment horizontal="left" vertical="center" wrapText="1" indent="1" shrinkToFit="1"/>
    </xf>
    <xf numFmtId="49" fontId="54" fillId="0" borderId="33" xfId="0" applyNumberFormat="1" applyFont="1" applyFill="1" applyBorder="1" applyAlignment="1" applyProtection="1">
      <alignment vertical="center" wrapText="1" shrinkToFit="1"/>
    </xf>
    <xf numFmtId="170" fontId="54" fillId="0" borderId="21" xfId="0" applyNumberFormat="1" applyFont="1" applyFill="1" applyBorder="1" applyAlignment="1" applyProtection="1">
      <alignment horizontal="right" vertical="center" wrapText="1" shrinkToFit="1"/>
    </xf>
    <xf numFmtId="170" fontId="54" fillId="0" borderId="49" xfId="0" applyNumberFormat="1" applyFont="1" applyFill="1" applyBorder="1" applyAlignment="1" applyProtection="1">
      <alignment horizontal="right" vertical="center" wrapText="1" shrinkToFit="1"/>
    </xf>
    <xf numFmtId="170" fontId="54" fillId="0" borderId="10" xfId="1" applyNumberFormat="1" applyFont="1" applyFill="1" applyBorder="1" applyAlignment="1" applyProtection="1">
      <alignment horizontal="right" vertical="center" wrapText="1" shrinkToFit="1"/>
    </xf>
    <xf numFmtId="170" fontId="54" fillId="0" borderId="25" xfId="0" applyNumberFormat="1" applyFont="1" applyFill="1" applyBorder="1" applyAlignment="1" applyProtection="1">
      <alignment horizontal="right" vertical="center" wrapText="1" shrinkToFit="1"/>
    </xf>
    <xf numFmtId="170" fontId="54" fillId="0" borderId="70" xfId="0" applyNumberFormat="1" applyFont="1" applyFill="1" applyBorder="1" applyAlignment="1" applyProtection="1">
      <alignment horizontal="right" vertical="center" wrapText="1" shrinkToFit="1"/>
    </xf>
    <xf numFmtId="170" fontId="54" fillId="0" borderId="11" xfId="1" applyNumberFormat="1" applyFont="1" applyFill="1" applyBorder="1" applyAlignment="1" applyProtection="1">
      <alignment horizontal="right" vertical="center" wrapText="1" shrinkToFit="1"/>
    </xf>
    <xf numFmtId="170" fontId="53" fillId="0" borderId="73" xfId="0" applyNumberFormat="1" applyFont="1" applyFill="1" applyBorder="1" applyAlignment="1" applyProtection="1">
      <alignment horizontal="right" vertical="center" wrapText="1" shrinkToFit="1"/>
    </xf>
    <xf numFmtId="170" fontId="54" fillId="0" borderId="1" xfId="0" applyNumberFormat="1" applyFont="1" applyBorder="1" applyAlignment="1">
      <alignment horizontal="right" vertical="center" wrapText="1" shrinkToFit="1"/>
    </xf>
    <xf numFmtId="170" fontId="54" fillId="0" borderId="59" xfId="0" applyNumberFormat="1" applyFont="1" applyBorder="1" applyAlignment="1">
      <alignment horizontal="right" vertical="center" wrapText="1" shrinkToFit="1"/>
    </xf>
    <xf numFmtId="170" fontId="54" fillId="0" borderId="25" xfId="0" applyNumberFormat="1" applyFont="1" applyBorder="1" applyAlignment="1">
      <alignment horizontal="right"/>
    </xf>
    <xf numFmtId="170" fontId="54" fillId="0" borderId="70" xfId="0" applyNumberFormat="1" applyFont="1" applyBorder="1" applyAlignment="1">
      <alignment horizontal="right"/>
    </xf>
    <xf numFmtId="170" fontId="54" fillId="0" borderId="11" xfId="0" applyNumberFormat="1" applyFont="1" applyBorder="1" applyAlignment="1">
      <alignment horizontal="right"/>
    </xf>
    <xf numFmtId="170" fontId="54" fillId="0" borderId="0" xfId="0" applyNumberFormat="1" applyFont="1" applyBorder="1" applyAlignment="1">
      <alignment horizontal="right"/>
    </xf>
    <xf numFmtId="170" fontId="54" fillId="0" borderId="14" xfId="0" applyNumberFormat="1" applyFont="1" applyBorder="1" applyAlignment="1">
      <alignment horizontal="right"/>
    </xf>
    <xf numFmtId="49" fontId="41" fillId="0" borderId="10" xfId="0" applyNumberFormat="1" applyFont="1" applyFill="1" applyBorder="1" applyAlignment="1" applyProtection="1">
      <alignment vertical="center" wrapText="1" shrinkToFit="1"/>
    </xf>
    <xf numFmtId="49" fontId="42" fillId="0" borderId="10" xfId="0" applyNumberFormat="1" applyFont="1" applyFill="1" applyBorder="1" applyAlignment="1" applyProtection="1">
      <alignment horizontal="left" vertical="center" wrapText="1" indent="2" shrinkToFit="1"/>
    </xf>
    <xf numFmtId="49" fontId="41" fillId="0" borderId="9" xfId="0" applyNumberFormat="1" applyFont="1" applyFill="1" applyBorder="1" applyAlignment="1" applyProtection="1">
      <alignment vertical="center" wrapText="1" shrinkToFit="1"/>
    </xf>
    <xf numFmtId="170" fontId="41" fillId="0" borderId="50" xfId="1" applyNumberFormat="1" applyFont="1" applyFill="1" applyBorder="1" applyAlignment="1" applyProtection="1">
      <alignment horizontal="right" vertical="center" wrapText="1" shrinkToFit="1"/>
    </xf>
    <xf numFmtId="170" fontId="41" fillId="0" borderId="36" xfId="1" applyNumberFormat="1" applyFont="1" applyFill="1" applyBorder="1" applyAlignment="1" applyProtection="1">
      <alignment horizontal="right" vertical="center" wrapText="1" shrinkToFit="1"/>
    </xf>
    <xf numFmtId="170" fontId="42" fillId="0" borderId="36" xfId="1" applyNumberFormat="1" applyFont="1" applyFill="1" applyBorder="1" applyAlignment="1" applyProtection="1">
      <alignment horizontal="right" vertical="center" wrapText="1" shrinkToFit="1"/>
    </xf>
    <xf numFmtId="170" fontId="41" fillId="0" borderId="69" xfId="0" applyNumberFormat="1" applyFont="1" applyFill="1" applyBorder="1" applyAlignment="1" applyProtection="1">
      <alignment horizontal="right" vertical="center" wrapText="1" shrinkToFit="1"/>
    </xf>
    <xf numFmtId="170" fontId="41" fillId="0" borderId="9" xfId="0" applyNumberFormat="1" applyFont="1" applyFill="1" applyBorder="1" applyAlignment="1" applyProtection="1">
      <alignment horizontal="right" vertical="center" wrapText="1" shrinkToFit="1"/>
    </xf>
    <xf numFmtId="170" fontId="41" fillId="0" borderId="49" xfId="0" applyNumberFormat="1" applyFont="1" applyFill="1" applyBorder="1" applyAlignment="1" applyProtection="1">
      <alignment horizontal="right" vertical="center" wrapText="1" shrinkToFit="1"/>
    </xf>
    <xf numFmtId="170" fontId="41" fillId="0" borderId="10" xfId="0" applyNumberFormat="1" applyFont="1" applyFill="1" applyBorder="1" applyAlignment="1" applyProtection="1">
      <alignment horizontal="right" vertical="center" wrapText="1" shrinkToFit="1"/>
    </xf>
    <xf numFmtId="170" fontId="42" fillId="0" borderId="49" xfId="0" applyNumberFormat="1" applyFont="1" applyFill="1" applyBorder="1" applyAlignment="1" applyProtection="1">
      <alignment horizontal="right" vertical="center" wrapText="1" shrinkToFit="1"/>
    </xf>
    <xf numFmtId="170" fontId="42" fillId="0" borderId="10" xfId="0" applyNumberFormat="1" applyFont="1" applyFill="1" applyBorder="1" applyAlignment="1" applyProtection="1">
      <alignment horizontal="right" vertical="center" wrapText="1" shrinkToFit="1"/>
    </xf>
    <xf numFmtId="170" fontId="42" fillId="0" borderId="70" xfId="0" applyNumberFormat="1" applyFont="1" applyFill="1" applyBorder="1" applyAlignment="1" applyProtection="1">
      <alignment horizontal="right" vertical="center" wrapText="1" shrinkToFit="1"/>
    </xf>
    <xf numFmtId="170" fontId="42" fillId="0" borderId="11" xfId="0" applyNumberFormat="1" applyFont="1" applyFill="1" applyBorder="1" applyAlignment="1" applyProtection="1">
      <alignment horizontal="right" vertical="center" wrapText="1" shrinkToFit="1"/>
    </xf>
    <xf numFmtId="49" fontId="39" fillId="0" borderId="9" xfId="0" applyNumberFormat="1" applyFont="1" applyFill="1" applyBorder="1" applyAlignment="1" applyProtection="1">
      <alignment vertical="center" wrapText="1" shrinkToFit="1"/>
    </xf>
    <xf numFmtId="49" fontId="58" fillId="0" borderId="10" xfId="0" applyNumberFormat="1" applyFont="1" applyFill="1" applyBorder="1" applyAlignment="1" applyProtection="1">
      <alignment vertical="center" wrapText="1" shrinkToFit="1"/>
    </xf>
    <xf numFmtId="49" fontId="42" fillId="0" borderId="11" xfId="0" applyNumberFormat="1" applyFont="1" applyFill="1" applyBorder="1" applyAlignment="1" applyProtection="1">
      <alignment horizontal="left" vertical="center" wrapText="1" indent="8" shrinkToFit="1"/>
    </xf>
    <xf numFmtId="170" fontId="39" fillId="0" borderId="69" xfId="0" applyNumberFormat="1" applyFont="1" applyFill="1" applyBorder="1" applyAlignment="1" applyProtection="1">
      <alignment horizontal="right" vertical="center" wrapText="1" shrinkToFit="1"/>
    </xf>
    <xf numFmtId="170" fontId="39" fillId="0" borderId="9" xfId="1" applyNumberFormat="1" applyFont="1" applyBorder="1" applyAlignment="1">
      <alignment horizontal="right" vertical="center"/>
    </xf>
    <xf numFmtId="170" fontId="42" fillId="0" borderId="10" xfId="1" applyNumberFormat="1" applyFont="1" applyBorder="1" applyAlignment="1">
      <alignment horizontal="right" vertical="center"/>
    </xf>
    <xf numFmtId="170" fontId="42" fillId="0" borderId="11" xfId="1" applyNumberFormat="1" applyFont="1" applyBorder="1" applyAlignment="1">
      <alignment horizontal="right" vertical="center"/>
    </xf>
    <xf numFmtId="170" fontId="39" fillId="0" borderId="10" xfId="0" applyNumberFormat="1" applyFont="1" applyBorder="1" applyAlignment="1">
      <alignment horizontal="right" vertical="center"/>
    </xf>
    <xf numFmtId="0" fontId="26" fillId="0" borderId="55" xfId="0" applyFont="1" applyBorder="1" applyAlignment="1">
      <alignment horizontal="center" wrapText="1"/>
    </xf>
    <xf numFmtId="0" fontId="38" fillId="0" borderId="75" xfId="0" applyFont="1" applyBorder="1"/>
    <xf numFmtId="0" fontId="26" fillId="0" borderId="30" xfId="0" applyFont="1" applyBorder="1" applyAlignment="1">
      <alignment horizontal="center" wrapText="1"/>
    </xf>
    <xf numFmtId="0" fontId="38" fillId="0" borderId="8" xfId="0" applyFont="1" applyBorder="1" applyAlignment="1">
      <alignment horizontal="justify" wrapText="1"/>
    </xf>
    <xf numFmtId="0" fontId="30" fillId="0" borderId="8" xfId="0" applyFont="1" applyBorder="1" applyAlignment="1">
      <alignment horizontal="center" vertical="center" wrapText="1"/>
    </xf>
    <xf numFmtId="0" fontId="59" fillId="0" borderId="8" xfId="0" applyFont="1" applyBorder="1" applyAlignment="1">
      <alignment horizontal="center" vertical="center" wrapText="1"/>
    </xf>
    <xf numFmtId="3" fontId="59" fillId="0" borderId="8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171" fontId="1" fillId="0" borderId="0" xfId="6" applyNumberFormat="1" applyBorder="1" applyAlignment="1" applyProtection="1"/>
    <xf numFmtId="3" fontId="22" fillId="0" borderId="0" xfId="1" applyNumberFormat="1" applyFont="1" applyFill="1" applyBorder="1" applyAlignment="1" applyProtection="1">
      <alignment vertical="center" readingOrder="1"/>
      <protection locked="0"/>
    </xf>
    <xf numFmtId="3" fontId="28" fillId="0" borderId="0" xfId="0" applyNumberFormat="1" applyFont="1" applyFill="1" applyBorder="1"/>
    <xf numFmtId="0" fontId="2" fillId="0" borderId="0" xfId="0" applyFont="1" applyFill="1" applyBorder="1" applyAlignment="1"/>
    <xf numFmtId="0" fontId="48" fillId="0" borderId="0" xfId="0" applyFont="1" applyFill="1" applyBorder="1" applyAlignment="1">
      <alignment horizontal="center"/>
    </xf>
    <xf numFmtId="0" fontId="0" fillId="0" borderId="0" xfId="0" applyFill="1"/>
    <xf numFmtId="0" fontId="49" fillId="0" borderId="0" xfId="0" applyFont="1" applyFill="1"/>
    <xf numFmtId="3" fontId="45" fillId="0" borderId="9" xfId="0" applyNumberFormat="1" applyFont="1" applyBorder="1" applyAlignment="1">
      <alignment horizontal="right"/>
    </xf>
    <xf numFmtId="3" fontId="45" fillId="0" borderId="55" xfId="0" applyNumberFormat="1" applyFont="1" applyBorder="1" applyAlignment="1">
      <alignment horizontal="right"/>
    </xf>
    <xf numFmtId="0" fontId="61" fillId="0" borderId="29" xfId="0" applyFont="1" applyBorder="1" applyAlignment="1">
      <alignment wrapText="1"/>
    </xf>
    <xf numFmtId="3" fontId="61" fillId="0" borderId="9" xfId="0" applyNumberFormat="1" applyFont="1" applyBorder="1" applyAlignment="1">
      <alignment horizontal="right"/>
    </xf>
    <xf numFmtId="0" fontId="17" fillId="0" borderId="29" xfId="0" applyFont="1" applyBorder="1" applyAlignment="1">
      <alignment wrapText="1"/>
    </xf>
    <xf numFmtId="3" fontId="24" fillId="0" borderId="9" xfId="0" applyNumberFormat="1" applyFont="1" applyBorder="1" applyAlignment="1"/>
    <xf numFmtId="0" fontId="61" fillId="0" borderId="28" xfId="0" applyFont="1" applyBorder="1" applyAlignment="1">
      <alignment wrapText="1"/>
    </xf>
    <xf numFmtId="0" fontId="17" fillId="0" borderId="75" xfId="0" applyFont="1" applyBorder="1" applyAlignment="1"/>
    <xf numFmtId="3" fontId="24" fillId="0" borderId="55" xfId="0" applyNumberFormat="1" applyFont="1" applyBorder="1" applyAlignment="1"/>
    <xf numFmtId="0" fontId="61" fillId="0" borderId="27" xfId="0" applyFont="1" applyBorder="1" applyAlignment="1">
      <alignment wrapText="1"/>
    </xf>
    <xf numFmtId="3" fontId="45" fillId="0" borderId="72" xfId="0" applyNumberFormat="1" applyFont="1" applyBorder="1" applyAlignment="1"/>
    <xf numFmtId="3" fontId="61" fillId="0" borderId="69" xfId="0" applyNumberFormat="1" applyFont="1" applyBorder="1" applyAlignment="1"/>
    <xf numFmtId="3" fontId="45" fillId="0" borderId="69" xfId="0" applyNumberFormat="1" applyFont="1" applyBorder="1" applyAlignment="1"/>
    <xf numFmtId="3" fontId="24" fillId="0" borderId="69" xfId="0" applyNumberFormat="1" applyFont="1" applyBorder="1" applyAlignment="1"/>
    <xf numFmtId="3" fontId="61" fillId="0" borderId="49" xfId="0" applyNumberFormat="1" applyFont="1" applyBorder="1" applyAlignment="1"/>
    <xf numFmtId="3" fontId="61" fillId="0" borderId="71" xfId="0" applyNumberFormat="1" applyFont="1" applyBorder="1" applyAlignment="1"/>
    <xf numFmtId="3" fontId="45" fillId="0" borderId="55" xfId="0" applyNumberFormat="1" applyFont="1" applyBorder="1" applyAlignment="1"/>
    <xf numFmtId="3" fontId="61" fillId="0" borderId="9" xfId="0" applyNumberFormat="1" applyFont="1" applyBorder="1" applyAlignment="1"/>
    <xf numFmtId="3" fontId="45" fillId="0" borderId="9" xfId="0" applyNumberFormat="1" applyFont="1" applyBorder="1" applyAlignment="1"/>
    <xf numFmtId="3" fontId="61" fillId="0" borderId="10" xfId="0" applyNumberFormat="1" applyFont="1" applyBorder="1" applyAlignment="1"/>
    <xf numFmtId="3" fontId="61" fillId="0" borderId="8" xfId="0" applyNumberFormat="1" applyFont="1" applyBorder="1" applyAlignment="1"/>
    <xf numFmtId="0" fontId="18" fillId="0" borderId="0" xfId="0" applyFont="1"/>
    <xf numFmtId="166" fontId="0" fillId="0" borderId="0" xfId="1" applyNumberFormat="1" applyFont="1"/>
    <xf numFmtId="0" fontId="0" fillId="0" borderId="0" xfId="7" applyFont="1" applyBorder="1" applyAlignment="1">
      <alignment horizontal="center"/>
    </xf>
    <xf numFmtId="0" fontId="1" fillId="0" borderId="0" xfId="7" applyFont="1" applyBorder="1" applyAlignment="1">
      <alignment horizontal="center"/>
    </xf>
    <xf numFmtId="0" fontId="22" fillId="0" borderId="15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left" vertical="top" wrapText="1"/>
    </xf>
    <xf numFmtId="0" fontId="62" fillId="0" borderId="4" xfId="0" applyFont="1" applyBorder="1" applyAlignment="1">
      <alignment wrapText="1"/>
    </xf>
    <xf numFmtId="0" fontId="62" fillId="0" borderId="18" xfId="0" applyFont="1" applyBorder="1" applyAlignment="1">
      <alignment wrapText="1"/>
    </xf>
    <xf numFmtId="0" fontId="28" fillId="0" borderId="5" xfId="0" applyFont="1" applyBorder="1" applyAlignment="1">
      <alignment horizontal="left" vertical="top" wrapText="1"/>
    </xf>
    <xf numFmtId="0" fontId="28" fillId="0" borderId="0" xfId="0" applyFont="1" applyAlignment="1">
      <alignment horizontal="center" vertical="center" wrapText="1"/>
    </xf>
    <xf numFmtId="0" fontId="52" fillId="0" borderId="81" xfId="0" applyFont="1" applyBorder="1" applyAlignment="1">
      <alignment horizontal="center" vertical="center"/>
    </xf>
    <xf numFmtId="0" fontId="22" fillId="0" borderId="29" xfId="0" applyFont="1" applyBorder="1"/>
    <xf numFmtId="0" fontId="22" fillId="0" borderId="27" xfId="0" applyFont="1" applyBorder="1"/>
    <xf numFmtId="0" fontId="28" fillId="0" borderId="28" xfId="0" applyFont="1" applyBorder="1"/>
    <xf numFmtId="0" fontId="0" fillId="0" borderId="4" xfId="0" applyBorder="1"/>
    <xf numFmtId="0" fontId="0" fillId="0" borderId="18" xfId="0" applyBorder="1"/>
    <xf numFmtId="0" fontId="0" fillId="0" borderId="20" xfId="0" applyBorder="1"/>
    <xf numFmtId="0" fontId="52" fillId="0" borderId="53" xfId="0" applyFont="1" applyBorder="1" applyAlignment="1">
      <alignment horizontal="center" vertical="center"/>
    </xf>
    <xf numFmtId="0" fontId="13" fillId="0" borderId="83" xfId="0" applyFont="1" applyBorder="1" applyAlignment="1">
      <alignment horizontal="center"/>
    </xf>
    <xf numFmtId="170" fontId="22" fillId="0" borderId="20" xfId="0" applyNumberFormat="1" applyFont="1" applyBorder="1" applyAlignment="1">
      <alignment horizontal="right" vertical="top" wrapText="1"/>
    </xf>
    <xf numFmtId="170" fontId="22" fillId="0" borderId="4" xfId="0" applyNumberFormat="1" applyFont="1" applyBorder="1" applyAlignment="1">
      <alignment horizontal="right" vertical="top" wrapText="1"/>
    </xf>
    <xf numFmtId="170" fontId="28" fillId="0" borderId="4" xfId="0" applyNumberFormat="1" applyFont="1" applyBorder="1" applyAlignment="1">
      <alignment horizontal="right" vertical="top" wrapText="1"/>
    </xf>
    <xf numFmtId="170" fontId="28" fillId="0" borderId="6" xfId="0" applyNumberFormat="1" applyFont="1" applyBorder="1" applyAlignment="1">
      <alignment horizontal="right" vertical="top" wrapText="1"/>
    </xf>
    <xf numFmtId="170" fontId="1" fillId="0" borderId="29" xfId="1" applyNumberFormat="1" applyBorder="1" applyProtection="1">
      <protection locked="0"/>
    </xf>
    <xf numFmtId="170" fontId="1" fillId="0" borderId="10" xfId="1" applyNumberFormat="1" applyBorder="1" applyProtection="1">
      <protection locked="0"/>
    </xf>
    <xf numFmtId="170" fontId="1" fillId="0" borderId="36" xfId="1" applyNumberFormat="1" applyBorder="1" applyProtection="1">
      <protection locked="0"/>
    </xf>
    <xf numFmtId="170" fontId="1" fillId="0" borderId="4" xfId="1" applyNumberFormat="1" applyBorder="1" applyProtection="1">
      <protection locked="0"/>
    </xf>
    <xf numFmtId="170" fontId="1" fillId="0" borderId="27" xfId="1" applyNumberFormat="1" applyBorder="1" applyProtection="1">
      <protection locked="0"/>
    </xf>
    <xf numFmtId="170" fontId="1" fillId="0" borderId="33" xfId="1" applyNumberFormat="1" applyBorder="1" applyProtection="1">
      <protection locked="0"/>
    </xf>
    <xf numFmtId="170" fontId="1" fillId="0" borderId="11" xfId="1" applyNumberFormat="1" applyBorder="1" applyProtection="1">
      <protection locked="0"/>
    </xf>
    <xf numFmtId="170" fontId="1" fillId="0" borderId="59" xfId="1" applyNumberFormat="1" applyBorder="1" applyProtection="1">
      <protection locked="0"/>
    </xf>
    <xf numFmtId="170" fontId="1" fillId="0" borderId="6" xfId="1" applyNumberFormat="1" applyBorder="1" applyProtection="1">
      <protection locked="0"/>
    </xf>
    <xf numFmtId="170" fontId="28" fillId="0" borderId="45" xfId="1" applyNumberFormat="1" applyFont="1" applyBorder="1" applyProtection="1">
      <protection locked="0"/>
    </xf>
    <xf numFmtId="170" fontId="1" fillId="0" borderId="61" xfId="1" applyNumberFormat="1" applyBorder="1" applyProtection="1">
      <protection locked="0"/>
    </xf>
    <xf numFmtId="170" fontId="1" fillId="0" borderId="9" xfId="1" applyNumberFormat="1" applyBorder="1" applyProtection="1">
      <protection locked="0"/>
    </xf>
    <xf numFmtId="170" fontId="1" fillId="0" borderId="50" xfId="1" applyNumberFormat="1" applyBorder="1" applyProtection="1">
      <protection locked="0"/>
    </xf>
    <xf numFmtId="170" fontId="1" fillId="0" borderId="20" xfId="1" applyNumberFormat="1" applyBorder="1" applyProtection="1">
      <protection locked="0"/>
    </xf>
    <xf numFmtId="170" fontId="1" fillId="0" borderId="24" xfId="1" applyNumberFormat="1" applyBorder="1" applyProtection="1">
      <protection locked="0"/>
    </xf>
    <xf numFmtId="170" fontId="1" fillId="0" borderId="14" xfId="1" applyNumberFormat="1" applyBorder="1" applyProtection="1">
      <protection locked="0"/>
    </xf>
    <xf numFmtId="170" fontId="1" fillId="0" borderId="38" xfId="1" applyNumberFormat="1" applyBorder="1" applyProtection="1">
      <protection locked="0"/>
    </xf>
    <xf numFmtId="170" fontId="1" fillId="0" borderId="77" xfId="1" applyNumberFormat="1" applyBorder="1" applyProtection="1">
      <protection locked="0"/>
    </xf>
    <xf numFmtId="170" fontId="1" fillId="0" borderId="45" xfId="1" applyNumberFormat="1" applyBorder="1" applyProtection="1">
      <protection locked="0"/>
    </xf>
    <xf numFmtId="170" fontId="1" fillId="0" borderId="51" xfId="1" applyNumberFormat="1" applyBorder="1" applyProtection="1">
      <protection locked="0"/>
    </xf>
    <xf numFmtId="170" fontId="1" fillId="0" borderId="72" xfId="1" applyNumberFormat="1" applyBorder="1" applyProtection="1">
      <protection locked="0"/>
    </xf>
    <xf numFmtId="170" fontId="1" fillId="0" borderId="52" xfId="1" applyNumberFormat="1" applyBorder="1" applyProtection="1">
      <protection locked="0"/>
    </xf>
    <xf numFmtId="170" fontId="1" fillId="0" borderId="65" xfId="1" applyNumberFormat="1" applyBorder="1" applyProtection="1">
      <protection locked="0"/>
    </xf>
    <xf numFmtId="170" fontId="1" fillId="0" borderId="2" xfId="1" applyNumberFormat="1" applyBorder="1" applyProtection="1">
      <protection locked="0"/>
    </xf>
    <xf numFmtId="170" fontId="1" fillId="0" borderId="49" xfId="1" applyNumberFormat="1" applyBorder="1" applyProtection="1">
      <protection locked="0"/>
    </xf>
    <xf numFmtId="170" fontId="1" fillId="0" borderId="21" xfId="1" applyNumberFormat="1" applyBorder="1" applyProtection="1">
      <protection locked="0"/>
    </xf>
    <xf numFmtId="170" fontId="1" fillId="0" borderId="5" xfId="1" applyNumberFormat="1" applyBorder="1" applyProtection="1">
      <protection locked="0"/>
    </xf>
    <xf numFmtId="170" fontId="1" fillId="0" borderId="70" xfId="1" applyNumberFormat="1" applyBorder="1" applyProtection="1">
      <protection locked="0"/>
    </xf>
    <xf numFmtId="170" fontId="1" fillId="0" borderId="25" xfId="1" applyNumberFormat="1" applyBorder="1" applyProtection="1">
      <protection locked="0"/>
    </xf>
    <xf numFmtId="170" fontId="28" fillId="6" borderId="84" xfId="1" applyNumberFormat="1" applyFont="1" applyFill="1" applyBorder="1" applyAlignment="1" applyProtection="1">
      <alignment horizontal="right" readingOrder="1"/>
      <protection locked="0"/>
    </xf>
    <xf numFmtId="0" fontId="28" fillId="5" borderId="5" xfId="0" applyFont="1" applyFill="1" applyBorder="1" applyAlignment="1">
      <alignment horizontal="center" vertical="center" readingOrder="1"/>
    </xf>
    <xf numFmtId="0" fontId="28" fillId="5" borderId="70" xfId="0" applyFont="1" applyFill="1" applyBorder="1" applyAlignment="1">
      <alignment horizontal="center" vertical="center" readingOrder="1"/>
    </xf>
    <xf numFmtId="0" fontId="28" fillId="5" borderId="6" xfId="0" applyFont="1" applyFill="1" applyBorder="1" applyAlignment="1">
      <alignment horizontal="center" vertical="center" readingOrder="1"/>
    </xf>
    <xf numFmtId="0" fontId="28" fillId="5" borderId="25" xfId="0" applyFont="1" applyFill="1" applyBorder="1" applyAlignment="1">
      <alignment horizontal="center" vertical="center" readingOrder="1"/>
    </xf>
    <xf numFmtId="0" fontId="28" fillId="5" borderId="77" xfId="0" applyFont="1" applyFill="1" applyBorder="1" applyAlignment="1">
      <alignment horizontal="center" vertical="center" readingOrder="1"/>
    </xf>
    <xf numFmtId="0" fontId="35" fillId="7" borderId="45" xfId="0" applyFont="1" applyFill="1" applyBorder="1"/>
    <xf numFmtId="170" fontId="35" fillId="7" borderId="45" xfId="0" applyNumberFormat="1" applyFont="1" applyFill="1" applyBorder="1"/>
    <xf numFmtId="170" fontId="35" fillId="7" borderId="56" xfId="0" applyNumberFormat="1" applyFont="1" applyFill="1" applyBorder="1"/>
    <xf numFmtId="170" fontId="35" fillId="7" borderId="48" xfId="0" applyNumberFormat="1" applyFont="1" applyFill="1" applyBorder="1"/>
    <xf numFmtId="0" fontId="53" fillId="7" borderId="73" xfId="0" applyFont="1" applyFill="1" applyBorder="1" applyAlignment="1">
      <alignment horizontal="center"/>
    </xf>
    <xf numFmtId="0" fontId="53" fillId="7" borderId="68" xfId="0" applyFont="1" applyFill="1" applyBorder="1" applyAlignment="1">
      <alignment horizontal="center"/>
    </xf>
    <xf numFmtId="170" fontId="54" fillId="0" borderId="2" xfId="0" applyNumberFormat="1" applyFont="1" applyFill="1" applyBorder="1" applyAlignment="1" applyProtection="1">
      <alignment horizontal="right" vertical="center" wrapText="1" shrinkToFit="1"/>
    </xf>
    <xf numFmtId="0" fontId="17" fillId="7" borderId="68" xfId="0" applyFont="1" applyFill="1" applyBorder="1" applyAlignment="1">
      <alignment horizontal="center" vertical="center" wrapText="1"/>
    </xf>
    <xf numFmtId="170" fontId="17" fillId="7" borderId="12" xfId="0" applyNumberFormat="1" applyFont="1" applyFill="1" applyBorder="1" applyAlignment="1">
      <alignment horizontal="center" wrapText="1"/>
    </xf>
    <xf numFmtId="3" fontId="59" fillId="7" borderId="11" xfId="0" applyNumberFormat="1" applyFont="1" applyFill="1" applyBorder="1" applyAlignment="1">
      <alignment horizontal="center" vertical="center" wrapText="1"/>
    </xf>
    <xf numFmtId="170" fontId="17" fillId="7" borderId="55" xfId="0" applyNumberFormat="1" applyFont="1" applyFill="1" applyBorder="1" applyAlignment="1">
      <alignment horizontal="right" wrapText="1"/>
    </xf>
    <xf numFmtId="0" fontId="17" fillId="7" borderId="45" xfId="0" applyFont="1" applyFill="1" applyBorder="1" applyAlignment="1">
      <alignment horizontal="center" vertical="center" wrapText="1"/>
    </xf>
    <xf numFmtId="0" fontId="17" fillId="7" borderId="84" xfId="0" applyFont="1" applyFill="1" applyBorder="1" applyAlignment="1">
      <alignment horizontal="center" vertical="center" wrapText="1"/>
    </xf>
    <xf numFmtId="49" fontId="39" fillId="7" borderId="45" xfId="0" applyNumberFormat="1" applyFont="1" applyFill="1" applyBorder="1" applyAlignment="1" applyProtection="1">
      <alignment vertical="center" wrapText="1" shrinkToFit="1"/>
    </xf>
    <xf numFmtId="170" fontId="39" fillId="7" borderId="84" xfId="1" applyNumberFormat="1" applyFont="1" applyFill="1" applyBorder="1" applyAlignment="1" applyProtection="1">
      <alignment horizontal="right" vertical="center" wrapText="1" shrinkToFit="1"/>
    </xf>
    <xf numFmtId="49" fontId="39" fillId="7" borderId="68" xfId="0" applyNumberFormat="1" applyFont="1" applyFill="1" applyBorder="1" applyAlignment="1" applyProtection="1">
      <alignment horizontal="center" vertical="center" wrapText="1" shrinkToFit="1"/>
    </xf>
    <xf numFmtId="3" fontId="39" fillId="7" borderId="83" xfId="0" applyNumberFormat="1" applyFont="1" applyFill="1" applyBorder="1" applyAlignment="1">
      <alignment horizontal="center"/>
    </xf>
    <xf numFmtId="0" fontId="17" fillId="7" borderId="81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0" fontId="17" fillId="7" borderId="46" xfId="0" applyFont="1" applyFill="1" applyBorder="1" applyAlignment="1">
      <alignment horizontal="center"/>
    </xf>
    <xf numFmtId="170" fontId="17" fillId="7" borderId="12" xfId="0" applyNumberFormat="1" applyFont="1" applyFill="1" applyBorder="1" applyAlignment="1">
      <alignment horizontal="center"/>
    </xf>
    <xf numFmtId="0" fontId="24" fillId="7" borderId="81" xfId="0" applyFont="1" applyFill="1" applyBorder="1" applyAlignment="1"/>
    <xf numFmtId="3" fontId="24" fillId="7" borderId="12" xfId="0" applyNumberFormat="1" applyFont="1" applyFill="1" applyBorder="1" applyAlignment="1"/>
    <xf numFmtId="0" fontId="28" fillId="7" borderId="53" xfId="0" applyFont="1" applyFill="1" applyBorder="1" applyAlignment="1">
      <alignment horizontal="left" vertical="center" wrapText="1"/>
    </xf>
    <xf numFmtId="170" fontId="28" fillId="7" borderId="83" xfId="0" applyNumberFormat="1" applyFont="1" applyFill="1" applyBorder="1" applyAlignment="1">
      <alignment horizontal="right" vertical="center" wrapText="1"/>
    </xf>
    <xf numFmtId="49" fontId="39" fillId="7" borderId="45" xfId="0" applyNumberFormat="1" applyFont="1" applyFill="1" applyBorder="1" applyAlignment="1" applyProtection="1">
      <alignment horizontal="center" vertical="center" wrapText="1" shrinkToFit="1"/>
    </xf>
    <xf numFmtId="49" fontId="42" fillId="0" borderId="10" xfId="0" applyNumberFormat="1" applyFont="1" applyFill="1" applyBorder="1" applyAlignment="1" applyProtection="1">
      <alignment horizontal="left" vertical="center" wrapText="1" indent="1" shrinkToFit="1"/>
    </xf>
    <xf numFmtId="170" fontId="39" fillId="7" borderId="45" xfId="0" applyNumberFormat="1" applyFont="1" applyFill="1" applyBorder="1" applyAlignment="1" applyProtection="1">
      <alignment horizontal="right" vertical="center" wrapText="1" shrinkToFit="1"/>
    </xf>
    <xf numFmtId="170" fontId="42" fillId="0" borderId="4" xfId="0" applyNumberFormat="1" applyFont="1" applyFill="1" applyBorder="1" applyAlignment="1">
      <alignment horizontal="right" indent="1"/>
    </xf>
    <xf numFmtId="3" fontId="19" fillId="0" borderId="4" xfId="1" applyNumberFormat="1" applyFont="1" applyBorder="1" applyAlignment="1"/>
    <xf numFmtId="170" fontId="39" fillId="7" borderId="83" xfId="0" applyNumberFormat="1" applyFont="1" applyFill="1" applyBorder="1" applyAlignment="1">
      <alignment horizontal="right"/>
    </xf>
    <xf numFmtId="0" fontId="39" fillId="7" borderId="81" xfId="0" applyFont="1" applyFill="1" applyBorder="1" applyAlignment="1">
      <alignment horizontal="center"/>
    </xf>
    <xf numFmtId="0" fontId="19" fillId="0" borderId="29" xfId="0" applyFont="1" applyBorder="1"/>
    <xf numFmtId="0" fontId="42" fillId="0" borderId="27" xfId="0" applyFont="1" applyBorder="1"/>
    <xf numFmtId="0" fontId="42" fillId="0" borderId="27" xfId="0" applyFont="1" applyBorder="1" applyAlignment="1">
      <alignment horizontal="left" indent="7"/>
    </xf>
    <xf numFmtId="0" fontId="19" fillId="0" borderId="33" xfId="0" applyFont="1" applyBorder="1" applyAlignment="1">
      <alignment horizontal="left"/>
    </xf>
    <xf numFmtId="3" fontId="39" fillId="7" borderId="45" xfId="0" applyNumberFormat="1" applyFont="1" applyFill="1" applyBorder="1" applyAlignment="1">
      <alignment horizontal="center"/>
    </xf>
    <xf numFmtId="170" fontId="42" fillId="0" borderId="10" xfId="0" applyNumberFormat="1" applyFont="1" applyFill="1" applyBorder="1" applyAlignment="1">
      <alignment horizontal="right" indent="1"/>
    </xf>
    <xf numFmtId="3" fontId="19" fillId="0" borderId="10" xfId="1" applyNumberFormat="1" applyFont="1" applyBorder="1" applyAlignment="1"/>
    <xf numFmtId="170" fontId="42" fillId="0" borderId="10" xfId="0" applyNumberFormat="1" applyFont="1" applyBorder="1" applyAlignment="1"/>
    <xf numFmtId="0" fontId="61" fillId="0" borderId="33" xfId="0" applyFont="1" applyBorder="1" applyAlignment="1">
      <alignment wrapText="1"/>
    </xf>
    <xf numFmtId="3" fontId="61" fillId="0" borderId="11" xfId="0" applyNumberFormat="1" applyFont="1" applyBorder="1" applyAlignment="1"/>
    <xf numFmtId="3" fontId="61" fillId="0" borderId="70" xfId="0" applyNumberFormat="1" applyFont="1" applyBorder="1" applyAlignment="1"/>
    <xf numFmtId="170" fontId="22" fillId="0" borderId="4" xfId="0" applyNumberFormat="1" applyFont="1" applyFill="1" applyBorder="1" applyAlignment="1">
      <alignment horizontal="right" vertical="center" wrapText="1"/>
    </xf>
    <xf numFmtId="170" fontId="13" fillId="7" borderId="53" xfId="0" applyNumberFormat="1" applyFont="1" applyFill="1" applyBorder="1"/>
    <xf numFmtId="170" fontId="28" fillId="0" borderId="20" xfId="0" applyNumberFormat="1" applyFont="1" applyBorder="1" applyAlignment="1">
      <alignment horizontal="right" wrapText="1"/>
    </xf>
    <xf numFmtId="170" fontId="13" fillId="7" borderId="45" xfId="0" applyNumberFormat="1" applyFont="1" applyFill="1" applyBorder="1"/>
    <xf numFmtId="170" fontId="39" fillId="0" borderId="9" xfId="0" applyNumberFormat="1" applyFont="1" applyFill="1" applyBorder="1" applyAlignment="1" applyProtection="1">
      <alignment horizontal="right" vertical="center" wrapText="1" shrinkToFit="1"/>
    </xf>
    <xf numFmtId="170" fontId="19" fillId="0" borderId="10" xfId="0" applyNumberFormat="1" applyFont="1" applyFill="1" applyBorder="1" applyAlignment="1" applyProtection="1">
      <alignment horizontal="right" vertical="center" wrapText="1" shrinkToFit="1"/>
    </xf>
    <xf numFmtId="170" fontId="19" fillId="0" borderId="11" xfId="0" applyNumberFormat="1" applyFont="1" applyFill="1" applyBorder="1" applyAlignment="1" applyProtection="1">
      <alignment horizontal="right" vertical="center" wrapText="1" shrinkToFit="1"/>
    </xf>
    <xf numFmtId="0" fontId="47" fillId="0" borderId="0" xfId="0" applyFont="1" applyFill="1" applyAlignment="1">
      <alignment horizontal="right"/>
    </xf>
    <xf numFmtId="0" fontId="39" fillId="7" borderId="81" xfId="0" applyFont="1" applyFill="1" applyBorder="1"/>
    <xf numFmtId="170" fontId="39" fillId="7" borderId="45" xfId="0" applyNumberFormat="1" applyFont="1" applyFill="1" applyBorder="1" applyAlignment="1">
      <alignment horizontal="right"/>
    </xf>
    <xf numFmtId="0" fontId="67" fillId="0" borderId="0" xfId="0" applyFont="1"/>
    <xf numFmtId="3" fontId="65" fillId="0" borderId="0" xfId="0" applyNumberFormat="1" applyFont="1" applyAlignment="1">
      <alignment vertical="center"/>
    </xf>
    <xf numFmtId="0" fontId="66" fillId="0" borderId="0" xfId="0" applyFont="1" applyAlignment="1">
      <alignment horizontal="right"/>
    </xf>
    <xf numFmtId="170" fontId="1" fillId="0" borderId="55" xfId="1" applyNumberFormat="1" applyBorder="1" applyProtection="1">
      <protection locked="0"/>
    </xf>
    <xf numFmtId="9" fontId="1" fillId="0" borderId="29" xfId="1" applyNumberFormat="1" applyBorder="1" applyAlignment="1" applyProtection="1">
      <alignment horizontal="center"/>
      <protection locked="0"/>
    </xf>
    <xf numFmtId="9" fontId="1" fillId="0" borderId="36" xfId="1" applyNumberFormat="1" applyBorder="1" applyAlignment="1" applyProtection="1">
      <alignment horizontal="center"/>
      <protection locked="0"/>
    </xf>
    <xf numFmtId="170" fontId="28" fillId="0" borderId="58" xfId="1" applyNumberFormat="1" applyFont="1" applyBorder="1" applyProtection="1">
      <protection locked="0"/>
    </xf>
    <xf numFmtId="170" fontId="28" fillId="0" borderId="74" xfId="1" applyNumberFormat="1" applyFont="1" applyBorder="1" applyProtection="1">
      <protection locked="0"/>
    </xf>
    <xf numFmtId="9" fontId="28" fillId="0" borderId="58" xfId="1" applyNumberFormat="1" applyFont="1" applyBorder="1" applyAlignment="1" applyProtection="1">
      <alignment horizontal="center"/>
      <protection locked="0"/>
    </xf>
    <xf numFmtId="170" fontId="28" fillId="0" borderId="86" xfId="1" applyNumberFormat="1" applyFont="1" applyBorder="1" applyProtection="1">
      <protection locked="0"/>
    </xf>
    <xf numFmtId="9" fontId="28" fillId="0" borderId="45" xfId="1" applyNumberFormat="1" applyFont="1" applyBorder="1" applyAlignment="1" applyProtection="1">
      <alignment horizontal="center"/>
      <protection locked="0"/>
    </xf>
    <xf numFmtId="170" fontId="28" fillId="0" borderId="83" xfId="1" applyNumberFormat="1" applyFont="1" applyBorder="1" applyProtection="1">
      <protection locked="0"/>
    </xf>
    <xf numFmtId="9" fontId="1" fillId="0" borderId="55" xfId="1" applyNumberFormat="1" applyBorder="1" applyAlignment="1" applyProtection="1">
      <alignment horizontal="center"/>
      <protection locked="0"/>
    </xf>
    <xf numFmtId="170" fontId="1" fillId="0" borderId="76" xfId="1" applyNumberFormat="1" applyBorder="1" applyProtection="1">
      <protection locked="0"/>
    </xf>
    <xf numFmtId="9" fontId="1" fillId="0" borderId="50" xfId="1" applyNumberFormat="1" applyBorder="1" applyAlignment="1" applyProtection="1">
      <alignment horizontal="center"/>
      <protection locked="0"/>
    </xf>
    <xf numFmtId="9" fontId="1" fillId="0" borderId="10" xfId="1" applyNumberFormat="1" applyBorder="1" applyAlignment="1" applyProtection="1">
      <alignment horizontal="center"/>
      <protection locked="0"/>
    </xf>
    <xf numFmtId="0" fontId="0" fillId="9" borderId="0" xfId="0" applyFill="1"/>
    <xf numFmtId="9" fontId="1" fillId="0" borderId="84" xfId="1" applyNumberFormat="1" applyBorder="1" applyAlignment="1" applyProtection="1">
      <alignment horizontal="center"/>
      <protection locked="0"/>
    </xf>
    <xf numFmtId="3" fontId="67" fillId="0" borderId="0" xfId="4" applyNumberFormat="1" applyFont="1" applyBorder="1" applyAlignment="1" applyProtection="1"/>
    <xf numFmtId="49" fontId="68" fillId="0" borderId="0" xfId="0" applyNumberFormat="1" applyFont="1" applyAlignment="1">
      <alignment horizontal="center"/>
    </xf>
    <xf numFmtId="0" fontId="66" fillId="10" borderId="45" xfId="0" applyFont="1" applyFill="1" applyBorder="1"/>
    <xf numFmtId="0" fontId="66" fillId="10" borderId="68" xfId="0" applyFont="1" applyFill="1" applyBorder="1" applyAlignment="1">
      <alignment horizontal="center"/>
    </xf>
    <xf numFmtId="0" fontId="65" fillId="10" borderId="81" xfId="0" applyFont="1" applyFill="1" applyBorder="1" applyAlignment="1">
      <alignment horizontal="center" vertical="center" wrapText="1"/>
    </xf>
    <xf numFmtId="0" fontId="65" fillId="10" borderId="45" xfId="0" applyFont="1" applyFill="1" applyBorder="1" applyAlignment="1">
      <alignment horizontal="center" vertical="center" wrapText="1"/>
    </xf>
    <xf numFmtId="0" fontId="66" fillId="11" borderId="13" xfId="0" applyFont="1" applyFill="1" applyBorder="1" applyAlignment="1">
      <alignment horizontal="center" vertical="center"/>
    </xf>
    <xf numFmtId="0" fontId="66" fillId="11" borderId="31" xfId="0" applyFont="1" applyFill="1" applyBorder="1" applyAlignment="1">
      <alignment horizontal="center"/>
    </xf>
    <xf numFmtId="0" fontId="65" fillId="11" borderId="45" xfId="0" applyFont="1" applyFill="1" applyBorder="1" applyAlignment="1">
      <alignment horizontal="center" vertical="center" wrapText="1"/>
    </xf>
    <xf numFmtId="0" fontId="65" fillId="11" borderId="84" xfId="0" applyFont="1" applyFill="1" applyBorder="1" applyAlignment="1">
      <alignment horizontal="center" vertical="center" wrapText="1"/>
    </xf>
    <xf numFmtId="0" fontId="65" fillId="11" borderId="83" xfId="0" applyFont="1" applyFill="1" applyBorder="1" applyAlignment="1">
      <alignment horizontal="center" vertical="center" wrapText="1"/>
    </xf>
    <xf numFmtId="49" fontId="66" fillId="10" borderId="9" xfId="0" applyNumberFormat="1" applyFont="1" applyFill="1" applyBorder="1" applyAlignment="1">
      <alignment horizontal="center"/>
    </xf>
    <xf numFmtId="0" fontId="67" fillId="10" borderId="69" xfId="0" applyFont="1" applyFill="1" applyBorder="1"/>
    <xf numFmtId="49" fontId="66" fillId="10" borderId="10" xfId="0" applyNumberFormat="1" applyFont="1" applyFill="1" applyBorder="1" applyAlignment="1">
      <alignment horizontal="center"/>
    </xf>
    <xf numFmtId="0" fontId="67" fillId="10" borderId="49" xfId="0" applyFont="1" applyFill="1" applyBorder="1"/>
    <xf numFmtId="49" fontId="66" fillId="10" borderId="11" xfId="0" applyNumberFormat="1" applyFont="1" applyFill="1" applyBorder="1" applyAlignment="1">
      <alignment horizontal="center"/>
    </xf>
    <xf numFmtId="0" fontId="67" fillId="10" borderId="70" xfId="0" applyFont="1" applyFill="1" applyBorder="1"/>
    <xf numFmtId="49" fontId="68" fillId="10" borderId="58" xfId="0" applyNumberFormat="1" applyFont="1" applyFill="1" applyBorder="1" applyAlignment="1">
      <alignment horizontal="center"/>
    </xf>
    <xf numFmtId="0" fontId="65" fillId="10" borderId="74" xfId="0" applyFont="1" applyFill="1" applyBorder="1"/>
    <xf numFmtId="49" fontId="66" fillId="10" borderId="51" xfId="0" applyNumberFormat="1" applyFont="1" applyFill="1" applyBorder="1" applyAlignment="1">
      <alignment horizontal="center"/>
    </xf>
    <xf numFmtId="0" fontId="67" fillId="10" borderId="61" xfId="0" applyFont="1" applyFill="1" applyBorder="1"/>
    <xf numFmtId="49" fontId="64" fillId="10" borderId="2" xfId="0" applyNumberFormat="1" applyFont="1" applyFill="1" applyBorder="1" applyAlignment="1">
      <alignment horizontal="center"/>
    </xf>
    <xf numFmtId="0" fontId="67" fillId="10" borderId="24" xfId="0" applyFont="1" applyFill="1" applyBorder="1"/>
    <xf numFmtId="49" fontId="64" fillId="10" borderId="5" xfId="0" applyNumberFormat="1" applyFont="1" applyFill="1" applyBorder="1" applyAlignment="1">
      <alignment horizontal="center"/>
    </xf>
    <xf numFmtId="0" fontId="67" fillId="10" borderId="77" xfId="0" applyFont="1" applyFill="1" applyBorder="1"/>
    <xf numFmtId="49" fontId="68" fillId="10" borderId="19" xfId="0" applyNumberFormat="1" applyFont="1" applyFill="1" applyBorder="1" applyAlignment="1">
      <alignment horizontal="center"/>
    </xf>
    <xf numFmtId="0" fontId="67" fillId="10" borderId="78" xfId="0" applyFont="1" applyFill="1" applyBorder="1"/>
    <xf numFmtId="49" fontId="66" fillId="11" borderId="69" xfId="4" applyNumberFormat="1" applyFont="1" applyFill="1" applyBorder="1" applyAlignment="1" applyProtection="1">
      <alignment horizontal="center"/>
    </xf>
    <xf numFmtId="3" fontId="67" fillId="11" borderId="29" xfId="0" applyNumberFormat="1" applyFont="1" applyFill="1" applyBorder="1"/>
    <xf numFmtId="49" fontId="66" fillId="11" borderId="49" xfId="4" applyNumberFormat="1" applyFont="1" applyFill="1" applyBorder="1" applyAlignment="1" applyProtection="1">
      <alignment horizontal="center"/>
    </xf>
    <xf numFmtId="3" fontId="67" fillId="11" borderId="27" xfId="0" applyNumberFormat="1" applyFont="1" applyFill="1" applyBorder="1"/>
    <xf numFmtId="49" fontId="66" fillId="11" borderId="70" xfId="4" applyNumberFormat="1" applyFont="1" applyFill="1" applyBorder="1" applyAlignment="1" applyProtection="1">
      <alignment horizontal="center"/>
    </xf>
    <xf numFmtId="3" fontId="67" fillId="11" borderId="33" xfId="0" applyNumberFormat="1" applyFont="1" applyFill="1" applyBorder="1"/>
    <xf numFmtId="3" fontId="65" fillId="11" borderId="68" xfId="0" applyNumberFormat="1" applyFont="1" applyFill="1" applyBorder="1" applyAlignment="1">
      <alignment horizontal="right"/>
    </xf>
    <xf numFmtId="3" fontId="65" fillId="11" borderId="81" xfId="0" applyNumberFormat="1" applyFont="1" applyFill="1" applyBorder="1"/>
    <xf numFmtId="49" fontId="66" fillId="11" borderId="69" xfId="0" applyNumberFormat="1" applyFont="1" applyFill="1" applyBorder="1" applyAlignment="1">
      <alignment horizontal="center"/>
    </xf>
    <xf numFmtId="3" fontId="67" fillId="11" borderId="32" xfId="0" applyNumberFormat="1" applyFont="1" applyFill="1" applyBorder="1"/>
    <xf numFmtId="49" fontId="66" fillId="11" borderId="59" xfId="0" applyNumberFormat="1" applyFont="1" applyFill="1" applyBorder="1" applyAlignment="1">
      <alignment horizontal="center" vertical="center"/>
    </xf>
    <xf numFmtId="49" fontId="66" fillId="11" borderId="68" xfId="0" applyNumberFormat="1" applyFont="1" applyFill="1" applyBorder="1" applyAlignment="1">
      <alignment horizontal="center" vertical="center"/>
    </xf>
    <xf numFmtId="3" fontId="69" fillId="0" borderId="0" xfId="0" applyNumberFormat="1" applyFont="1" applyAlignment="1">
      <alignment horizontal="center" vertical="center"/>
    </xf>
    <xf numFmtId="3" fontId="19" fillId="0" borderId="0" xfId="1" applyNumberFormat="1" applyFont="1" applyFill="1" applyBorder="1" applyAlignment="1" applyProtection="1">
      <protection locked="0"/>
    </xf>
    <xf numFmtId="3" fontId="19" fillId="0" borderId="0" xfId="1" applyNumberFormat="1" applyFont="1" applyFill="1" applyBorder="1" applyProtection="1">
      <protection locked="0"/>
    </xf>
    <xf numFmtId="3" fontId="39" fillId="0" borderId="0" xfId="1" applyNumberFormat="1" applyFont="1" applyFill="1" applyBorder="1" applyAlignment="1" applyProtection="1">
      <alignment horizontal="right"/>
      <protection locked="0"/>
    </xf>
    <xf numFmtId="0" fontId="71" fillId="0" borderId="0" xfId="0" applyFont="1"/>
    <xf numFmtId="3" fontId="72" fillId="0" borderId="0" xfId="1" applyNumberFormat="1" applyFont="1" applyFill="1" applyBorder="1" applyProtection="1">
      <protection locked="0"/>
    </xf>
    <xf numFmtId="3" fontId="35" fillId="0" borderId="45" xfId="0" applyNumberFormat="1" applyFont="1" applyBorder="1"/>
    <xf numFmtId="170" fontId="36" fillId="0" borderId="81" xfId="0" applyNumberFormat="1" applyFont="1" applyBorder="1" applyAlignment="1">
      <alignment horizontal="right"/>
    </xf>
    <xf numFmtId="170" fontId="36" fillId="0" borderId="45" xfId="0" applyNumberFormat="1" applyFont="1" applyBorder="1" applyAlignment="1">
      <alignment horizontal="right"/>
    </xf>
    <xf numFmtId="170" fontId="36" fillId="7" borderId="81" xfId="0" applyNumberFormat="1" applyFont="1" applyFill="1" applyBorder="1"/>
    <xf numFmtId="170" fontId="33" fillId="7" borderId="45" xfId="1" applyNumberFormat="1" applyFont="1" applyFill="1" applyBorder="1"/>
    <xf numFmtId="0" fontId="53" fillId="0" borderId="45" xfId="0" applyFont="1" applyBorder="1"/>
    <xf numFmtId="170" fontId="53" fillId="0" borderId="45" xfId="0" applyNumberFormat="1" applyFont="1" applyBorder="1" applyAlignment="1">
      <alignment horizontal="right"/>
    </xf>
    <xf numFmtId="0" fontId="53" fillId="7" borderId="45" xfId="0" applyFont="1" applyFill="1" applyBorder="1" applyAlignment="1">
      <alignment horizontal="center"/>
    </xf>
    <xf numFmtId="49" fontId="53" fillId="0" borderId="45" xfId="0" applyNumberFormat="1" applyFont="1" applyFill="1" applyBorder="1" applyAlignment="1" applyProtection="1">
      <alignment vertical="center" wrapText="1" shrinkToFit="1"/>
    </xf>
    <xf numFmtId="170" fontId="53" fillId="0" borderId="84" xfId="0" applyNumberFormat="1" applyFont="1" applyFill="1" applyBorder="1" applyAlignment="1" applyProtection="1">
      <alignment horizontal="right" vertical="center" wrapText="1" shrinkToFit="1"/>
    </xf>
    <xf numFmtId="170" fontId="53" fillId="0" borderId="45" xfId="1" applyNumberFormat="1" applyFont="1" applyFill="1" applyBorder="1" applyAlignment="1" applyProtection="1">
      <alignment horizontal="right" vertical="center" wrapText="1" shrinkToFit="1"/>
    </xf>
    <xf numFmtId="0" fontId="53" fillId="3" borderId="45" xfId="0" applyFont="1" applyFill="1" applyBorder="1"/>
    <xf numFmtId="170" fontId="53" fillId="3" borderId="45" xfId="0" applyNumberFormat="1" applyFont="1" applyFill="1" applyBorder="1" applyAlignment="1">
      <alignment horizontal="right"/>
    </xf>
    <xf numFmtId="49" fontId="19" fillId="0" borderId="10" xfId="0" applyNumberFormat="1" applyFont="1" applyFill="1" applyBorder="1" applyAlignment="1" applyProtection="1">
      <alignment vertical="center" wrapText="1" shrinkToFit="1"/>
    </xf>
    <xf numFmtId="170" fontId="17" fillId="7" borderId="9" xfId="0" applyNumberFormat="1" applyFont="1" applyFill="1" applyBorder="1" applyAlignment="1">
      <alignment horizontal="right" wrapText="1"/>
    </xf>
    <xf numFmtId="170" fontId="21" fillId="0" borderId="75" xfId="0" applyNumberFormat="1" applyFont="1" applyBorder="1" applyAlignment="1"/>
    <xf numFmtId="170" fontId="21" fillId="0" borderId="55" xfId="0" applyNumberFormat="1" applyFont="1" applyBorder="1" applyAlignment="1">
      <alignment wrapText="1"/>
    </xf>
    <xf numFmtId="170" fontId="21" fillId="0" borderId="75" xfId="0" applyNumberFormat="1" applyFont="1" applyBorder="1" applyAlignment="1">
      <alignment wrapText="1"/>
    </xf>
    <xf numFmtId="170" fontId="21" fillId="0" borderId="29" xfId="0" applyNumberFormat="1" applyFont="1" applyBorder="1" applyAlignment="1"/>
    <xf numFmtId="170" fontId="21" fillId="0" borderId="9" xfId="0" applyNumberFormat="1" applyFont="1" applyBorder="1" applyAlignment="1">
      <alignment wrapText="1"/>
    </xf>
    <xf numFmtId="170" fontId="21" fillId="0" borderId="29" xfId="0" applyNumberFormat="1" applyFont="1" applyBorder="1" applyAlignment="1">
      <alignment wrapText="1"/>
    </xf>
    <xf numFmtId="170" fontId="21" fillId="0" borderId="27" xfId="0" applyNumberFormat="1" applyFont="1" applyBorder="1" applyAlignment="1"/>
    <xf numFmtId="170" fontId="21" fillId="0" borderId="10" xfId="4" applyNumberFormat="1" applyFont="1" applyBorder="1" applyAlignment="1"/>
    <xf numFmtId="170" fontId="21" fillId="0" borderId="10" xfId="0" applyNumberFormat="1" applyFont="1" applyBorder="1" applyAlignment="1">
      <alignment wrapText="1"/>
    </xf>
    <xf numFmtId="170" fontId="21" fillId="0" borderId="27" xfId="0" applyNumberFormat="1" applyFont="1" applyBorder="1" applyAlignment="1">
      <alignment wrapText="1"/>
    </xf>
    <xf numFmtId="170" fontId="21" fillId="0" borderId="9" xfId="4" applyNumberFormat="1" applyFont="1" applyBorder="1" applyAlignment="1"/>
    <xf numFmtId="170" fontId="21" fillId="0" borderId="10" xfId="0" applyNumberFormat="1" applyFont="1" applyFill="1" applyBorder="1" applyAlignment="1">
      <alignment wrapText="1"/>
    </xf>
    <xf numFmtId="170" fontId="21" fillId="0" borderId="8" xfId="0" applyNumberFormat="1" applyFont="1" applyBorder="1" applyAlignment="1">
      <alignment wrapText="1"/>
    </xf>
    <xf numFmtId="170" fontId="21" fillId="0" borderId="28" xfId="0" applyNumberFormat="1" applyFont="1" applyBorder="1" applyAlignment="1">
      <alignment wrapText="1"/>
    </xf>
    <xf numFmtId="170" fontId="70" fillId="0" borderId="49" xfId="0" applyNumberFormat="1" applyFont="1" applyFill="1" applyBorder="1" applyAlignment="1" applyProtection="1">
      <alignment horizontal="right" vertical="center" wrapText="1" shrinkToFit="1"/>
    </xf>
    <xf numFmtId="170" fontId="70" fillId="0" borderId="10" xfId="1" applyNumberFormat="1" applyFont="1" applyBorder="1" applyAlignment="1">
      <alignment horizontal="right" vertical="center"/>
    </xf>
    <xf numFmtId="3" fontId="61" fillId="0" borderId="9" xfId="0" applyNumberFormat="1" applyFont="1" applyFill="1" applyBorder="1" applyAlignment="1">
      <alignment horizontal="right"/>
    </xf>
    <xf numFmtId="3" fontId="61" fillId="0" borderId="10" xfId="0" applyNumberFormat="1" applyFont="1" applyFill="1" applyBorder="1" applyAlignment="1">
      <alignment horizontal="right"/>
    </xf>
    <xf numFmtId="3" fontId="61" fillId="0" borderId="11" xfId="0" applyNumberFormat="1" applyFont="1" applyFill="1" applyBorder="1" applyAlignment="1">
      <alignment horizontal="right"/>
    </xf>
    <xf numFmtId="3" fontId="61" fillId="0" borderId="8" xfId="0" applyNumberFormat="1" applyFont="1" applyFill="1" applyBorder="1" applyAlignment="1">
      <alignment horizontal="right"/>
    </xf>
    <xf numFmtId="0" fontId="42" fillId="0" borderId="27" xfId="0" applyFont="1" applyBorder="1" applyAlignment="1">
      <alignment horizontal="left" wrapText="1" indent="7"/>
    </xf>
    <xf numFmtId="169" fontId="22" fillId="0" borderId="20" xfId="1" applyNumberFormat="1" applyFont="1" applyBorder="1" applyAlignment="1">
      <alignment horizontal="right"/>
    </xf>
    <xf numFmtId="169" fontId="22" fillId="2" borderId="4" xfId="1" applyNumberFormat="1" applyFont="1" applyFill="1" applyBorder="1" applyAlignment="1">
      <alignment horizontal="right"/>
    </xf>
    <xf numFmtId="169" fontId="22" fillId="0" borderId="4" xfId="1" applyNumberFormat="1" applyFont="1" applyBorder="1" applyAlignment="1">
      <alignment horizontal="right"/>
    </xf>
    <xf numFmtId="169" fontId="28" fillId="0" borderId="18" xfId="1" applyNumberFormat="1" applyFont="1" applyBorder="1"/>
    <xf numFmtId="169" fontId="22" fillId="0" borderId="15" xfId="1" applyNumberFormat="1" applyFont="1" applyBorder="1" applyAlignment="1">
      <alignment horizontal="right"/>
    </xf>
    <xf numFmtId="169" fontId="22" fillId="2" borderId="2" xfId="1" applyNumberFormat="1" applyFont="1" applyFill="1" applyBorder="1" applyAlignment="1">
      <alignment horizontal="right"/>
    </xf>
    <xf numFmtId="169" fontId="22" fillId="0" borderId="2" xfId="1" applyNumberFormat="1" applyFont="1" applyBorder="1" applyAlignment="1">
      <alignment horizontal="right"/>
    </xf>
    <xf numFmtId="169" fontId="28" fillId="0" borderId="19" xfId="1" applyNumberFormat="1" applyFont="1" applyBorder="1"/>
    <xf numFmtId="0" fontId="0" fillId="0" borderId="0" xfId="0" applyAlignment="1">
      <alignment horizontal="center"/>
    </xf>
    <xf numFmtId="0" fontId="39" fillId="0" borderId="0" xfId="0" applyFont="1" applyAlignment="1">
      <alignment horizontal="center"/>
    </xf>
    <xf numFmtId="0" fontId="54" fillId="0" borderId="33" xfId="0" applyFont="1" applyBorder="1" applyAlignment="1"/>
    <xf numFmtId="0" fontId="54" fillId="0" borderId="33" xfId="0" applyFont="1" applyBorder="1"/>
    <xf numFmtId="0" fontId="53" fillId="0" borderId="81" xfId="0" applyFont="1" applyBorder="1"/>
    <xf numFmtId="170" fontId="54" fillId="0" borderId="51" xfId="0" applyNumberFormat="1" applyFont="1" applyBorder="1" applyAlignment="1">
      <alignment horizontal="right"/>
    </xf>
    <xf numFmtId="170" fontId="54" fillId="0" borderId="74" xfId="0" applyNumberFormat="1" applyFont="1" applyBorder="1" applyAlignment="1">
      <alignment horizontal="right"/>
    </xf>
    <xf numFmtId="170" fontId="54" fillId="0" borderId="58" xfId="0" applyNumberFormat="1" applyFont="1" applyBorder="1" applyAlignment="1">
      <alignment horizontal="right"/>
    </xf>
    <xf numFmtId="170" fontId="54" fillId="0" borderId="5" xfId="0" applyNumberFormat="1" applyFont="1" applyBorder="1" applyAlignment="1">
      <alignment horizontal="right"/>
    </xf>
    <xf numFmtId="170" fontId="54" fillId="0" borderId="51" xfId="0" applyNumberFormat="1" applyFont="1" applyFill="1" applyBorder="1" applyAlignment="1" applyProtection="1">
      <alignment horizontal="right" vertical="center" wrapText="1" shrinkToFit="1"/>
    </xf>
    <xf numFmtId="170" fontId="54" fillId="0" borderId="52" xfId="0" applyNumberFormat="1" applyFont="1" applyFill="1" applyBorder="1" applyAlignment="1" applyProtection="1">
      <alignment horizontal="right" vertical="center" wrapText="1" shrinkToFit="1"/>
    </xf>
    <xf numFmtId="170" fontId="54" fillId="0" borderId="55" xfId="1" applyNumberFormat="1" applyFont="1" applyFill="1" applyBorder="1" applyAlignment="1" applyProtection="1">
      <alignment horizontal="right" vertical="center" wrapText="1" shrinkToFit="1"/>
    </xf>
    <xf numFmtId="170" fontId="54" fillId="0" borderId="5" xfId="0" applyNumberFormat="1" applyFont="1" applyFill="1" applyBorder="1" applyAlignment="1" applyProtection="1">
      <alignment horizontal="right" vertical="center" wrapText="1" shrinkToFit="1"/>
    </xf>
    <xf numFmtId="170" fontId="53" fillId="0" borderId="53" xfId="0" applyNumberFormat="1" applyFont="1" applyFill="1" applyBorder="1" applyAlignment="1" applyProtection="1">
      <alignment horizontal="right" vertical="center" wrapText="1" shrinkToFit="1"/>
    </xf>
    <xf numFmtId="3" fontId="54" fillId="0" borderId="40" xfId="0" applyNumberFormat="1" applyFont="1" applyFill="1" applyBorder="1" applyAlignment="1" applyProtection="1">
      <alignment horizontal="right" vertical="center" wrapText="1" shrinkToFit="1"/>
    </xf>
    <xf numFmtId="3" fontId="54" fillId="0" borderId="13" xfId="0" applyNumberFormat="1" applyFont="1" applyFill="1" applyBorder="1" applyAlignment="1" applyProtection="1">
      <alignment horizontal="right" vertical="center" wrapText="1" shrinkToFit="1"/>
    </xf>
    <xf numFmtId="3" fontId="54" fillId="0" borderId="30" xfId="1" applyNumberFormat="1" applyFont="1" applyFill="1" applyBorder="1" applyAlignment="1" applyProtection="1">
      <alignment horizontal="right" vertical="center" wrapText="1" shrinkToFit="1"/>
    </xf>
    <xf numFmtId="49" fontId="56" fillId="0" borderId="10" xfId="0" applyNumberFormat="1" applyFont="1" applyFill="1" applyBorder="1" applyAlignment="1" applyProtection="1">
      <alignment vertical="center" wrapText="1" shrinkToFit="1"/>
    </xf>
    <xf numFmtId="49" fontId="56" fillId="0" borderId="10" xfId="0" applyNumberFormat="1" applyFont="1" applyFill="1" applyBorder="1" applyAlignment="1" applyProtection="1">
      <alignment horizontal="left" vertical="center" wrapText="1" shrinkToFit="1"/>
    </xf>
    <xf numFmtId="49" fontId="54" fillId="0" borderId="27" xfId="0" applyNumberFormat="1" applyFont="1" applyFill="1" applyBorder="1" applyAlignment="1" applyProtection="1">
      <alignment vertical="center" wrapText="1" shrinkToFit="1"/>
    </xf>
    <xf numFmtId="49" fontId="53" fillId="0" borderId="81" xfId="0" applyNumberFormat="1" applyFont="1" applyFill="1" applyBorder="1" applyAlignment="1" applyProtection="1">
      <alignment vertical="center" wrapText="1" shrinkToFit="1"/>
    </xf>
    <xf numFmtId="49" fontId="54" fillId="0" borderId="29" xfId="0" applyNumberFormat="1" applyFont="1" applyFill="1" applyBorder="1" applyAlignment="1" applyProtection="1">
      <alignment vertical="center" wrapText="1" shrinkToFit="1"/>
    </xf>
    <xf numFmtId="170" fontId="54" fillId="0" borderId="51" xfId="0" applyNumberFormat="1" applyFont="1" applyBorder="1" applyAlignment="1">
      <alignment horizontal="right" vertical="center" wrapText="1" shrinkToFit="1"/>
    </xf>
    <xf numFmtId="170" fontId="54" fillId="0" borderId="66" xfId="0" applyNumberFormat="1" applyFont="1" applyBorder="1" applyAlignment="1">
      <alignment horizontal="right" vertical="center" wrapText="1" shrinkToFit="1"/>
    </xf>
    <xf numFmtId="170" fontId="54" fillId="0" borderId="86" xfId="0" applyNumberFormat="1" applyFont="1" applyBorder="1" applyAlignment="1">
      <alignment horizontal="right" vertical="center" wrapText="1" shrinkToFit="1"/>
    </xf>
    <xf numFmtId="170" fontId="54" fillId="0" borderId="5" xfId="0" applyNumberFormat="1" applyFont="1" applyBorder="1" applyAlignment="1">
      <alignment horizontal="right" vertical="center" wrapText="1" shrinkToFit="1"/>
    </xf>
    <xf numFmtId="170" fontId="54" fillId="0" borderId="72" xfId="0" applyNumberFormat="1" applyFont="1" applyFill="1" applyBorder="1" applyAlignment="1" applyProtection="1">
      <alignment horizontal="right" vertical="center" wrapText="1" shrinkToFit="1"/>
    </xf>
    <xf numFmtId="170" fontId="53" fillId="0" borderId="51" xfId="0" applyNumberFormat="1" applyFont="1" applyFill="1" applyBorder="1" applyAlignment="1" applyProtection="1">
      <alignment horizontal="right" vertical="center" wrapText="1" shrinkToFit="1"/>
    </xf>
    <xf numFmtId="170" fontId="53" fillId="0" borderId="72" xfId="0" applyNumberFormat="1" applyFont="1" applyFill="1" applyBorder="1" applyAlignment="1" applyProtection="1">
      <alignment horizontal="right" vertical="center" wrapText="1" shrinkToFit="1"/>
    </xf>
    <xf numFmtId="170" fontId="53" fillId="0" borderId="45" xfId="0" applyNumberFormat="1" applyFont="1" applyFill="1" applyBorder="1" applyAlignment="1" applyProtection="1">
      <alignment horizontal="right" vertical="center" wrapText="1" shrinkToFit="1"/>
    </xf>
    <xf numFmtId="3" fontId="55" fillId="0" borderId="40" xfId="0" applyNumberFormat="1" applyFont="1" applyFill="1" applyBorder="1" applyAlignment="1">
      <alignment horizontal="right"/>
    </xf>
    <xf numFmtId="3" fontId="55" fillId="0" borderId="13" xfId="0" applyNumberFormat="1" applyFont="1" applyFill="1" applyBorder="1" applyAlignment="1">
      <alignment horizontal="right"/>
    </xf>
    <xf numFmtId="3" fontId="54" fillId="0" borderId="30" xfId="0" applyNumberFormat="1" applyFont="1" applyBorder="1" applyAlignment="1">
      <alignment horizontal="right"/>
    </xf>
    <xf numFmtId="3" fontId="54" fillId="0" borderId="40" xfId="0" applyNumberFormat="1" applyFont="1" applyBorder="1" applyAlignment="1">
      <alignment horizontal="right"/>
    </xf>
    <xf numFmtId="3" fontId="54" fillId="0" borderId="13" xfId="0" applyNumberFormat="1" applyFont="1" applyBorder="1" applyAlignment="1">
      <alignment horizontal="right"/>
    </xf>
    <xf numFmtId="170" fontId="54" fillId="0" borderId="53" xfId="0" applyNumberFormat="1" applyFont="1" applyBorder="1" applyAlignment="1">
      <alignment horizontal="right"/>
    </xf>
    <xf numFmtId="170" fontId="54" fillId="0" borderId="68" xfId="0" applyNumberFormat="1" applyFont="1" applyBorder="1" applyAlignment="1">
      <alignment horizontal="right"/>
    </xf>
    <xf numFmtId="170" fontId="54" fillId="0" borderId="45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49" fillId="0" borderId="0" xfId="0" applyFont="1" applyAlignment="1">
      <alignment horizontal="right"/>
    </xf>
    <xf numFmtId="0" fontId="73" fillId="15" borderId="78" xfId="0" applyFont="1" applyFill="1" applyBorder="1" applyAlignment="1">
      <alignment horizontal="center" vertical="center" wrapText="1" shrinkToFit="1"/>
    </xf>
    <xf numFmtId="0" fontId="73" fillId="15" borderId="8" xfId="0" applyFont="1" applyFill="1" applyBorder="1" applyAlignment="1">
      <alignment horizontal="center" vertical="center" wrapText="1" shrinkToFit="1"/>
    </xf>
    <xf numFmtId="0" fontId="73" fillId="15" borderId="17" xfId="0" applyFont="1" applyFill="1" applyBorder="1" applyAlignment="1">
      <alignment horizontal="center" vertical="center" wrapText="1" shrinkToFit="1"/>
    </xf>
    <xf numFmtId="49" fontId="74" fillId="0" borderId="15" xfId="0" applyNumberFormat="1" applyFont="1" applyBorder="1" applyAlignment="1">
      <alignment vertical="center" wrapText="1" shrinkToFit="1"/>
    </xf>
    <xf numFmtId="49" fontId="74" fillId="0" borderId="16" xfId="0" applyNumberFormat="1" applyFont="1" applyBorder="1" applyAlignment="1">
      <alignment vertical="center" wrapText="1" shrinkToFit="1"/>
    </xf>
    <xf numFmtId="3" fontId="74" fillId="0" borderId="16" xfId="0" applyNumberFormat="1" applyFont="1" applyBorder="1" applyAlignment="1">
      <alignment horizontal="right" vertical="center" wrapText="1" shrinkToFit="1"/>
    </xf>
    <xf numFmtId="3" fontId="74" fillId="0" borderId="16" xfId="0" applyNumberFormat="1" applyFont="1" applyBorder="1" applyAlignment="1">
      <alignment vertical="center" wrapText="1" shrinkToFit="1"/>
    </xf>
    <xf numFmtId="3" fontId="74" fillId="0" borderId="16" xfId="0" applyNumberFormat="1" applyFont="1" applyBorder="1" applyAlignment="1">
      <alignment horizontal="center" vertical="center" wrapText="1" shrinkToFit="1"/>
    </xf>
    <xf numFmtId="3" fontId="74" fillId="0" borderId="9" xfId="0" applyNumberFormat="1" applyFont="1" applyBorder="1" applyAlignment="1">
      <alignment vertical="center" wrapText="1" shrinkToFit="1"/>
    </xf>
    <xf numFmtId="49" fontId="74" fillId="0" borderId="2" xfId="0" applyNumberFormat="1" applyFont="1" applyBorder="1" applyAlignment="1">
      <alignment vertical="center" wrapText="1" shrinkToFit="1"/>
    </xf>
    <xf numFmtId="49" fontId="74" fillId="0" borderId="1" xfId="0" applyNumberFormat="1" applyFont="1" applyBorder="1" applyAlignment="1">
      <alignment vertical="center" wrapText="1" shrinkToFit="1"/>
    </xf>
    <xf numFmtId="3" fontId="74" fillId="0" borderId="1" xfId="0" applyNumberFormat="1" applyFont="1" applyBorder="1" applyAlignment="1">
      <alignment horizontal="right" vertical="center" wrapText="1" shrinkToFit="1"/>
    </xf>
    <xf numFmtId="3" fontId="74" fillId="0" borderId="1" xfId="0" applyNumberFormat="1" applyFont="1" applyBorder="1" applyAlignment="1">
      <alignment vertical="center" wrapText="1" shrinkToFit="1"/>
    </xf>
    <xf numFmtId="3" fontId="74" fillId="0" borderId="10" xfId="0" applyNumberFormat="1" applyFont="1" applyBorder="1" applyAlignment="1">
      <alignment vertical="center" wrapText="1" shrinkToFit="1"/>
    </xf>
    <xf numFmtId="49" fontId="74" fillId="0" borderId="5" xfId="0" applyNumberFormat="1" applyFont="1" applyBorder="1" applyAlignment="1">
      <alignment vertical="center" wrapText="1" shrinkToFit="1"/>
    </xf>
    <xf numFmtId="49" fontId="74" fillId="0" borderId="26" xfId="0" applyNumberFormat="1" applyFont="1" applyBorder="1" applyAlignment="1">
      <alignment vertical="center" wrapText="1" shrinkToFit="1"/>
    </xf>
    <xf numFmtId="3" fontId="74" fillId="0" borderId="26" xfId="0" applyNumberFormat="1" applyFont="1" applyBorder="1" applyAlignment="1">
      <alignment horizontal="right" vertical="center" wrapText="1" shrinkToFit="1"/>
    </xf>
    <xf numFmtId="3" fontId="74" fillId="0" borderId="26" xfId="0" applyNumberFormat="1" applyFont="1" applyBorder="1" applyAlignment="1">
      <alignment vertical="center" wrapText="1" shrinkToFit="1"/>
    </xf>
    <xf numFmtId="3" fontId="74" fillId="0" borderId="11" xfId="0" applyNumberFormat="1" applyFont="1" applyBorder="1" applyAlignment="1">
      <alignment vertical="center" wrapText="1" shrinkToFit="1"/>
    </xf>
    <xf numFmtId="49" fontId="74" fillId="0" borderId="19" xfId="0" applyNumberFormat="1" applyFont="1" applyBorder="1" applyAlignment="1">
      <alignment vertical="center" wrapText="1" shrinkToFit="1"/>
    </xf>
    <xf numFmtId="49" fontId="74" fillId="0" borderId="85" xfId="0" applyNumberFormat="1" applyFont="1" applyBorder="1" applyAlignment="1">
      <alignment vertical="center" wrapText="1" shrinkToFit="1"/>
    </xf>
    <xf numFmtId="3" fontId="74" fillId="0" borderId="85" xfId="0" applyNumberFormat="1" applyFont="1" applyBorder="1" applyAlignment="1">
      <alignment horizontal="right" vertical="center" wrapText="1" shrinkToFit="1"/>
    </xf>
    <xf numFmtId="3" fontId="74" fillId="0" borderId="17" xfId="0" applyNumberFormat="1" applyFont="1" applyBorder="1" applyAlignment="1">
      <alignment vertical="center" wrapText="1" shrinkToFit="1"/>
    </xf>
    <xf numFmtId="3" fontId="74" fillId="0" borderId="8" xfId="0" applyNumberFormat="1" applyFont="1" applyBorder="1" applyAlignment="1">
      <alignment vertical="center" wrapText="1" shrinkToFit="1"/>
    </xf>
    <xf numFmtId="3" fontId="75" fillId="14" borderId="73" xfId="0" applyNumberFormat="1" applyFont="1" applyFill="1" applyBorder="1" applyAlignment="1">
      <alignment horizontal="right" vertical="center" wrapText="1" shrinkToFit="1"/>
    </xf>
    <xf numFmtId="3" fontId="75" fillId="14" borderId="82" xfId="0" applyNumberFormat="1" applyFont="1" applyFill="1" applyBorder="1" applyAlignment="1">
      <alignment vertical="center" wrapText="1" shrinkToFit="1"/>
    </xf>
    <xf numFmtId="3" fontId="75" fillId="14" borderId="73" xfId="0" applyNumberFormat="1" applyFont="1" applyFill="1" applyBorder="1" applyAlignment="1">
      <alignment horizontal="center" vertical="center" wrapText="1" shrinkToFit="1"/>
    </xf>
    <xf numFmtId="3" fontId="75" fillId="14" borderId="45" xfId="0" applyNumberFormat="1" applyFont="1" applyFill="1" applyBorder="1" applyAlignment="1">
      <alignment vertical="center" wrapText="1" shrinkToFit="1"/>
    </xf>
    <xf numFmtId="3" fontId="75" fillId="14" borderId="60" xfId="0" applyNumberFormat="1" applyFont="1" applyFill="1" applyBorder="1" applyAlignment="1">
      <alignment horizontal="right" vertical="center" wrapText="1" shrinkToFit="1"/>
    </xf>
    <xf numFmtId="3" fontId="75" fillId="14" borderId="42" xfId="0" applyNumberFormat="1" applyFont="1" applyFill="1" applyBorder="1" applyAlignment="1">
      <alignment vertical="center" wrapText="1" shrinkToFit="1"/>
    </xf>
    <xf numFmtId="3" fontId="75" fillId="14" borderId="42" xfId="0" applyNumberFormat="1" applyFont="1" applyFill="1" applyBorder="1" applyAlignment="1">
      <alignment horizontal="center" vertical="center" wrapText="1" shrinkToFit="1"/>
    </xf>
    <xf numFmtId="3" fontId="75" fillId="14" borderId="58" xfId="0" applyNumberFormat="1" applyFont="1" applyFill="1" applyBorder="1" applyAlignment="1">
      <alignment vertical="center" wrapText="1" shrinkToFit="1"/>
    </xf>
    <xf numFmtId="49" fontId="76" fillId="0" borderId="41" xfId="0" applyNumberFormat="1" applyFont="1" applyBorder="1" applyAlignment="1">
      <alignment horizontal="left" vertical="center" wrapText="1" shrinkToFit="1"/>
    </xf>
    <xf numFmtId="49" fontId="76" fillId="0" borderId="42" xfId="0" applyNumberFormat="1" applyFont="1" applyBorder="1" applyAlignment="1">
      <alignment horizontal="left" vertical="center" wrapText="1" shrinkToFit="1"/>
    </xf>
    <xf numFmtId="3" fontId="76" fillId="0" borderId="42" xfId="0" applyNumberFormat="1" applyFont="1" applyBorder="1" applyAlignment="1">
      <alignment horizontal="right" vertical="center" wrapText="1" shrinkToFit="1"/>
    </xf>
    <xf numFmtId="3" fontId="76" fillId="0" borderId="42" xfId="0" applyNumberFormat="1" applyFont="1" applyBorder="1" applyAlignment="1">
      <alignment vertical="center" wrapText="1" shrinkToFit="1"/>
    </xf>
    <xf numFmtId="3" fontId="76" fillId="0" borderId="42" xfId="0" applyNumberFormat="1" applyFont="1" applyBorder="1" applyAlignment="1">
      <alignment horizontal="center" vertical="center" wrapText="1" shrinkToFit="1"/>
    </xf>
    <xf numFmtId="3" fontId="76" fillId="0" borderId="58" xfId="0" applyNumberFormat="1" applyFont="1" applyBorder="1" applyAlignment="1">
      <alignment vertical="center" wrapText="1" shrinkToFit="1"/>
    </xf>
    <xf numFmtId="3" fontId="75" fillId="14" borderId="82" xfId="0" applyNumberFormat="1" applyFont="1" applyFill="1" applyBorder="1" applyAlignment="1">
      <alignment horizontal="center" vertical="center" wrapText="1" shrinkToFit="1"/>
    </xf>
    <xf numFmtId="3" fontId="77" fillId="14" borderId="82" xfId="0" applyNumberFormat="1" applyFont="1" applyFill="1" applyBorder="1" applyAlignment="1">
      <alignment vertical="center" wrapText="1" shrinkToFit="1"/>
    </xf>
    <xf numFmtId="3" fontId="77" fillId="14" borderId="82" xfId="0" applyNumberFormat="1" applyFont="1" applyFill="1" applyBorder="1" applyAlignment="1">
      <alignment horizontal="center" vertical="center" wrapText="1" shrinkToFit="1"/>
    </xf>
    <xf numFmtId="3" fontId="77" fillId="14" borderId="45" xfId="0" applyNumberFormat="1" applyFont="1" applyFill="1" applyBorder="1" applyAlignment="1">
      <alignment vertical="center" wrapText="1" shrinkToFit="1"/>
    </xf>
    <xf numFmtId="0" fontId="78" fillId="0" borderId="0" xfId="0" applyFont="1"/>
    <xf numFmtId="49" fontId="74" fillId="0" borderId="17" xfId="0" applyNumberFormat="1" applyFont="1" applyBorder="1" applyAlignment="1">
      <alignment vertical="center" wrapText="1" shrinkToFit="1"/>
    </xf>
    <xf numFmtId="3" fontId="74" fillId="0" borderId="17" xfId="0" applyNumberFormat="1" applyFont="1" applyBorder="1" applyAlignment="1">
      <alignment horizontal="right" vertical="center" wrapText="1" shrinkToFit="1"/>
    </xf>
    <xf numFmtId="0" fontId="79" fillId="0" borderId="26" xfId="0" applyFont="1" applyBorder="1" applyAlignment="1" applyProtection="1">
      <alignment vertical="center" wrapText="1"/>
      <protection locked="0"/>
    </xf>
    <xf numFmtId="3" fontId="77" fillId="14" borderId="73" xfId="0" applyNumberFormat="1" applyFont="1" applyFill="1" applyBorder="1" applyAlignment="1">
      <alignment horizontal="right" vertical="center" wrapText="1" shrinkToFit="1"/>
    </xf>
    <xf numFmtId="49" fontId="77" fillId="14" borderId="53" xfId="0" applyNumberFormat="1" applyFont="1" applyFill="1" applyBorder="1" applyAlignment="1">
      <alignment vertical="center" wrapText="1" shrinkToFit="1"/>
    </xf>
    <xf numFmtId="49" fontId="77" fillId="14" borderId="82" xfId="0" applyNumberFormat="1" applyFont="1" applyFill="1" applyBorder="1" applyAlignment="1">
      <alignment vertical="center" wrapText="1" shrinkToFit="1"/>
    </xf>
    <xf numFmtId="3" fontId="77" fillId="14" borderId="82" xfId="0" applyNumberFormat="1" applyFont="1" applyFill="1" applyBorder="1" applyAlignment="1">
      <alignment horizontal="right" vertical="center" wrapText="1" shrinkToFit="1"/>
    </xf>
    <xf numFmtId="3" fontId="77" fillId="13" borderId="82" xfId="0" applyNumberFormat="1" applyFont="1" applyFill="1" applyBorder="1" applyAlignment="1">
      <alignment vertical="center" wrapText="1" shrinkToFit="1"/>
    </xf>
    <xf numFmtId="3" fontId="77" fillId="13" borderId="82" xfId="0" applyNumberFormat="1" applyFont="1" applyFill="1" applyBorder="1" applyAlignment="1">
      <alignment horizontal="center" vertical="center" wrapText="1" shrinkToFit="1"/>
    </xf>
    <xf numFmtId="3" fontId="77" fillId="13" borderId="45" xfId="0" applyNumberFormat="1" applyFont="1" applyFill="1" applyBorder="1" applyAlignment="1">
      <alignment vertical="center" wrapText="1" shrinkToFit="1"/>
    </xf>
    <xf numFmtId="49" fontId="77" fillId="14" borderId="40" xfId="0" applyNumberFormat="1" applyFont="1" applyFill="1" applyBorder="1" applyAlignment="1">
      <alignment vertical="center" wrapText="1" shrinkToFit="1"/>
    </xf>
    <xf numFmtId="49" fontId="77" fillId="14" borderId="87" xfId="0" applyNumberFormat="1" applyFont="1" applyFill="1" applyBorder="1" applyAlignment="1">
      <alignment vertical="center" wrapText="1" shrinkToFit="1"/>
    </xf>
    <xf numFmtId="3" fontId="77" fillId="14" borderId="13" xfId="0" applyNumberFormat="1" applyFont="1" applyFill="1" applyBorder="1" applyAlignment="1">
      <alignment horizontal="right" vertical="center" wrapText="1" shrinkToFit="1"/>
    </xf>
    <xf numFmtId="3" fontId="77" fillId="13" borderId="88" xfId="0" applyNumberFormat="1" applyFont="1" applyFill="1" applyBorder="1" applyAlignment="1">
      <alignment vertical="center" wrapText="1" shrinkToFit="1"/>
    </xf>
    <xf numFmtId="3" fontId="77" fillId="13" borderId="30" xfId="0" applyNumberFormat="1" applyFont="1" applyFill="1" applyBorder="1" applyAlignment="1">
      <alignment vertical="center" wrapText="1" shrinkToFit="1"/>
    </xf>
    <xf numFmtId="3" fontId="28" fillId="15" borderId="87" xfId="0" applyNumberFormat="1" applyFont="1" applyFill="1" applyBorder="1" applyAlignment="1">
      <alignment horizontal="right" vertical="center"/>
    </xf>
    <xf numFmtId="3" fontId="80" fillId="15" borderId="34" xfId="0" applyNumberFormat="1" applyFont="1" applyFill="1" applyBorder="1" applyAlignment="1">
      <alignment vertical="center"/>
    </xf>
    <xf numFmtId="3" fontId="80" fillId="15" borderId="88" xfId="0" applyNumberFormat="1" applyFont="1" applyFill="1" applyBorder="1" applyAlignment="1">
      <alignment horizontal="center" vertical="center"/>
    </xf>
    <xf numFmtId="3" fontId="80" fillId="15" borderId="45" xfId="0" applyNumberFormat="1" applyFont="1" applyFill="1" applyBorder="1" applyAlignment="1">
      <alignment vertical="center"/>
    </xf>
    <xf numFmtId="0" fontId="49" fillId="0" borderId="0" xfId="0" applyFont="1"/>
    <xf numFmtId="3" fontId="49" fillId="0" borderId="0" xfId="0" applyNumberFormat="1" applyFont="1"/>
    <xf numFmtId="0" fontId="2" fillId="0" borderId="0" xfId="0" applyFont="1" applyAlignment="1">
      <alignment horizontal="right"/>
    </xf>
    <xf numFmtId="0" fontId="83" fillId="0" borderId="0" xfId="0" applyFont="1" applyAlignment="1">
      <alignment horizontal="right"/>
    </xf>
    <xf numFmtId="3" fontId="84" fillId="0" borderId="37" xfId="0" applyNumberFormat="1" applyFont="1" applyBorder="1" applyAlignment="1">
      <alignment vertical="center" wrapText="1" shrinkToFit="1"/>
    </xf>
    <xf numFmtId="3" fontId="85" fillId="0" borderId="0" xfId="0" applyNumberFormat="1" applyFont="1"/>
    <xf numFmtId="3" fontId="84" fillId="0" borderId="0" xfId="0" applyNumberFormat="1" applyFont="1" applyAlignment="1">
      <alignment vertical="center" wrapText="1" shrinkToFit="1"/>
    </xf>
    <xf numFmtId="3" fontId="75" fillId="16" borderId="73" xfId="0" applyNumberFormat="1" applyFont="1" applyFill="1" applyBorder="1" applyAlignment="1">
      <alignment horizontal="right" vertical="center" wrapText="1" shrinkToFit="1"/>
    </xf>
    <xf numFmtId="3" fontId="75" fillId="16" borderId="82" xfId="0" applyNumberFormat="1" applyFont="1" applyFill="1" applyBorder="1" applyAlignment="1">
      <alignment vertical="center" wrapText="1" shrinkToFit="1"/>
    </xf>
    <xf numFmtId="3" fontId="75" fillId="16" borderId="82" xfId="0" applyNumberFormat="1" applyFont="1" applyFill="1" applyBorder="1" applyAlignment="1">
      <alignment horizontal="center" vertical="center" wrapText="1" shrinkToFit="1"/>
    </xf>
    <xf numFmtId="3" fontId="75" fillId="16" borderId="83" xfId="0" applyNumberFormat="1" applyFont="1" applyFill="1" applyBorder="1" applyAlignment="1">
      <alignment vertical="center" wrapText="1" shrinkToFit="1"/>
    </xf>
    <xf numFmtId="3" fontId="75" fillId="16" borderId="45" xfId="0" applyNumberFormat="1" applyFont="1" applyFill="1" applyBorder="1" applyAlignment="1">
      <alignment vertical="center" wrapText="1" shrinkToFit="1"/>
    </xf>
    <xf numFmtId="49" fontId="86" fillId="0" borderId="1" xfId="0" applyNumberFormat="1" applyFont="1" applyBorder="1" applyAlignment="1">
      <alignment vertical="center" wrapText="1" shrinkToFit="1"/>
    </xf>
    <xf numFmtId="3" fontId="86" fillId="0" borderId="1" xfId="0" applyNumberFormat="1" applyFont="1" applyBorder="1" applyAlignment="1">
      <alignment horizontal="right" vertical="center" wrapText="1" shrinkToFit="1"/>
    </xf>
    <xf numFmtId="3" fontId="75" fillId="16" borderId="68" xfId="0" applyNumberFormat="1" applyFont="1" applyFill="1" applyBorder="1" applyAlignment="1">
      <alignment horizontal="right" vertical="center" wrapText="1" shrinkToFit="1"/>
    </xf>
    <xf numFmtId="3" fontId="75" fillId="16" borderId="83" xfId="0" applyNumberFormat="1" applyFont="1" applyFill="1" applyBorder="1" applyAlignment="1">
      <alignment horizontal="center" vertical="center" wrapText="1" shrinkToFit="1"/>
    </xf>
    <xf numFmtId="49" fontId="76" fillId="0" borderId="51" xfId="0" applyNumberFormat="1" applyFont="1" applyBorder="1" applyAlignment="1">
      <alignment horizontal="left" vertical="center" wrapText="1" shrinkToFit="1"/>
    </xf>
    <xf numFmtId="49" fontId="76" fillId="0" borderId="65" xfId="0" applyNumberFormat="1" applyFont="1" applyBorder="1" applyAlignment="1">
      <alignment horizontal="left" vertical="center" wrapText="1" shrinkToFit="1"/>
    </xf>
    <xf numFmtId="3" fontId="76" fillId="0" borderId="72" xfId="0" applyNumberFormat="1" applyFont="1" applyBorder="1" applyAlignment="1">
      <alignment horizontal="right" vertical="center" wrapText="1" shrinkToFit="1"/>
    </xf>
    <xf numFmtId="3" fontId="76" fillId="0" borderId="61" xfId="0" applyNumberFormat="1" applyFont="1" applyBorder="1" applyAlignment="1">
      <alignment vertical="center" wrapText="1" shrinkToFit="1"/>
    </xf>
    <xf numFmtId="3" fontId="76" fillId="0" borderId="66" xfId="0" applyNumberFormat="1" applyFont="1" applyBorder="1" applyAlignment="1">
      <alignment vertical="center" wrapText="1" shrinkToFit="1"/>
    </xf>
    <xf numFmtId="3" fontId="76" fillId="0" borderId="55" xfId="0" applyNumberFormat="1" applyFont="1" applyBorder="1" applyAlignment="1">
      <alignment vertical="center" wrapText="1" shrinkToFit="1"/>
    </xf>
    <xf numFmtId="3" fontId="76" fillId="0" borderId="1" xfId="0" applyNumberFormat="1" applyFont="1" applyBorder="1" applyAlignment="1">
      <alignment vertical="center" wrapText="1" shrinkToFit="1"/>
    </xf>
    <xf numFmtId="0" fontId="87" fillId="0" borderId="0" xfId="0" applyFont="1"/>
    <xf numFmtId="3" fontId="76" fillId="0" borderId="16" xfId="0" applyNumberFormat="1" applyFont="1" applyBorder="1" applyAlignment="1">
      <alignment vertical="center" wrapText="1" shrinkToFit="1"/>
    </xf>
    <xf numFmtId="3" fontId="83" fillId="0" borderId="0" xfId="0" applyNumberFormat="1" applyFont="1"/>
    <xf numFmtId="3" fontId="75" fillId="16" borderId="73" xfId="0" applyNumberFormat="1" applyFont="1" applyFill="1" applyBorder="1" applyAlignment="1">
      <alignment horizontal="right"/>
    </xf>
    <xf numFmtId="3" fontId="75" fillId="16" borderId="82" xfId="0" applyNumberFormat="1" applyFont="1" applyFill="1" applyBorder="1"/>
    <xf numFmtId="3" fontId="75" fillId="16" borderId="82" xfId="0" applyNumberFormat="1" applyFont="1" applyFill="1" applyBorder="1" applyAlignment="1">
      <alignment horizontal="center"/>
    </xf>
    <xf numFmtId="3" fontId="75" fillId="16" borderId="45" xfId="0" applyNumberFormat="1" applyFont="1" applyFill="1" applyBorder="1"/>
    <xf numFmtId="3" fontId="74" fillId="0" borderId="23" xfId="0" applyNumberFormat="1" applyFont="1" applyBorder="1" applyAlignment="1">
      <alignment vertical="center" wrapText="1" shrinkToFit="1"/>
    </xf>
    <xf numFmtId="3" fontId="74" fillId="0" borderId="23" xfId="0" applyNumberFormat="1" applyFont="1" applyBorder="1" applyAlignment="1">
      <alignment horizontal="center" vertical="center" wrapText="1" shrinkToFit="1"/>
    </xf>
    <xf numFmtId="0" fontId="88" fillId="0" borderId="0" xfId="0" applyFont="1"/>
    <xf numFmtId="3" fontId="75" fillId="16" borderId="90" xfId="0" applyNumberFormat="1" applyFont="1" applyFill="1" applyBorder="1" applyAlignment="1">
      <alignment vertical="center" wrapText="1" shrinkToFit="1"/>
    </xf>
    <xf numFmtId="3" fontId="75" fillId="16" borderId="90" xfId="0" applyNumberFormat="1" applyFont="1" applyFill="1" applyBorder="1" applyAlignment="1">
      <alignment horizontal="center" vertical="center" wrapText="1" shrinkToFit="1"/>
    </xf>
    <xf numFmtId="49" fontId="75" fillId="16" borderId="41" xfId="0" applyNumberFormat="1" applyFont="1" applyFill="1" applyBorder="1" applyAlignment="1">
      <alignment horizontal="left" vertical="center" wrapText="1" shrinkToFit="1"/>
    </xf>
    <xf numFmtId="49" fontId="75" fillId="16" borderId="73" xfId="0" applyNumberFormat="1" applyFont="1" applyFill="1" applyBorder="1" applyAlignment="1">
      <alignment horizontal="left" vertical="center" wrapText="1" shrinkToFit="1"/>
    </xf>
    <xf numFmtId="3" fontId="75" fillId="16" borderId="58" xfId="0" applyNumberFormat="1" applyFont="1" applyFill="1" applyBorder="1" applyAlignment="1">
      <alignment vertical="center" wrapText="1" shrinkToFit="1"/>
    </xf>
    <xf numFmtId="49" fontId="75" fillId="16" borderId="41" xfId="0" applyNumberFormat="1" applyFont="1" applyFill="1" applyBorder="1" applyAlignment="1">
      <alignment vertical="center" wrapText="1" shrinkToFit="1"/>
    </xf>
    <xf numFmtId="49" fontId="75" fillId="16" borderId="73" xfId="0" applyNumberFormat="1" applyFont="1" applyFill="1" applyBorder="1" applyAlignment="1">
      <alignment vertical="center" wrapText="1" shrinkToFit="1"/>
    </xf>
    <xf numFmtId="0" fontId="75" fillId="16" borderId="73" xfId="0" applyFont="1" applyFill="1" applyBorder="1" applyAlignment="1">
      <alignment vertical="center"/>
    </xf>
    <xf numFmtId="3" fontId="75" fillId="16" borderId="58" xfId="0" applyNumberFormat="1" applyFont="1" applyFill="1" applyBorder="1" applyAlignment="1">
      <alignment vertical="center"/>
    </xf>
    <xf numFmtId="49" fontId="75" fillId="16" borderId="53" xfId="0" applyNumberFormat="1" applyFont="1" applyFill="1" applyBorder="1" applyAlignment="1">
      <alignment vertical="center" wrapText="1" shrinkToFit="1"/>
    </xf>
    <xf numFmtId="3" fontId="75" fillId="16" borderId="60" xfId="0" applyNumberFormat="1" applyFont="1" applyFill="1" applyBorder="1" applyAlignment="1">
      <alignment horizontal="right" vertical="center" wrapText="1" shrinkToFit="1"/>
    </xf>
    <xf numFmtId="3" fontId="75" fillId="16" borderId="60" xfId="0" applyNumberFormat="1" applyFont="1" applyFill="1" applyBorder="1" applyAlignment="1">
      <alignment vertical="center" wrapText="1" shrinkToFit="1"/>
    </xf>
    <xf numFmtId="49" fontId="75" fillId="16" borderId="65" xfId="0" applyNumberFormat="1" applyFont="1" applyFill="1" applyBorder="1" applyAlignment="1">
      <alignment vertical="center" wrapText="1" shrinkToFit="1"/>
    </xf>
    <xf numFmtId="3" fontId="75" fillId="16" borderId="65" xfId="0" applyNumberFormat="1" applyFont="1" applyFill="1" applyBorder="1" applyAlignment="1">
      <alignment horizontal="right" vertical="center" wrapText="1" shrinkToFit="1"/>
    </xf>
    <xf numFmtId="3" fontId="75" fillId="17" borderId="65" xfId="0" applyNumberFormat="1" applyFont="1" applyFill="1" applyBorder="1" applyAlignment="1">
      <alignment vertical="center" wrapText="1" shrinkToFit="1"/>
    </xf>
    <xf numFmtId="3" fontId="75" fillId="16" borderId="66" xfId="0" applyNumberFormat="1" applyFont="1" applyFill="1" applyBorder="1" applyAlignment="1">
      <alignment vertical="center" wrapText="1" shrinkToFit="1"/>
    </xf>
    <xf numFmtId="3" fontId="75" fillId="17" borderId="52" xfId="0" applyNumberFormat="1" applyFont="1" applyFill="1" applyBorder="1" applyAlignment="1">
      <alignment horizontal="center" vertical="center" wrapText="1" shrinkToFit="1"/>
    </xf>
    <xf numFmtId="3" fontId="75" fillId="17" borderId="55" xfId="0" applyNumberFormat="1" applyFont="1" applyFill="1" applyBorder="1" applyAlignment="1">
      <alignment vertical="center" wrapText="1" shrinkToFit="1"/>
    </xf>
    <xf numFmtId="49" fontId="75" fillId="16" borderId="21" xfId="0" applyNumberFormat="1" applyFont="1" applyFill="1" applyBorder="1" applyAlignment="1">
      <alignment vertical="center" wrapText="1" shrinkToFit="1"/>
    </xf>
    <xf numFmtId="3" fontId="75" fillId="16" borderId="21" xfId="0" applyNumberFormat="1" applyFont="1" applyFill="1" applyBorder="1" applyAlignment="1">
      <alignment horizontal="right" vertical="center" wrapText="1" shrinkToFit="1"/>
    </xf>
    <xf numFmtId="3" fontId="75" fillId="17" borderId="21" xfId="0" applyNumberFormat="1" applyFont="1" applyFill="1" applyBorder="1" applyAlignment="1">
      <alignment vertical="center" wrapText="1" shrinkToFit="1"/>
    </xf>
    <xf numFmtId="3" fontId="75" fillId="17" borderId="16" xfId="0" applyNumberFormat="1" applyFont="1" applyFill="1" applyBorder="1" applyAlignment="1">
      <alignment vertical="center" wrapText="1" shrinkToFit="1"/>
    </xf>
    <xf numFmtId="3" fontId="75" fillId="17" borderId="4" xfId="0" applyNumberFormat="1" applyFont="1" applyFill="1" applyBorder="1" applyAlignment="1">
      <alignment horizontal="center" vertical="center" wrapText="1" shrinkToFit="1"/>
    </xf>
    <xf numFmtId="3" fontId="75" fillId="17" borderId="10" xfId="0" applyNumberFormat="1" applyFont="1" applyFill="1" applyBorder="1" applyAlignment="1">
      <alignment vertical="center" wrapText="1" shrinkToFit="1"/>
    </xf>
    <xf numFmtId="49" fontId="75" fillId="16" borderId="85" xfId="0" applyNumberFormat="1" applyFont="1" applyFill="1" applyBorder="1" applyAlignment="1">
      <alignment vertical="center" wrapText="1" shrinkToFit="1"/>
    </xf>
    <xf numFmtId="3" fontId="75" fillId="16" borderId="25" xfId="0" applyNumberFormat="1" applyFont="1" applyFill="1" applyBorder="1" applyAlignment="1">
      <alignment horizontal="right" vertical="center" wrapText="1" shrinkToFit="1"/>
    </xf>
    <xf numFmtId="3" fontId="75" fillId="17" borderId="25" xfId="0" applyNumberFormat="1" applyFont="1" applyFill="1" applyBorder="1" applyAlignment="1">
      <alignment vertical="center" wrapText="1" shrinkToFit="1"/>
    </xf>
    <xf numFmtId="3" fontId="75" fillId="17" borderId="22" xfId="0" applyNumberFormat="1" applyFont="1" applyFill="1" applyBorder="1" applyAlignment="1">
      <alignment vertical="center" wrapText="1" shrinkToFit="1"/>
    </xf>
    <xf numFmtId="3" fontId="75" fillId="17" borderId="16" xfId="0" applyNumberFormat="1" applyFont="1" applyFill="1" applyBorder="1" applyAlignment="1">
      <alignment horizontal="center" vertical="center" wrapText="1" shrinkToFit="1"/>
    </xf>
    <xf numFmtId="3" fontId="75" fillId="17" borderId="11" xfId="0" applyNumberFormat="1" applyFont="1" applyFill="1" applyBorder="1" applyAlignment="1">
      <alignment vertical="center" wrapText="1" shrinkToFit="1"/>
    </xf>
    <xf numFmtId="3" fontId="28" fillId="18" borderId="45" xfId="0" applyNumberFormat="1" applyFont="1" applyFill="1" applyBorder="1"/>
    <xf numFmtId="3" fontId="28" fillId="18" borderId="45" xfId="0" applyNumberFormat="1" applyFont="1" applyFill="1" applyBorder="1" applyAlignment="1">
      <alignment horizontal="center"/>
    </xf>
    <xf numFmtId="0" fontId="30" fillId="21" borderId="4" xfId="0" applyFont="1" applyFill="1" applyBorder="1" applyAlignment="1">
      <alignment horizontal="center" vertical="center"/>
    </xf>
    <xf numFmtId="0" fontId="73" fillId="20" borderId="17" xfId="0" applyFont="1" applyFill="1" applyBorder="1" applyAlignment="1">
      <alignment horizontal="center" vertical="center" wrapText="1" shrinkToFit="1"/>
    </xf>
    <xf numFmtId="0" fontId="73" fillId="20" borderId="78" xfId="0" applyFont="1" applyFill="1" applyBorder="1" applyAlignment="1">
      <alignment horizontal="center" vertical="center" wrapText="1" shrinkToFit="1"/>
    </xf>
    <xf numFmtId="0" fontId="73" fillId="20" borderId="18" xfId="0" applyFont="1" applyFill="1" applyBorder="1" applyAlignment="1">
      <alignment horizontal="center" vertical="center" wrapText="1" shrinkToFit="1"/>
    </xf>
    <xf numFmtId="3" fontId="30" fillId="22" borderId="90" xfId="0" applyNumberFormat="1" applyFont="1" applyFill="1" applyBorder="1" applyAlignment="1">
      <alignment horizontal="right"/>
    </xf>
    <xf numFmtId="3" fontId="28" fillId="22" borderId="83" xfId="0" applyNumberFormat="1" applyFont="1" applyFill="1" applyBorder="1"/>
    <xf numFmtId="3" fontId="28" fillId="22" borderId="82" xfId="0" applyNumberFormat="1" applyFont="1" applyFill="1" applyBorder="1"/>
    <xf numFmtId="3" fontId="28" fillId="22" borderId="82" xfId="0" applyNumberFormat="1" applyFont="1" applyFill="1" applyBorder="1" applyAlignment="1">
      <alignment horizontal="center"/>
    </xf>
    <xf numFmtId="3" fontId="76" fillId="0" borderId="52" xfId="0" applyNumberFormat="1" applyFont="1" applyBorder="1" applyAlignment="1">
      <alignment horizontal="right" vertical="center" wrapText="1" shrinkToFit="1"/>
    </xf>
    <xf numFmtId="3" fontId="76" fillId="0" borderId="16" xfId="0" applyNumberFormat="1" applyFont="1" applyBorder="1" applyAlignment="1">
      <alignment horizontal="right" vertical="center" wrapText="1" shrinkToFit="1"/>
    </xf>
    <xf numFmtId="3" fontId="59" fillId="22" borderId="89" xfId="0" applyNumberFormat="1" applyFont="1" applyFill="1" applyBorder="1" applyAlignment="1">
      <alignment horizontal="right"/>
    </xf>
    <xf numFmtId="3" fontId="28" fillId="22" borderId="43" xfId="0" applyNumberFormat="1" applyFont="1" applyFill="1" applyBorder="1"/>
    <xf numFmtId="3" fontId="28" fillId="22" borderId="42" xfId="0" applyNumberFormat="1" applyFont="1" applyFill="1" applyBorder="1" applyAlignment="1">
      <alignment horizontal="center"/>
    </xf>
    <xf numFmtId="0" fontId="39" fillId="22" borderId="90" xfId="0" applyFont="1" applyFill="1" applyBorder="1" applyAlignment="1">
      <alignment horizontal="right"/>
    </xf>
    <xf numFmtId="3" fontId="28" fillId="0" borderId="0" xfId="0" applyNumberFormat="1" applyFont="1"/>
    <xf numFmtId="3" fontId="28" fillId="0" borderId="0" xfId="0" applyNumberFormat="1" applyFont="1" applyAlignment="1">
      <alignment horizontal="center"/>
    </xf>
    <xf numFmtId="0" fontId="39" fillId="22" borderId="90" xfId="0" applyFont="1" applyFill="1" applyBorder="1" applyAlignment="1">
      <alignment horizontal="center"/>
    </xf>
    <xf numFmtId="3" fontId="28" fillId="22" borderId="83" xfId="0" applyNumberFormat="1" applyFont="1" applyFill="1" applyBorder="1" applyAlignment="1">
      <alignment horizontal="center"/>
    </xf>
    <xf numFmtId="49" fontId="76" fillId="0" borderId="15" xfId="0" applyNumberFormat="1" applyFont="1" applyFill="1" applyBorder="1" applyAlignment="1">
      <alignment horizontal="left" vertical="center" wrapText="1" shrinkToFit="1"/>
    </xf>
    <xf numFmtId="49" fontId="76" fillId="0" borderId="16" xfId="0" applyNumberFormat="1" applyFont="1" applyFill="1" applyBorder="1" applyAlignment="1">
      <alignment vertical="center" wrapText="1" shrinkToFit="1"/>
    </xf>
    <xf numFmtId="3" fontId="76" fillId="0" borderId="16" xfId="0" applyNumberFormat="1" applyFont="1" applyFill="1" applyBorder="1" applyAlignment="1">
      <alignment horizontal="right" vertical="center" wrapText="1" shrinkToFit="1"/>
    </xf>
    <xf numFmtId="3" fontId="76" fillId="0" borderId="16" xfId="0" applyNumberFormat="1" applyFont="1" applyFill="1" applyBorder="1" applyAlignment="1">
      <alignment vertical="center" wrapText="1" shrinkToFit="1"/>
    </xf>
    <xf numFmtId="3" fontId="76" fillId="0" borderId="16" xfId="0" applyNumberFormat="1" applyFont="1" applyFill="1" applyBorder="1" applyAlignment="1">
      <alignment horizontal="center" vertical="center" wrapText="1" shrinkToFit="1"/>
    </xf>
    <xf numFmtId="3" fontId="76" fillId="0" borderId="20" xfId="0" applyNumberFormat="1" applyFont="1" applyFill="1" applyBorder="1" applyAlignment="1">
      <alignment vertical="center" wrapText="1" shrinkToFit="1"/>
    </xf>
    <xf numFmtId="49" fontId="76" fillId="0" borderId="26" xfId="0" applyNumberFormat="1" applyFont="1" applyFill="1" applyBorder="1" applyAlignment="1">
      <alignment vertical="center" wrapText="1" shrinkToFit="1"/>
    </xf>
    <xf numFmtId="3" fontId="76" fillId="0" borderId="57" xfId="0" applyNumberFormat="1" applyFont="1" applyFill="1" applyBorder="1" applyAlignment="1">
      <alignment horizontal="right" vertical="center" wrapText="1" shrinkToFit="1"/>
    </xf>
    <xf numFmtId="3" fontId="76" fillId="0" borderId="57" xfId="0" applyNumberFormat="1" applyFont="1" applyFill="1" applyBorder="1" applyAlignment="1">
      <alignment vertical="center" wrapText="1" shrinkToFit="1"/>
    </xf>
    <xf numFmtId="3" fontId="76" fillId="0" borderId="38" xfId="0" applyNumberFormat="1" applyFont="1" applyFill="1" applyBorder="1" applyAlignment="1">
      <alignment vertical="center" wrapText="1" shrinkToFit="1"/>
    </xf>
    <xf numFmtId="49" fontId="86" fillId="0" borderId="1" xfId="0" applyNumberFormat="1" applyFont="1" applyFill="1" applyBorder="1" applyAlignment="1">
      <alignment vertical="center" wrapText="1" shrinkToFit="1"/>
    </xf>
    <xf numFmtId="3" fontId="86" fillId="0" borderId="1" xfId="0" applyNumberFormat="1" applyFont="1" applyFill="1" applyBorder="1" applyAlignment="1">
      <alignment horizontal="right" vertical="center" wrapText="1" shrinkToFit="1"/>
    </xf>
    <xf numFmtId="3" fontId="86" fillId="0" borderId="1" xfId="0" applyNumberFormat="1" applyFont="1" applyFill="1" applyBorder="1" applyAlignment="1">
      <alignment vertical="center" wrapText="1" shrinkToFit="1"/>
    </xf>
    <xf numFmtId="3" fontId="86" fillId="0" borderId="16" xfId="0" applyNumberFormat="1" applyFont="1" applyFill="1" applyBorder="1" applyAlignment="1">
      <alignment vertical="center" wrapText="1" shrinkToFit="1"/>
    </xf>
    <xf numFmtId="3" fontId="86" fillId="0" borderId="16" xfId="0" applyNumberFormat="1" applyFont="1" applyFill="1" applyBorder="1" applyAlignment="1">
      <alignment horizontal="center" vertical="center" wrapText="1" shrinkToFit="1"/>
    </xf>
    <xf numFmtId="3" fontId="86" fillId="0" borderId="4" xfId="0" applyNumberFormat="1" applyFont="1" applyFill="1" applyBorder="1" applyAlignment="1">
      <alignment vertical="center" wrapText="1" shrinkToFit="1"/>
    </xf>
    <xf numFmtId="3" fontId="86" fillId="0" borderId="26" xfId="0" applyNumberFormat="1" applyFont="1" applyFill="1" applyBorder="1" applyAlignment="1">
      <alignment horizontal="right" vertical="center" wrapText="1" shrinkToFit="1"/>
    </xf>
    <xf numFmtId="3" fontId="86" fillId="0" borderId="26" xfId="0" applyNumberFormat="1" applyFont="1" applyFill="1" applyBorder="1" applyAlignment="1">
      <alignment vertical="center" wrapText="1" shrinkToFit="1"/>
    </xf>
    <xf numFmtId="3" fontId="86" fillId="0" borderId="6" xfId="0" applyNumberFormat="1" applyFont="1" applyFill="1" applyBorder="1" applyAlignment="1">
      <alignment vertical="center" wrapText="1" shrinkToFit="1"/>
    </xf>
    <xf numFmtId="49" fontId="86" fillId="0" borderId="26" xfId="0" applyNumberFormat="1" applyFont="1" applyFill="1" applyBorder="1" applyAlignment="1">
      <alignment vertical="center" wrapText="1" shrinkToFit="1"/>
    </xf>
    <xf numFmtId="49" fontId="76" fillId="0" borderId="51" xfId="0" applyNumberFormat="1" applyFont="1" applyFill="1" applyBorder="1" applyAlignment="1">
      <alignment horizontal="left" vertical="center" wrapText="1" shrinkToFit="1"/>
    </xf>
    <xf numFmtId="0" fontId="76" fillId="0" borderId="66" xfId="0" applyFont="1" applyFill="1" applyBorder="1" applyAlignment="1">
      <alignment horizontal="left" vertical="center" wrapText="1" shrinkToFit="1"/>
    </xf>
    <xf numFmtId="3" fontId="76" fillId="0" borderId="66" xfId="0" applyNumberFormat="1" applyFont="1" applyFill="1" applyBorder="1" applyAlignment="1">
      <alignment horizontal="right" vertical="center" wrapText="1" shrinkToFit="1"/>
    </xf>
    <xf numFmtId="3" fontId="76" fillId="0" borderId="52" xfId="0" applyNumberFormat="1" applyFont="1" applyFill="1" applyBorder="1" applyAlignment="1">
      <alignment horizontal="right" vertical="center" wrapText="1" shrinkToFit="1"/>
    </xf>
    <xf numFmtId="0" fontId="76" fillId="0" borderId="16" xfId="0" applyFont="1" applyFill="1" applyBorder="1" applyAlignment="1">
      <alignment horizontal="left" vertical="center" wrapText="1" shrinkToFit="1"/>
    </xf>
    <xf numFmtId="3" fontId="76" fillId="0" borderId="20" xfId="0" applyNumberFormat="1" applyFont="1" applyFill="1" applyBorder="1" applyAlignment="1">
      <alignment horizontal="right" vertical="center" wrapText="1" shrinkToFit="1"/>
    </xf>
    <xf numFmtId="0" fontId="76" fillId="0" borderId="66" xfId="0" applyFont="1" applyFill="1" applyBorder="1" applyAlignment="1">
      <alignment horizontal="right" vertical="center" wrapText="1" shrinkToFit="1"/>
    </xf>
    <xf numFmtId="0" fontId="59" fillId="24" borderId="52" xfId="0" applyFont="1" applyFill="1" applyBorder="1" applyAlignment="1">
      <alignment horizontal="center" vertical="center"/>
    </xf>
    <xf numFmtId="0" fontId="73" fillId="12" borderId="17" xfId="0" applyFont="1" applyFill="1" applyBorder="1" applyAlignment="1">
      <alignment horizontal="center" vertical="center" wrapText="1" shrinkToFit="1"/>
    </xf>
    <xf numFmtId="0" fontId="73" fillId="12" borderId="78" xfId="0" applyFont="1" applyFill="1" applyBorder="1" applyAlignment="1">
      <alignment horizontal="center" vertical="center" wrapText="1" shrinkToFit="1"/>
    </xf>
    <xf numFmtId="0" fontId="73" fillId="12" borderId="18" xfId="0" applyFont="1" applyFill="1" applyBorder="1" applyAlignment="1">
      <alignment horizontal="center" vertical="center" wrapText="1" shrinkToFit="1"/>
    </xf>
    <xf numFmtId="3" fontId="75" fillId="23" borderId="90" xfId="0" applyNumberFormat="1" applyFont="1" applyFill="1" applyBorder="1" applyAlignment="1">
      <alignment horizontal="right" vertical="center" wrapText="1" shrinkToFit="1"/>
    </xf>
    <xf numFmtId="3" fontId="75" fillId="23" borderId="83" xfId="0" applyNumberFormat="1" applyFont="1" applyFill="1" applyBorder="1" applyAlignment="1">
      <alignment horizontal="right" vertical="center" wrapText="1" shrinkToFit="1"/>
    </xf>
    <xf numFmtId="3" fontId="75" fillId="23" borderId="82" xfId="0" applyNumberFormat="1" applyFont="1" applyFill="1" applyBorder="1" applyAlignment="1">
      <alignment horizontal="right" vertical="center" wrapText="1" shrinkToFit="1"/>
    </xf>
    <xf numFmtId="3" fontId="75" fillId="23" borderId="82" xfId="0" applyNumberFormat="1" applyFont="1" applyFill="1" applyBorder="1" applyAlignment="1">
      <alignment horizontal="center" vertical="center" wrapText="1" shrinkToFit="1"/>
    </xf>
    <xf numFmtId="3" fontId="75" fillId="23" borderId="83" xfId="0" applyNumberFormat="1" applyFont="1" applyFill="1" applyBorder="1" applyAlignment="1">
      <alignment horizontal="center" vertical="center" wrapText="1" shrinkToFit="1"/>
    </xf>
    <xf numFmtId="49" fontId="76" fillId="0" borderId="66" xfId="0" applyNumberFormat="1" applyFont="1" applyBorder="1" applyAlignment="1">
      <alignment horizontal="left" vertical="center" wrapText="1" shrinkToFit="1"/>
    </xf>
    <xf numFmtId="3" fontId="76" fillId="0" borderId="61" xfId="0" applyNumberFormat="1" applyFont="1" applyBorder="1" applyAlignment="1">
      <alignment horizontal="right" vertical="center" wrapText="1" shrinkToFit="1"/>
    </xf>
    <xf numFmtId="3" fontId="76" fillId="0" borderId="61" xfId="0" applyNumberFormat="1" applyFont="1" applyBorder="1" applyAlignment="1">
      <alignment horizontal="center" vertical="center" wrapText="1" shrinkToFit="1"/>
    </xf>
    <xf numFmtId="3" fontId="28" fillId="25" borderId="82" xfId="0" applyNumberFormat="1" applyFont="1" applyFill="1" applyBorder="1" applyAlignment="1">
      <alignment horizontal="right" wrapText="1" shrinkToFit="1"/>
    </xf>
    <xf numFmtId="3" fontId="28" fillId="25" borderId="82" xfId="0" applyNumberFormat="1" applyFont="1" applyFill="1" applyBorder="1"/>
    <xf numFmtId="3" fontId="28" fillId="25" borderId="82" xfId="0" applyNumberFormat="1" applyFont="1" applyFill="1" applyBorder="1" applyAlignment="1">
      <alignment horizontal="center"/>
    </xf>
    <xf numFmtId="3" fontId="91" fillId="0" borderId="0" xfId="0" applyNumberFormat="1" applyFont="1"/>
    <xf numFmtId="49" fontId="76" fillId="0" borderId="15" xfId="0" applyNumberFormat="1" applyFont="1" applyFill="1" applyBorder="1" applyAlignment="1">
      <alignment vertical="center" wrapText="1" shrinkToFit="1"/>
    </xf>
    <xf numFmtId="49" fontId="76" fillId="0" borderId="16" xfId="0" applyNumberFormat="1" applyFont="1" applyFill="1" applyBorder="1" applyAlignment="1">
      <alignment horizontal="left" vertical="center" wrapText="1" shrinkToFit="1"/>
    </xf>
    <xf numFmtId="3" fontId="76" fillId="0" borderId="22" xfId="0" applyNumberFormat="1" applyFont="1" applyFill="1" applyBorder="1" applyAlignment="1">
      <alignment horizontal="right" vertical="center" wrapText="1" shrinkToFit="1"/>
    </xf>
    <xf numFmtId="3" fontId="76" fillId="0" borderId="0" xfId="0" applyNumberFormat="1" applyFont="1" applyFill="1" applyAlignment="1">
      <alignment horizontal="right" vertical="center" wrapText="1" shrinkToFit="1"/>
    </xf>
    <xf numFmtId="49" fontId="76" fillId="0" borderId="2" xfId="0" applyNumberFormat="1" applyFont="1" applyFill="1" applyBorder="1" applyAlignment="1">
      <alignment vertical="center" wrapText="1" shrinkToFit="1"/>
    </xf>
    <xf numFmtId="49" fontId="76" fillId="0" borderId="1" xfId="0" applyNumberFormat="1" applyFont="1" applyFill="1" applyBorder="1" applyAlignment="1">
      <alignment horizontal="left" vertical="center" wrapText="1" shrinkToFit="1"/>
    </xf>
    <xf numFmtId="3" fontId="76" fillId="0" borderId="4" xfId="0" applyNumberFormat="1" applyFont="1" applyFill="1" applyBorder="1" applyAlignment="1">
      <alignment horizontal="right" vertical="center" wrapText="1" shrinkToFit="1"/>
    </xf>
    <xf numFmtId="49" fontId="76" fillId="0" borderId="5" xfId="0" applyNumberFormat="1" applyFont="1" applyFill="1" applyBorder="1" applyAlignment="1">
      <alignment vertical="center" wrapText="1" shrinkToFit="1"/>
    </xf>
    <xf numFmtId="49" fontId="89" fillId="0" borderId="77" xfId="0" applyNumberFormat="1" applyFont="1" applyFill="1" applyBorder="1" applyAlignment="1" applyProtection="1">
      <alignment vertical="center" wrapText="1" readingOrder="1"/>
      <protection locked="0"/>
    </xf>
    <xf numFmtId="3" fontId="90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3" fontId="76" fillId="0" borderId="1" xfId="0" applyNumberFormat="1" applyFont="1" applyFill="1" applyBorder="1" applyAlignment="1">
      <alignment horizontal="right" vertical="center" wrapText="1" shrinkToFit="1"/>
    </xf>
    <xf numFmtId="49" fontId="76" fillId="0" borderId="26" xfId="0" applyNumberFormat="1" applyFont="1" applyFill="1" applyBorder="1" applyAlignment="1">
      <alignment horizontal="left" vertical="center" wrapText="1" shrinkToFit="1"/>
    </xf>
    <xf numFmtId="3" fontId="76" fillId="0" borderId="91" xfId="0" applyNumberFormat="1" applyFont="1" applyFill="1" applyBorder="1" applyAlignment="1">
      <alignment horizontal="right" vertical="center" wrapText="1" shrinkToFit="1"/>
    </xf>
    <xf numFmtId="49" fontId="76" fillId="0" borderId="1" xfId="0" applyNumberFormat="1" applyFont="1" applyFill="1" applyBorder="1" applyAlignment="1">
      <alignment vertical="center" wrapText="1" shrinkToFit="1"/>
    </xf>
    <xf numFmtId="49" fontId="76" fillId="0" borderId="22" xfId="0" applyNumberFormat="1" applyFont="1" applyFill="1" applyBorder="1" applyAlignment="1">
      <alignment horizontal="left" vertical="center" wrapText="1" shrinkToFit="1"/>
    </xf>
    <xf numFmtId="49" fontId="76" fillId="0" borderId="21" xfId="0" applyNumberFormat="1" applyFont="1" applyFill="1" applyBorder="1" applyAlignment="1">
      <alignment horizontal="left" vertical="center" wrapText="1" shrinkToFit="1"/>
    </xf>
    <xf numFmtId="3" fontId="76" fillId="0" borderId="21" xfId="0" applyNumberFormat="1" applyFont="1" applyFill="1" applyBorder="1" applyAlignment="1">
      <alignment horizontal="right" vertical="center" wrapText="1" shrinkToFit="1"/>
    </xf>
    <xf numFmtId="3" fontId="76" fillId="0" borderId="1" xfId="0" applyNumberFormat="1" applyFont="1" applyFill="1" applyBorder="1" applyAlignment="1">
      <alignment horizontal="center" vertical="center" wrapText="1" shrinkToFit="1"/>
    </xf>
    <xf numFmtId="3" fontId="76" fillId="0" borderId="25" xfId="0" applyNumberFormat="1" applyFont="1" applyFill="1" applyBorder="1" applyAlignment="1">
      <alignment horizontal="right" vertical="center" wrapText="1" shrinkToFit="1"/>
    </xf>
    <xf numFmtId="3" fontId="76" fillId="0" borderId="6" xfId="0" applyNumberFormat="1" applyFont="1" applyFill="1" applyBorder="1" applyAlignment="1">
      <alignment horizontal="right" vertical="center" wrapText="1" shrinkToFit="1"/>
    </xf>
    <xf numFmtId="0" fontId="93" fillId="0" borderId="0" xfId="0" applyFont="1"/>
    <xf numFmtId="0" fontId="94" fillId="0" borderId="0" xfId="0" applyFont="1" applyAlignment="1">
      <alignment horizontal="right"/>
    </xf>
    <xf numFmtId="0" fontId="96" fillId="21" borderId="4" xfId="0" applyFont="1" applyFill="1" applyBorder="1" applyAlignment="1">
      <alignment horizontal="center" vertical="center"/>
    </xf>
    <xf numFmtId="0" fontId="96" fillId="20" borderId="17" xfId="0" applyFont="1" applyFill="1" applyBorder="1" applyAlignment="1">
      <alignment horizontal="center" vertical="center" wrapText="1" shrinkToFit="1"/>
    </xf>
    <xf numFmtId="0" fontId="96" fillId="20" borderId="85" xfId="0" applyFont="1" applyFill="1" applyBorder="1" applyAlignment="1">
      <alignment horizontal="center" vertical="center" wrapText="1" shrinkToFit="1"/>
    </xf>
    <xf numFmtId="0" fontId="96" fillId="20" borderId="18" xfId="0" applyFont="1" applyFill="1" applyBorder="1" applyAlignment="1">
      <alignment horizontal="center" vertical="center" wrapText="1" shrinkToFit="1"/>
    </xf>
    <xf numFmtId="3" fontId="96" fillId="22" borderId="83" xfId="0" applyNumberFormat="1" applyFont="1" applyFill="1" applyBorder="1"/>
    <xf numFmtId="3" fontId="96" fillId="22" borderId="83" xfId="0" applyNumberFormat="1" applyFont="1" applyFill="1" applyBorder="1" applyAlignment="1">
      <alignment horizontal="center"/>
    </xf>
    <xf numFmtId="0" fontId="96" fillId="0" borderId="0" xfId="0" applyFont="1" applyAlignment="1">
      <alignment horizontal="center"/>
    </xf>
    <xf numFmtId="3" fontId="96" fillId="0" borderId="0" xfId="0" applyNumberFormat="1" applyFont="1"/>
    <xf numFmtId="3" fontId="96" fillId="0" borderId="0" xfId="0" applyNumberFormat="1" applyFont="1" applyAlignment="1">
      <alignment horizontal="center"/>
    </xf>
    <xf numFmtId="49" fontId="93" fillId="0" borderId="51" xfId="0" applyNumberFormat="1" applyFont="1" applyFill="1" applyBorder="1" applyAlignment="1">
      <alignment horizontal="left" vertical="center" wrapText="1" shrinkToFit="1"/>
    </xf>
    <xf numFmtId="0" fontId="93" fillId="0" borderId="66" xfId="0" applyFont="1" applyFill="1" applyBorder="1" applyAlignment="1">
      <alignment horizontal="left" vertical="center" wrapText="1" shrinkToFit="1"/>
    </xf>
    <xf numFmtId="3" fontId="93" fillId="0" borderId="66" xfId="0" applyNumberFormat="1" applyFont="1" applyFill="1" applyBorder="1" applyAlignment="1">
      <alignment horizontal="right" vertical="center" wrapText="1" shrinkToFit="1"/>
    </xf>
    <xf numFmtId="3" fontId="93" fillId="0" borderId="16" xfId="0" applyNumberFormat="1" applyFont="1" applyFill="1" applyBorder="1" applyAlignment="1">
      <alignment horizontal="right" vertical="center" wrapText="1" shrinkToFit="1"/>
    </xf>
    <xf numFmtId="3" fontId="93" fillId="0" borderId="16" xfId="0" applyNumberFormat="1" applyFont="1" applyFill="1" applyBorder="1" applyAlignment="1">
      <alignment horizontal="center" vertical="center" wrapText="1" shrinkToFit="1"/>
    </xf>
    <xf numFmtId="3" fontId="93" fillId="0" borderId="52" xfId="0" applyNumberFormat="1" applyFont="1" applyFill="1" applyBorder="1" applyAlignment="1">
      <alignment horizontal="right" vertical="center" wrapText="1" shrinkToFit="1"/>
    </xf>
    <xf numFmtId="49" fontId="93" fillId="0" borderId="15" xfId="0" applyNumberFormat="1" applyFont="1" applyFill="1" applyBorder="1" applyAlignment="1">
      <alignment horizontal="left" vertical="center" wrapText="1" shrinkToFit="1"/>
    </xf>
    <xf numFmtId="0" fontId="93" fillId="0" borderId="16" xfId="0" applyFont="1" applyFill="1" applyBorder="1" applyAlignment="1">
      <alignment horizontal="left" vertical="center" wrapText="1" shrinkToFit="1"/>
    </xf>
    <xf numFmtId="3" fontId="93" fillId="0" borderId="20" xfId="0" applyNumberFormat="1" applyFont="1" applyFill="1" applyBorder="1" applyAlignment="1">
      <alignment horizontal="right" vertical="center" wrapText="1" shrinkToFit="1"/>
    </xf>
    <xf numFmtId="49" fontId="93" fillId="0" borderId="16" xfId="0" applyNumberFormat="1" applyFont="1" applyFill="1" applyBorder="1" applyAlignment="1">
      <alignment vertical="center" wrapText="1" shrinkToFit="1"/>
    </xf>
    <xf numFmtId="3" fontId="93" fillId="0" borderId="16" xfId="0" applyNumberFormat="1" applyFont="1" applyFill="1" applyBorder="1" applyAlignment="1">
      <alignment vertical="center" wrapText="1" shrinkToFit="1"/>
    </xf>
    <xf numFmtId="3" fontId="93" fillId="0" borderId="20" xfId="0" applyNumberFormat="1" applyFont="1" applyFill="1" applyBorder="1" applyAlignment="1">
      <alignment vertical="center" wrapText="1" shrinkToFit="1"/>
    </xf>
    <xf numFmtId="49" fontId="93" fillId="0" borderId="26" xfId="0" applyNumberFormat="1" applyFont="1" applyFill="1" applyBorder="1" applyAlignment="1">
      <alignment vertical="center" wrapText="1" shrinkToFit="1"/>
    </xf>
    <xf numFmtId="3" fontId="93" fillId="0" borderId="57" xfId="0" applyNumberFormat="1" applyFont="1" applyFill="1" applyBorder="1" applyAlignment="1">
      <alignment horizontal="right" vertical="center" wrapText="1" shrinkToFit="1"/>
    </xf>
    <xf numFmtId="3" fontId="93" fillId="0" borderId="57" xfId="0" applyNumberFormat="1" applyFont="1" applyFill="1" applyBorder="1" applyAlignment="1">
      <alignment vertical="center" wrapText="1" shrinkToFit="1"/>
    </xf>
    <xf numFmtId="3" fontId="93" fillId="0" borderId="38" xfId="0" applyNumberFormat="1" applyFont="1" applyFill="1" applyBorder="1" applyAlignment="1">
      <alignment vertical="center" wrapText="1" shrinkToFit="1"/>
    </xf>
    <xf numFmtId="49" fontId="94" fillId="0" borderId="1" xfId="0" applyNumberFormat="1" applyFont="1" applyFill="1" applyBorder="1" applyAlignment="1">
      <alignment vertical="center" wrapText="1" shrinkToFit="1"/>
    </xf>
    <xf numFmtId="3" fontId="94" fillId="0" borderId="1" xfId="0" applyNumberFormat="1" applyFont="1" applyFill="1" applyBorder="1" applyAlignment="1">
      <alignment horizontal="right" vertical="center" wrapText="1" shrinkToFit="1"/>
    </xf>
    <xf numFmtId="3" fontId="94" fillId="0" borderId="1" xfId="0" applyNumberFormat="1" applyFont="1" applyFill="1" applyBorder="1" applyAlignment="1">
      <alignment vertical="center" wrapText="1" shrinkToFit="1"/>
    </xf>
    <xf numFmtId="3" fontId="94" fillId="0" borderId="4" xfId="0" applyNumberFormat="1" applyFont="1" applyFill="1" applyBorder="1" applyAlignment="1">
      <alignment vertical="center" wrapText="1" shrinkToFit="1"/>
    </xf>
    <xf numFmtId="49" fontId="94" fillId="0" borderId="26" xfId="0" applyNumberFormat="1" applyFont="1" applyFill="1" applyBorder="1" applyAlignment="1">
      <alignment vertical="center" wrapText="1" shrinkToFit="1"/>
    </xf>
    <xf numFmtId="3" fontId="94" fillId="0" borderId="26" xfId="0" applyNumberFormat="1" applyFont="1" applyFill="1" applyBorder="1" applyAlignment="1">
      <alignment horizontal="right" vertical="center" wrapText="1" shrinkToFit="1"/>
    </xf>
    <xf numFmtId="3" fontId="94" fillId="0" borderId="26" xfId="0" applyNumberFormat="1" applyFont="1" applyFill="1" applyBorder="1" applyAlignment="1">
      <alignment vertical="center" wrapText="1" shrinkToFit="1"/>
    </xf>
    <xf numFmtId="3" fontId="94" fillId="0" borderId="6" xfId="0" applyNumberFormat="1" applyFont="1" applyFill="1" applyBorder="1" applyAlignment="1">
      <alignment vertical="center" wrapText="1" shrinkToFit="1"/>
    </xf>
    <xf numFmtId="0" fontId="95" fillId="24" borderId="52" xfId="0" applyFont="1" applyFill="1" applyBorder="1" applyAlignment="1">
      <alignment horizontal="center" vertical="center"/>
    </xf>
    <xf numFmtId="0" fontId="95" fillId="12" borderId="17" xfId="0" applyFont="1" applyFill="1" applyBorder="1" applyAlignment="1">
      <alignment horizontal="center" vertical="center" wrapText="1" shrinkToFit="1"/>
    </xf>
    <xf numFmtId="0" fontId="95" fillId="12" borderId="78" xfId="0" applyFont="1" applyFill="1" applyBorder="1" applyAlignment="1">
      <alignment horizontal="center" vertical="center" wrapText="1" shrinkToFit="1"/>
    </xf>
    <xf numFmtId="0" fontId="95" fillId="12" borderId="18" xfId="0" applyFont="1" applyFill="1" applyBorder="1" applyAlignment="1">
      <alignment horizontal="center" vertical="center" wrapText="1" shrinkToFit="1"/>
    </xf>
    <xf numFmtId="3" fontId="98" fillId="23" borderId="90" xfId="0" applyNumberFormat="1" applyFont="1" applyFill="1" applyBorder="1" applyAlignment="1">
      <alignment horizontal="right" vertical="center" wrapText="1" shrinkToFit="1"/>
    </xf>
    <xf numFmtId="3" fontId="98" fillId="23" borderId="83" xfId="0" applyNumberFormat="1" applyFont="1" applyFill="1" applyBorder="1" applyAlignment="1">
      <alignment horizontal="right" vertical="center" wrapText="1" shrinkToFit="1"/>
    </xf>
    <xf numFmtId="3" fontId="98" fillId="23" borderId="82" xfId="0" applyNumberFormat="1" applyFont="1" applyFill="1" applyBorder="1" applyAlignment="1">
      <alignment horizontal="right" vertical="center" wrapText="1" shrinkToFit="1"/>
    </xf>
    <xf numFmtId="3" fontId="98" fillId="23" borderId="82" xfId="0" applyNumberFormat="1" applyFont="1" applyFill="1" applyBorder="1" applyAlignment="1">
      <alignment horizontal="center" vertical="center" wrapText="1" shrinkToFit="1"/>
    </xf>
    <xf numFmtId="3" fontId="98" fillId="23" borderId="83" xfId="0" applyNumberFormat="1" applyFont="1" applyFill="1" applyBorder="1" applyAlignment="1">
      <alignment horizontal="center" vertical="center" wrapText="1" shrinkToFit="1"/>
    </xf>
    <xf numFmtId="49" fontId="97" fillId="0" borderId="41" xfId="0" applyNumberFormat="1" applyFont="1" applyBorder="1" applyAlignment="1">
      <alignment horizontal="left" vertical="center" wrapText="1" shrinkToFit="1"/>
    </xf>
    <xf numFmtId="49" fontId="97" fillId="0" borderId="42" xfId="0" applyNumberFormat="1" applyFont="1" applyBorder="1" applyAlignment="1">
      <alignment horizontal="left" vertical="center" wrapText="1" shrinkToFit="1"/>
    </xf>
    <xf numFmtId="3" fontId="97" fillId="0" borderId="89" xfId="0" applyNumberFormat="1" applyFont="1" applyBorder="1" applyAlignment="1">
      <alignment horizontal="right" vertical="center" wrapText="1" shrinkToFit="1"/>
    </xf>
    <xf numFmtId="3" fontId="97" fillId="0" borderId="66" xfId="0" applyNumberFormat="1" applyFont="1" applyBorder="1" applyAlignment="1">
      <alignment horizontal="right" vertical="center" wrapText="1" shrinkToFit="1"/>
    </xf>
    <xf numFmtId="3" fontId="97" fillId="0" borderId="66" xfId="0" applyNumberFormat="1" applyFont="1" applyBorder="1" applyAlignment="1">
      <alignment horizontal="center" vertical="center" wrapText="1" shrinkToFit="1"/>
    </xf>
    <xf numFmtId="3" fontId="97" fillId="0" borderId="43" xfId="0" applyNumberFormat="1" applyFont="1" applyBorder="1" applyAlignment="1">
      <alignment horizontal="right" vertical="center" wrapText="1" shrinkToFit="1"/>
    </xf>
    <xf numFmtId="49" fontId="97" fillId="0" borderId="19" xfId="0" applyNumberFormat="1" applyFont="1" applyBorder="1" applyAlignment="1">
      <alignment horizontal="left" vertical="center" wrapText="1" shrinkToFit="1"/>
    </xf>
    <xf numFmtId="49" fontId="97" fillId="0" borderId="17" xfId="0" applyNumberFormat="1" applyFont="1" applyBorder="1" applyAlignment="1">
      <alignment horizontal="left" vertical="center" wrapText="1" shrinkToFit="1"/>
    </xf>
    <xf numFmtId="3" fontId="97" fillId="0" borderId="78" xfId="0" applyNumberFormat="1" applyFont="1" applyBorder="1" applyAlignment="1">
      <alignment horizontal="right" vertical="center" wrapText="1" shrinkToFit="1"/>
    </xf>
    <xf numFmtId="3" fontId="97" fillId="0" borderId="57" xfId="0" applyNumberFormat="1" applyFont="1" applyBorder="1" applyAlignment="1">
      <alignment horizontal="right" vertical="center" wrapText="1" shrinkToFit="1"/>
    </xf>
    <xf numFmtId="3" fontId="97" fillId="0" borderId="37" xfId="0" applyNumberFormat="1" applyFont="1" applyBorder="1" applyAlignment="1">
      <alignment horizontal="center" vertical="center" wrapText="1" shrinkToFit="1"/>
    </xf>
    <xf numFmtId="3" fontId="97" fillId="0" borderId="18" xfId="0" applyNumberFormat="1" applyFont="1" applyBorder="1" applyAlignment="1">
      <alignment horizontal="right" vertical="center" wrapText="1" shrinkToFit="1"/>
    </xf>
    <xf numFmtId="3" fontId="95" fillId="25" borderId="82" xfId="0" applyNumberFormat="1" applyFont="1" applyFill="1" applyBorder="1"/>
    <xf numFmtId="3" fontId="95" fillId="25" borderId="82" xfId="0" applyNumberFormat="1" applyFont="1" applyFill="1" applyBorder="1" applyAlignment="1">
      <alignment horizontal="center"/>
    </xf>
    <xf numFmtId="3" fontId="95" fillId="25" borderId="83" xfId="0" applyNumberFormat="1" applyFont="1" applyFill="1" applyBorder="1"/>
    <xf numFmtId="49" fontId="97" fillId="0" borderId="15" xfId="0" applyNumberFormat="1" applyFont="1" applyFill="1" applyBorder="1" applyAlignment="1">
      <alignment vertical="center" wrapText="1" shrinkToFit="1"/>
    </xf>
    <xf numFmtId="49" fontId="97" fillId="0" borderId="16" xfId="0" applyNumberFormat="1" applyFont="1" applyFill="1" applyBorder="1" applyAlignment="1">
      <alignment horizontal="left" vertical="center" wrapText="1" shrinkToFit="1"/>
    </xf>
    <xf numFmtId="3" fontId="97" fillId="0" borderId="22" xfId="0" applyNumberFormat="1" applyFont="1" applyFill="1" applyBorder="1" applyAlignment="1">
      <alignment horizontal="right" vertical="center" wrapText="1" shrinkToFit="1"/>
    </xf>
    <xf numFmtId="3" fontId="97" fillId="0" borderId="16" xfId="0" applyNumberFormat="1" applyFont="1" applyFill="1" applyBorder="1" applyAlignment="1">
      <alignment horizontal="center" vertical="center" wrapText="1" shrinkToFit="1"/>
    </xf>
    <xf numFmtId="3" fontId="97" fillId="0" borderId="20" xfId="0" applyNumberFormat="1" applyFont="1" applyFill="1" applyBorder="1" applyAlignment="1">
      <alignment horizontal="right" vertical="center" wrapText="1" shrinkToFit="1"/>
    </xf>
    <xf numFmtId="49" fontId="97" fillId="0" borderId="2" xfId="0" applyNumberFormat="1" applyFont="1" applyFill="1" applyBorder="1" applyAlignment="1">
      <alignment vertical="center" wrapText="1" shrinkToFit="1"/>
    </xf>
    <xf numFmtId="49" fontId="97" fillId="0" borderId="1" xfId="0" applyNumberFormat="1" applyFont="1" applyFill="1" applyBorder="1" applyAlignment="1">
      <alignment horizontal="left" vertical="center" wrapText="1" shrinkToFit="1"/>
    </xf>
    <xf numFmtId="3" fontId="97" fillId="0" borderId="4" xfId="0" applyNumberFormat="1" applyFont="1" applyFill="1" applyBorder="1" applyAlignment="1">
      <alignment horizontal="right" vertical="center" wrapText="1" shrinkToFit="1"/>
    </xf>
    <xf numFmtId="49" fontId="97" fillId="0" borderId="5" xfId="0" applyNumberFormat="1" applyFont="1" applyFill="1" applyBorder="1" applyAlignment="1">
      <alignment vertical="center" wrapText="1" shrinkToFit="1"/>
    </xf>
    <xf numFmtId="49" fontId="97" fillId="0" borderId="26" xfId="0" applyNumberFormat="1" applyFont="1" applyFill="1" applyBorder="1" applyAlignment="1">
      <alignment horizontal="left" vertical="center" wrapText="1" shrinkToFit="1"/>
    </xf>
    <xf numFmtId="3" fontId="97" fillId="0" borderId="91" xfId="0" applyNumberFormat="1" applyFont="1" applyFill="1" applyBorder="1" applyAlignment="1">
      <alignment horizontal="right" vertical="center" wrapText="1" shrinkToFit="1"/>
    </xf>
    <xf numFmtId="49" fontId="97" fillId="0" borderId="1" xfId="0" applyNumberFormat="1" applyFont="1" applyFill="1" applyBorder="1" applyAlignment="1">
      <alignment vertical="center" wrapText="1" shrinkToFit="1"/>
    </xf>
    <xf numFmtId="49" fontId="97" fillId="0" borderId="22" xfId="0" applyNumberFormat="1" applyFont="1" applyFill="1" applyBorder="1" applyAlignment="1">
      <alignment horizontal="left" vertical="center" wrapText="1" shrinkToFit="1"/>
    </xf>
    <xf numFmtId="49" fontId="97" fillId="0" borderId="21" xfId="0" applyNumberFormat="1" applyFont="1" applyFill="1" applyBorder="1" applyAlignment="1">
      <alignment horizontal="left" vertical="center" wrapText="1" shrinkToFit="1"/>
    </xf>
    <xf numFmtId="3" fontId="97" fillId="0" borderId="21" xfId="0" applyNumberFormat="1" applyFont="1" applyFill="1" applyBorder="1" applyAlignment="1">
      <alignment horizontal="right" vertical="center" wrapText="1" shrinkToFit="1"/>
    </xf>
    <xf numFmtId="49" fontId="97" fillId="0" borderId="21" xfId="0" applyNumberFormat="1" applyFont="1" applyFill="1" applyBorder="1" applyAlignment="1">
      <alignment vertical="center" wrapText="1" shrinkToFit="1"/>
    </xf>
    <xf numFmtId="3" fontId="97" fillId="0" borderId="25" xfId="0" applyNumberFormat="1" applyFont="1" applyFill="1" applyBorder="1" applyAlignment="1">
      <alignment horizontal="right" vertical="center" wrapText="1" shrinkToFit="1"/>
    </xf>
    <xf numFmtId="3" fontId="97" fillId="0" borderId="6" xfId="0" applyNumberFormat="1" applyFont="1" applyFill="1" applyBorder="1" applyAlignment="1">
      <alignment horizontal="right" vertical="center" wrapText="1" shrinkToFit="1"/>
    </xf>
    <xf numFmtId="0" fontId="96" fillId="21" borderId="52" xfId="0" applyFont="1" applyFill="1" applyBorder="1" applyAlignment="1">
      <alignment horizontal="center" vertical="center"/>
    </xf>
    <xf numFmtId="0" fontId="96" fillId="20" borderId="78" xfId="0" applyFont="1" applyFill="1" applyBorder="1" applyAlignment="1">
      <alignment horizontal="center" vertical="center" wrapText="1" shrinkToFit="1"/>
    </xf>
    <xf numFmtId="3" fontId="96" fillId="22" borderId="90" xfId="0" applyNumberFormat="1" applyFont="1" applyFill="1" applyBorder="1" applyAlignment="1">
      <alignment horizontal="right"/>
    </xf>
    <xf numFmtId="3" fontId="94" fillId="0" borderId="16" xfId="0" applyNumberFormat="1" applyFont="1" applyFill="1" applyBorder="1" applyAlignment="1">
      <alignment vertical="center" wrapText="1" shrinkToFit="1"/>
    </xf>
    <xf numFmtId="3" fontId="95" fillId="25" borderId="82" xfId="0" applyNumberFormat="1" applyFont="1" applyFill="1" applyBorder="1" applyAlignment="1">
      <alignment horizontal="right" wrapText="1" shrinkToFit="1"/>
    </xf>
    <xf numFmtId="49" fontId="97" fillId="0" borderId="23" xfId="0" applyNumberFormat="1" applyFont="1" applyFill="1" applyBorder="1" applyAlignment="1">
      <alignment horizontal="left" vertical="center" wrapText="1" shrinkToFit="1"/>
    </xf>
    <xf numFmtId="3" fontId="97" fillId="0" borderId="66" xfId="0" applyNumberFormat="1" applyFont="1" applyFill="1" applyBorder="1" applyAlignment="1">
      <alignment horizontal="right" vertical="center" wrapText="1" shrinkToFit="1"/>
    </xf>
    <xf numFmtId="49" fontId="97" fillId="0" borderId="24" xfId="0" applyNumberFormat="1" applyFont="1" applyFill="1" applyBorder="1" applyAlignment="1">
      <alignment horizontal="left" vertical="center" wrapText="1" shrinkToFit="1"/>
    </xf>
    <xf numFmtId="3" fontId="97" fillId="0" borderId="16" xfId="0" applyNumberFormat="1" applyFont="1" applyFill="1" applyBorder="1" applyAlignment="1">
      <alignment horizontal="right" vertical="center" wrapText="1" shrinkToFit="1"/>
    </xf>
    <xf numFmtId="49" fontId="97" fillId="0" borderId="77" xfId="0" applyNumberFormat="1" applyFont="1" applyFill="1" applyBorder="1" applyAlignment="1">
      <alignment horizontal="left" vertical="center" wrapText="1" shrinkToFit="1"/>
    </xf>
    <xf numFmtId="3" fontId="97" fillId="0" borderId="57" xfId="0" applyNumberFormat="1" applyFont="1" applyFill="1" applyBorder="1" applyAlignment="1">
      <alignment horizontal="right" vertical="center" wrapText="1" shrinkToFit="1"/>
    </xf>
    <xf numFmtId="49" fontId="99" fillId="0" borderId="77" xfId="0" applyNumberFormat="1" applyFont="1" applyFill="1" applyBorder="1" applyAlignment="1" applyProtection="1">
      <alignment vertical="center" wrapText="1" readingOrder="1"/>
      <protection locked="0"/>
    </xf>
    <xf numFmtId="3" fontId="99" fillId="0" borderId="17" xfId="0" applyNumberFormat="1" applyFont="1" applyFill="1" applyBorder="1" applyAlignment="1" applyProtection="1">
      <alignment horizontal="right" vertical="center" wrapText="1" readingOrder="1"/>
      <protection locked="0"/>
    </xf>
    <xf numFmtId="3" fontId="97" fillId="0" borderId="1" xfId="0" applyNumberFormat="1" applyFont="1" applyFill="1" applyBorder="1" applyAlignment="1">
      <alignment horizontal="center" vertical="center" wrapText="1" shrinkToFit="1"/>
    </xf>
    <xf numFmtId="3" fontId="34" fillId="0" borderId="14" xfId="0" applyNumberFormat="1" applyFont="1" applyBorder="1"/>
    <xf numFmtId="49" fontId="100" fillId="0" borderId="10" xfId="0" applyNumberFormat="1" applyFont="1" applyFill="1" applyBorder="1" applyAlignment="1">
      <alignment horizontal="left" vertical="center" wrapText="1" shrinkToFit="1"/>
    </xf>
    <xf numFmtId="170" fontId="54" fillId="0" borderId="17" xfId="0" applyNumberFormat="1" applyFont="1" applyBorder="1" applyAlignment="1">
      <alignment horizontal="right" vertical="center" wrapText="1" shrinkToFit="1"/>
    </xf>
    <xf numFmtId="170" fontId="17" fillId="7" borderId="45" xfId="0" applyNumberFormat="1" applyFont="1" applyFill="1" applyBorder="1" applyAlignment="1">
      <alignment horizontal="center" wrapText="1"/>
    </xf>
    <xf numFmtId="3" fontId="59" fillId="0" borderId="11" xfId="0" applyNumberFormat="1" applyFont="1" applyBorder="1" applyAlignment="1">
      <alignment horizontal="center" vertical="center" wrapText="1"/>
    </xf>
    <xf numFmtId="170" fontId="17" fillId="7" borderId="14" xfId="0" applyNumberFormat="1" applyFont="1" applyFill="1" applyBorder="1" applyAlignment="1">
      <alignment horizontal="right" wrapText="1"/>
    </xf>
    <xf numFmtId="170" fontId="0" fillId="0" borderId="39" xfId="0" applyNumberFormat="1" applyBorder="1"/>
    <xf numFmtId="170" fontId="0" fillId="0" borderId="57" xfId="0" applyNumberFormat="1" applyBorder="1"/>
    <xf numFmtId="170" fontId="0" fillId="0" borderId="38" xfId="0" applyNumberFormat="1" applyBorder="1"/>
    <xf numFmtId="170" fontId="0" fillId="0" borderId="51" xfId="0" applyNumberFormat="1" applyBorder="1"/>
    <xf numFmtId="170" fontId="0" fillId="0" borderId="66" xfId="0" applyNumberFormat="1" applyBorder="1"/>
    <xf numFmtId="170" fontId="0" fillId="0" borderId="52" xfId="0" applyNumberFormat="1" applyBorder="1"/>
    <xf numFmtId="170" fontId="0" fillId="0" borderId="2" xfId="0" applyNumberFormat="1" applyBorder="1"/>
    <xf numFmtId="170" fontId="0" fillId="0" borderId="1" xfId="0" applyNumberFormat="1" applyBorder="1"/>
    <xf numFmtId="170" fontId="0" fillId="0" borderId="4" xfId="0" applyNumberFormat="1" applyBorder="1"/>
    <xf numFmtId="170" fontId="0" fillId="0" borderId="61" xfId="0" applyNumberFormat="1" applyBorder="1"/>
    <xf numFmtId="170" fontId="0" fillId="0" borderId="24" xfId="0" applyNumberFormat="1" applyBorder="1"/>
    <xf numFmtId="170" fontId="0" fillId="0" borderId="37" xfId="0" applyNumberFormat="1" applyBorder="1"/>
    <xf numFmtId="170" fontId="0" fillId="0" borderId="65" xfId="0" applyNumberFormat="1" applyBorder="1"/>
    <xf numFmtId="170" fontId="0" fillId="0" borderId="21" xfId="0" applyNumberFormat="1" applyBorder="1"/>
    <xf numFmtId="170" fontId="0" fillId="0" borderId="91" xfId="0" applyNumberFormat="1" applyBorder="1"/>
    <xf numFmtId="0" fontId="42" fillId="0" borderId="29" xfId="0" applyFont="1" applyBorder="1" applyAlignment="1">
      <alignment horizontal="left" indent="3"/>
    </xf>
    <xf numFmtId="0" fontId="19" fillId="0" borderId="33" xfId="0" applyFont="1" applyBorder="1"/>
    <xf numFmtId="0" fontId="39" fillId="7" borderId="45" xfId="0" applyFont="1" applyFill="1" applyBorder="1" applyAlignment="1">
      <alignment horizontal="center"/>
    </xf>
    <xf numFmtId="170" fontId="19" fillId="0" borderId="11" xfId="1" applyNumberFormat="1" applyFont="1" applyBorder="1" applyAlignment="1">
      <alignment horizontal="right" indent="1"/>
    </xf>
    <xf numFmtId="170" fontId="19" fillId="0" borderId="6" xfId="1" applyNumberFormat="1" applyFont="1" applyBorder="1" applyAlignment="1">
      <alignment horizontal="right" indent="1"/>
    </xf>
    <xf numFmtId="0" fontId="19" fillId="0" borderId="32" xfId="0" applyFont="1" applyBorder="1"/>
    <xf numFmtId="3" fontId="19" fillId="0" borderId="9" xfId="0" applyNumberFormat="1" applyFont="1" applyBorder="1" applyAlignment="1"/>
    <xf numFmtId="3" fontId="19" fillId="0" borderId="20" xfId="0" applyNumberFormat="1" applyFont="1" applyBorder="1" applyAlignment="1"/>
    <xf numFmtId="170" fontId="39" fillId="7" borderId="83" xfId="1" applyNumberFormat="1" applyFont="1" applyFill="1" applyBorder="1" applyAlignment="1">
      <alignment horizontal="right" indent="1"/>
    </xf>
    <xf numFmtId="170" fontId="39" fillId="7" borderId="45" xfId="0" applyNumberFormat="1" applyFont="1" applyFill="1" applyBorder="1" applyAlignment="1"/>
    <xf numFmtId="170" fontId="0" fillId="0" borderId="0" xfId="0" applyNumberFormat="1"/>
    <xf numFmtId="170" fontId="19" fillId="0" borderId="11" xfId="0" applyNumberFormat="1" applyFont="1" applyBorder="1" applyAlignment="1"/>
    <xf numFmtId="170" fontId="19" fillId="0" borderId="6" xfId="0" applyNumberFormat="1" applyFont="1" applyBorder="1" applyAlignment="1"/>
    <xf numFmtId="170" fontId="19" fillId="0" borderId="59" xfId="0" applyNumberFormat="1" applyFont="1" applyBorder="1" applyAlignment="1"/>
    <xf numFmtId="0" fontId="24" fillId="0" borderId="29" xfId="0" applyFont="1" applyBorder="1" applyAlignment="1">
      <alignment wrapText="1"/>
    </xf>
    <xf numFmtId="0" fontId="24" fillId="0" borderId="75" xfId="0" applyFont="1" applyBorder="1" applyAlignment="1">
      <alignment wrapText="1"/>
    </xf>
    <xf numFmtId="0" fontId="22" fillId="0" borderId="22" xfId="0" applyFont="1" applyBorder="1" applyAlignment="1">
      <alignment horizontal="left" vertical="top" wrapText="1"/>
    </xf>
    <xf numFmtId="0" fontId="22" fillId="0" borderId="21" xfId="0" applyFont="1" applyBorder="1" applyAlignment="1">
      <alignment horizontal="left" vertical="top" wrapText="1"/>
    </xf>
    <xf numFmtId="0" fontId="28" fillId="0" borderId="21" xfId="0" applyFont="1" applyBorder="1" applyAlignment="1">
      <alignment horizontal="left" vertical="top" wrapText="1"/>
    </xf>
    <xf numFmtId="0" fontId="28" fillId="0" borderId="25" xfId="0" applyFont="1" applyBorder="1" applyAlignment="1">
      <alignment horizontal="left" vertical="top" wrapText="1"/>
    </xf>
    <xf numFmtId="0" fontId="22" fillId="0" borderId="21" xfId="0" applyFont="1" applyFill="1" applyBorder="1" applyAlignment="1">
      <alignment horizontal="left" vertical="center" wrapText="1"/>
    </xf>
    <xf numFmtId="0" fontId="28" fillId="0" borderId="22" xfId="0" applyFont="1" applyBorder="1" applyAlignment="1">
      <alignment wrapText="1"/>
    </xf>
    <xf numFmtId="0" fontId="28" fillId="7" borderId="73" xfId="0" applyFont="1" applyFill="1" applyBorder="1" applyAlignment="1">
      <alignment horizontal="left" vertical="center" wrapText="1"/>
    </xf>
    <xf numFmtId="0" fontId="0" fillId="0" borderId="22" xfId="0" applyBorder="1"/>
    <xf numFmtId="0" fontId="0" fillId="0" borderId="21" xfId="0" applyBorder="1"/>
    <xf numFmtId="0" fontId="62" fillId="0" borderId="21" xfId="0" applyFont="1" applyBorder="1" applyAlignment="1">
      <alignment wrapText="1"/>
    </xf>
    <xf numFmtId="0" fontId="62" fillId="0" borderId="85" xfId="0" applyFont="1" applyBorder="1" applyAlignment="1">
      <alignment wrapText="1"/>
    </xf>
    <xf numFmtId="170" fontId="67" fillId="0" borderId="9" xfId="0" applyNumberFormat="1" applyFont="1" applyBorder="1"/>
    <xf numFmtId="170" fontId="67" fillId="0" borderId="10" xfId="0" applyNumberFormat="1" applyFont="1" applyBorder="1"/>
    <xf numFmtId="170" fontId="67" fillId="0" borderId="11" xfId="0" applyNumberFormat="1" applyFont="1" applyBorder="1"/>
    <xf numFmtId="9" fontId="1" fillId="0" borderId="29" xfId="1" applyNumberFormat="1" applyBorder="1" applyProtection="1">
      <protection locked="0"/>
    </xf>
    <xf numFmtId="170" fontId="65" fillId="0" borderId="58" xfId="0" applyNumberFormat="1" applyFont="1" applyBorder="1"/>
    <xf numFmtId="170" fontId="65" fillId="0" borderId="45" xfId="0" applyNumberFormat="1" applyFont="1" applyBorder="1"/>
    <xf numFmtId="170" fontId="67" fillId="0" borderId="55" xfId="0" applyNumberFormat="1" applyFont="1" applyBorder="1"/>
    <xf numFmtId="170" fontId="1" fillId="0" borderId="75" xfId="1" applyNumberFormat="1" applyBorder="1" applyProtection="1">
      <protection locked="0"/>
    </xf>
    <xf numFmtId="170" fontId="67" fillId="0" borderId="14" xfId="0" applyNumberFormat="1" applyFont="1" applyBorder="1"/>
    <xf numFmtId="170" fontId="67" fillId="0" borderId="8" xfId="0" applyNumberFormat="1" applyFont="1" applyBorder="1"/>
    <xf numFmtId="170" fontId="1" fillId="0" borderId="28" xfId="1" applyNumberFormat="1" applyBorder="1" applyProtection="1">
      <protection locked="0"/>
    </xf>
    <xf numFmtId="170" fontId="1" fillId="0" borderId="8" xfId="1" applyNumberFormat="1" applyBorder="1" applyProtection="1">
      <protection locked="0"/>
    </xf>
    <xf numFmtId="9" fontId="1" fillId="0" borderId="8" xfId="1" applyNumberFormat="1" applyBorder="1" applyProtection="1">
      <protection locked="0"/>
    </xf>
    <xf numFmtId="170" fontId="1" fillId="0" borderId="92" xfId="1" applyNumberFormat="1" applyBorder="1" applyProtection="1">
      <protection locked="0"/>
    </xf>
    <xf numFmtId="170" fontId="67" fillId="0" borderId="45" xfId="0" applyNumberFormat="1" applyFont="1" applyBorder="1"/>
    <xf numFmtId="170" fontId="65" fillId="0" borderId="30" xfId="0" applyNumberFormat="1" applyFont="1" applyBorder="1"/>
    <xf numFmtId="170" fontId="28" fillId="0" borderId="31" xfId="1" applyNumberFormat="1" applyFont="1" applyBorder="1" applyProtection="1">
      <protection locked="0"/>
    </xf>
    <xf numFmtId="170" fontId="28" fillId="0" borderId="30" xfId="1" applyNumberFormat="1" applyFont="1" applyBorder="1" applyProtection="1">
      <protection locked="0"/>
    </xf>
    <xf numFmtId="9" fontId="28" fillId="0" borderId="30" xfId="1" applyNumberFormat="1" applyFont="1" applyBorder="1" applyAlignment="1" applyProtection="1">
      <alignment horizontal="center"/>
      <protection locked="0"/>
    </xf>
    <xf numFmtId="170" fontId="28" fillId="0" borderId="93" xfId="1" applyNumberFormat="1" applyFont="1" applyBorder="1" applyProtection="1">
      <protection locked="0"/>
    </xf>
    <xf numFmtId="170" fontId="63" fillId="0" borderId="81" xfId="0" applyNumberFormat="1" applyFont="1" applyBorder="1"/>
    <xf numFmtId="170" fontId="63" fillId="0" borderId="84" xfId="0" applyNumberFormat="1" applyFont="1" applyBorder="1"/>
    <xf numFmtId="170" fontId="67" fillId="0" borderId="0" xfId="0" applyNumberFormat="1" applyFont="1"/>
    <xf numFmtId="0" fontId="102" fillId="0" borderId="0" xfId="0" applyFont="1" applyAlignment="1">
      <alignment horizontal="right"/>
    </xf>
    <xf numFmtId="49" fontId="49" fillId="0" borderId="16" xfId="0" applyNumberFormat="1" applyFont="1" applyBorder="1" applyAlignment="1">
      <alignment horizontal="right"/>
    </xf>
    <xf numFmtId="0" fontId="19" fillId="0" borderId="66" xfId="0" applyFont="1" applyBorder="1" applyAlignment="1">
      <alignment horizontal="left"/>
    </xf>
    <xf numFmtId="3" fontId="19" fillId="0" borderId="61" xfId="0" applyNumberFormat="1" applyFont="1" applyBorder="1" applyAlignment="1">
      <alignment horizontal="right"/>
    </xf>
    <xf numFmtId="3" fontId="19" fillId="0" borderId="61" xfId="4" applyNumberFormat="1" applyFont="1" applyFill="1" applyBorder="1" applyAlignment="1" applyProtection="1">
      <alignment horizontal="right" vertical="center"/>
      <protection locked="0"/>
    </xf>
    <xf numFmtId="3" fontId="19" fillId="0" borderId="16" xfId="1" applyNumberFormat="1" applyFont="1" applyBorder="1" applyAlignment="1" applyProtection="1">
      <alignment horizontal="right" vertical="center"/>
      <protection locked="0"/>
    </xf>
    <xf numFmtId="3" fontId="19" fillId="0" borderId="66" xfId="4" applyNumberFormat="1" applyFont="1" applyFill="1" applyBorder="1" applyAlignment="1" applyProtection="1">
      <alignment horizontal="center" vertical="center"/>
      <protection locked="0"/>
    </xf>
    <xf numFmtId="3" fontId="19" fillId="0" borderId="52" xfId="4" applyNumberFormat="1" applyFont="1" applyFill="1" applyBorder="1" applyAlignment="1" applyProtection="1">
      <alignment horizontal="right" vertical="center"/>
      <protection locked="0"/>
    </xf>
    <xf numFmtId="49" fontId="19" fillId="0" borderId="75" xfId="4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Border="1"/>
    <xf numFmtId="3" fontId="19" fillId="0" borderId="23" xfId="0" applyNumberFormat="1" applyFont="1" applyBorder="1"/>
    <xf numFmtId="3" fontId="19" fillId="0" borderId="20" xfId="1" applyNumberFormat="1" applyFont="1" applyBorder="1" applyAlignment="1" applyProtection="1">
      <alignment horizontal="right"/>
      <protection locked="0"/>
    </xf>
    <xf numFmtId="3" fontId="19" fillId="0" borderId="55" xfId="4" applyNumberFormat="1" applyFont="1" applyFill="1" applyBorder="1" applyAlignment="1" applyProtection="1">
      <alignment horizontal="center" vertical="center"/>
      <protection locked="0"/>
    </xf>
    <xf numFmtId="0" fontId="19" fillId="0" borderId="16" xfId="0" applyFont="1" applyBorder="1"/>
    <xf numFmtId="3" fontId="19" fillId="0" borderId="23" xfId="0" applyNumberFormat="1" applyFont="1" applyBorder="1" applyAlignment="1">
      <alignment horizontal="right"/>
    </xf>
    <xf numFmtId="3" fontId="19" fillId="0" borderId="23" xfId="4" applyNumberFormat="1" applyFont="1" applyBorder="1" applyProtection="1">
      <protection locked="0"/>
    </xf>
    <xf numFmtId="3" fontId="19" fillId="0" borderId="1" xfId="4" applyNumberFormat="1" applyFont="1" applyFill="1" applyBorder="1" applyAlignment="1" applyProtection="1">
      <alignment horizontal="center" vertical="center"/>
      <protection locked="0"/>
    </xf>
    <xf numFmtId="49" fontId="42" fillId="0" borderId="15" xfId="4" applyNumberFormat="1" applyFont="1" applyBorder="1" applyAlignment="1" applyProtection="1">
      <alignment horizontal="right"/>
      <protection locked="0"/>
    </xf>
    <xf numFmtId="3" fontId="19" fillId="0" borderId="10" xfId="4" applyNumberFormat="1" applyFont="1" applyFill="1" applyBorder="1" applyAlignment="1" applyProtection="1">
      <alignment horizontal="center" vertical="center"/>
      <protection locked="0"/>
    </xf>
    <xf numFmtId="49" fontId="49" fillId="0" borderId="1" xfId="0" applyNumberFormat="1" applyFont="1" applyBorder="1" applyAlignment="1">
      <alignment horizontal="right"/>
    </xf>
    <xf numFmtId="0" fontId="19" fillId="0" borderId="1" xfId="0" applyFont="1" applyBorder="1"/>
    <xf numFmtId="3" fontId="19" fillId="0" borderId="1" xfId="0" applyNumberFormat="1" applyFont="1" applyBorder="1" applyAlignment="1">
      <alignment horizontal="right"/>
    </xf>
    <xf numFmtId="3" fontId="19" fillId="0" borderId="1" xfId="1" applyNumberFormat="1" applyFont="1" applyBorder="1" applyAlignment="1" applyProtection="1">
      <alignment horizontal="right" vertical="center"/>
      <protection locked="0"/>
    </xf>
    <xf numFmtId="3" fontId="19" fillId="0" borderId="24" xfId="1" applyNumberFormat="1" applyFont="1" applyBorder="1" applyProtection="1">
      <protection locked="0"/>
    </xf>
    <xf numFmtId="49" fontId="42" fillId="0" borderId="2" xfId="1" applyNumberFormat="1" applyFont="1" applyBorder="1" applyAlignment="1" applyProtection="1">
      <alignment horizontal="right"/>
      <protection locked="0"/>
    </xf>
    <xf numFmtId="3" fontId="19" fillId="0" borderId="1" xfId="0" applyNumberFormat="1" applyFont="1" applyBorder="1"/>
    <xf numFmtId="3" fontId="19" fillId="0" borderId="20" xfId="4" applyNumberFormat="1" applyFont="1" applyFill="1" applyBorder="1" applyAlignment="1" applyProtection="1">
      <alignment horizontal="center" vertical="center"/>
      <protection locked="0"/>
    </xf>
    <xf numFmtId="3" fontId="19" fillId="0" borderId="4" xfId="1" applyNumberFormat="1" applyFont="1" applyBorder="1" applyAlignment="1" applyProtection="1">
      <alignment horizontal="right"/>
      <protection locked="0"/>
    </xf>
    <xf numFmtId="3" fontId="19" fillId="0" borderId="16" xfId="0" applyNumberFormat="1" applyFont="1" applyBorder="1" applyAlignment="1">
      <alignment horizontal="right"/>
    </xf>
    <xf numFmtId="49" fontId="49" fillId="0" borderId="26" xfId="0" applyNumberFormat="1" applyFont="1" applyBorder="1" applyAlignment="1">
      <alignment horizontal="right"/>
    </xf>
    <xf numFmtId="0" fontId="19" fillId="0" borderId="26" xfId="0" applyFont="1" applyBorder="1"/>
    <xf numFmtId="3" fontId="19" fillId="0" borderId="57" xfId="0" applyNumberFormat="1" applyFont="1" applyBorder="1" applyAlignment="1">
      <alignment horizontal="right"/>
    </xf>
    <xf numFmtId="3" fontId="19" fillId="0" borderId="57" xfId="1" applyNumberFormat="1" applyFont="1" applyBorder="1" applyAlignment="1" applyProtection="1">
      <alignment horizontal="right" vertical="center"/>
      <protection locked="0"/>
    </xf>
    <xf numFmtId="3" fontId="19" fillId="0" borderId="23" xfId="4" applyNumberFormat="1" applyFont="1" applyFill="1" applyBorder="1" applyAlignment="1" applyProtection="1">
      <alignment horizontal="center" vertical="center"/>
      <protection locked="0"/>
    </xf>
    <xf numFmtId="3" fontId="19" fillId="0" borderId="77" xfId="1" applyNumberFormat="1" applyFont="1" applyBorder="1" applyProtection="1">
      <protection locked="0"/>
    </xf>
    <xf numFmtId="49" fontId="42" fillId="0" borderId="5" xfId="1" applyNumberFormat="1" applyFont="1" applyBorder="1" applyAlignment="1" applyProtection="1">
      <alignment horizontal="right"/>
      <protection locked="0"/>
    </xf>
    <xf numFmtId="3" fontId="19" fillId="0" borderId="26" xfId="0" applyNumberFormat="1" applyFont="1" applyBorder="1"/>
    <xf numFmtId="3" fontId="19" fillId="0" borderId="37" xfId="0" applyNumberFormat="1" applyFont="1" applyBorder="1"/>
    <xf numFmtId="3" fontId="19" fillId="0" borderId="38" xfId="1" applyNumberFormat="1" applyFont="1" applyBorder="1" applyAlignment="1" applyProtection="1">
      <alignment horizontal="right"/>
      <protection locked="0"/>
    </xf>
    <xf numFmtId="3" fontId="19" fillId="0" borderId="6" xfId="1" applyNumberFormat="1" applyFont="1" applyBorder="1" applyAlignment="1" applyProtection="1">
      <alignment horizontal="right"/>
      <protection locked="0"/>
    </xf>
    <xf numFmtId="49" fontId="32" fillId="0" borderId="53" xfId="0" applyNumberFormat="1" applyFont="1" applyBorder="1" applyAlignment="1">
      <alignment horizontal="right"/>
    </xf>
    <xf numFmtId="0" fontId="39" fillId="0" borderId="82" xfId="0" applyFont="1" applyBorder="1"/>
    <xf numFmtId="3" fontId="39" fillId="0" borderId="82" xfId="0" applyNumberFormat="1" applyFont="1" applyBorder="1" applyAlignment="1">
      <alignment horizontal="right"/>
    </xf>
    <xf numFmtId="3" fontId="39" fillId="0" borderId="82" xfId="1" applyNumberFormat="1" applyFont="1" applyBorder="1" applyAlignment="1" applyProtection="1">
      <alignment horizontal="right"/>
      <protection locked="0"/>
    </xf>
    <xf numFmtId="3" fontId="19" fillId="0" borderId="82" xfId="1" applyNumberFormat="1" applyFont="1" applyBorder="1" applyAlignment="1" applyProtection="1">
      <alignment horizontal="right" vertical="center"/>
      <protection locked="0"/>
    </xf>
    <xf numFmtId="3" fontId="19" fillId="0" borderId="61" xfId="4" applyNumberFormat="1" applyFont="1" applyFill="1" applyBorder="1" applyAlignment="1" applyProtection="1">
      <alignment horizontal="center" vertical="center"/>
      <protection locked="0"/>
    </xf>
    <xf numFmtId="3" fontId="39" fillId="0" borderId="83" xfId="1" applyNumberFormat="1" applyFont="1" applyBorder="1" applyAlignment="1" applyProtection="1">
      <alignment horizontal="right"/>
      <protection locked="0"/>
    </xf>
    <xf numFmtId="49" fontId="70" fillId="0" borderId="53" xfId="1" applyNumberFormat="1" applyFont="1" applyBorder="1" applyAlignment="1" applyProtection="1">
      <alignment horizontal="center"/>
      <protection locked="0"/>
    </xf>
    <xf numFmtId="3" fontId="39" fillId="0" borderId="82" xfId="0" applyNumberFormat="1" applyFont="1" applyBorder="1"/>
    <xf numFmtId="3" fontId="39" fillId="0" borderId="90" xfId="0" applyNumberFormat="1" applyFont="1" applyBorder="1"/>
    <xf numFmtId="3" fontId="39" fillId="0" borderId="83" xfId="1" applyNumberFormat="1" applyFont="1" applyBorder="1" applyAlignment="1" applyProtection="1">
      <alignment horizontal="center"/>
      <protection locked="0"/>
    </xf>
    <xf numFmtId="49" fontId="49" fillId="0" borderId="57" xfId="0" applyNumberFormat="1" applyFont="1" applyBorder="1" applyAlignment="1">
      <alignment horizontal="right"/>
    </xf>
    <xf numFmtId="0" fontId="19" fillId="0" borderId="57" xfId="0" applyFont="1" applyBorder="1"/>
    <xf numFmtId="3" fontId="19" fillId="0" borderId="57" xfId="1" applyNumberFormat="1" applyFont="1" applyBorder="1" applyProtection="1">
      <protection locked="0"/>
    </xf>
    <xf numFmtId="3" fontId="19" fillId="0" borderId="37" xfId="1" applyNumberFormat="1" applyFont="1" applyBorder="1" applyProtection="1">
      <protection locked="0"/>
    </xf>
    <xf numFmtId="49" fontId="42" fillId="0" borderId="39" xfId="1" applyNumberFormat="1" applyFont="1" applyBorder="1" applyAlignment="1" applyProtection="1">
      <alignment horizontal="right"/>
      <protection locked="0"/>
    </xf>
    <xf numFmtId="3" fontId="19" fillId="0" borderId="57" xfId="0" applyNumberFormat="1" applyFont="1" applyBorder="1"/>
    <xf numFmtId="3" fontId="71" fillId="0" borderId="0" xfId="0" applyNumberFormat="1" applyFont="1"/>
    <xf numFmtId="1" fontId="39" fillId="7" borderId="88" xfId="4" applyNumberFormat="1" applyFont="1" applyFill="1" applyBorder="1" applyAlignment="1" applyProtection="1">
      <alignment horizontal="center" vertical="center"/>
      <protection locked="0"/>
    </xf>
    <xf numFmtId="1" fontId="39" fillId="7" borderId="88" xfId="4" applyNumberFormat="1" applyFont="1" applyFill="1" applyBorder="1" applyAlignment="1" applyProtection="1">
      <alignment horizontal="center" vertical="center" wrapText="1"/>
      <protection locked="0"/>
    </xf>
    <xf numFmtId="1" fontId="39" fillId="7" borderId="18" xfId="4" applyNumberFormat="1" applyFont="1" applyFill="1" applyBorder="1" applyAlignment="1" applyProtection="1">
      <alignment horizontal="center" vertical="center"/>
      <protection locked="0"/>
    </xf>
    <xf numFmtId="1" fontId="39" fillId="7" borderId="18" xfId="4" applyNumberFormat="1" applyFont="1" applyFill="1" applyBorder="1" applyAlignment="1" applyProtection="1">
      <alignment horizontal="center" vertical="center" wrapText="1"/>
      <protection locked="0"/>
    </xf>
    <xf numFmtId="3" fontId="39" fillId="7" borderId="73" xfId="0" applyNumberFormat="1" applyFont="1" applyFill="1" applyBorder="1" applyAlignment="1">
      <alignment horizontal="right"/>
    </xf>
    <xf numFmtId="3" fontId="39" fillId="7" borderId="82" xfId="1" applyNumberFormat="1" applyFont="1" applyFill="1" applyBorder="1" applyProtection="1">
      <protection locked="0"/>
    </xf>
    <xf numFmtId="3" fontId="39" fillId="7" borderId="90" xfId="1" applyNumberFormat="1" applyFont="1" applyFill="1" applyBorder="1" applyProtection="1">
      <protection locked="0"/>
    </xf>
    <xf numFmtId="3" fontId="39" fillId="7" borderId="90" xfId="1" applyNumberFormat="1" applyFont="1" applyFill="1" applyBorder="1" applyAlignment="1" applyProtection="1">
      <alignment horizontal="center"/>
      <protection locked="0"/>
    </xf>
    <xf numFmtId="3" fontId="39" fillId="7" borderId="68" xfId="0" applyNumberFormat="1" applyFont="1" applyFill="1" applyBorder="1"/>
    <xf numFmtId="3" fontId="39" fillId="7" borderId="83" xfId="1" applyNumberFormat="1" applyFont="1" applyFill="1" applyBorder="1" applyAlignment="1" applyProtection="1">
      <alignment horizontal="right"/>
      <protection locked="0"/>
    </xf>
    <xf numFmtId="3" fontId="39" fillId="7" borderId="83" xfId="1" applyNumberFormat="1" applyFont="1" applyFill="1" applyBorder="1" applyAlignment="1" applyProtection="1">
      <alignment horizontal="center"/>
      <protection locked="0"/>
    </xf>
    <xf numFmtId="0" fontId="28" fillId="7" borderId="81" xfId="0" applyFont="1" applyFill="1" applyBorder="1"/>
    <xf numFmtId="172" fontId="28" fillId="7" borderId="45" xfId="0" applyNumberFormat="1" applyFont="1" applyFill="1" applyBorder="1"/>
    <xf numFmtId="3" fontId="67" fillId="11" borderId="81" xfId="0" applyNumberFormat="1" applyFont="1" applyFill="1" applyBorder="1"/>
    <xf numFmtId="0" fontId="97" fillId="0" borderId="0" xfId="0" applyFont="1"/>
    <xf numFmtId="3" fontId="95" fillId="0" borderId="0" xfId="0" applyNumberFormat="1" applyFont="1" applyAlignment="1">
      <alignment horizontal="center" vertical="center"/>
    </xf>
    <xf numFmtId="0" fontId="104" fillId="0" borderId="0" xfId="0" applyFont="1" applyAlignment="1">
      <alignment horizontal="right"/>
    </xf>
    <xf numFmtId="49" fontId="104" fillId="0" borderId="15" xfId="0" applyNumberFormat="1" applyFont="1" applyBorder="1" applyAlignment="1">
      <alignment horizontal="right"/>
    </xf>
    <xf numFmtId="0" fontId="97" fillId="0" borderId="16" xfId="0" applyFont="1" applyBorder="1"/>
    <xf numFmtId="3" fontId="97" fillId="0" borderId="23" xfId="0" applyNumberFormat="1" applyFont="1" applyBorder="1"/>
    <xf numFmtId="3" fontId="97" fillId="0" borderId="61" xfId="4" applyNumberFormat="1" applyFont="1" applyFill="1" applyBorder="1" applyAlignment="1" applyProtection="1">
      <alignment horizontal="right" vertical="center"/>
      <protection locked="0"/>
    </xf>
    <xf numFmtId="3" fontId="97" fillId="0" borderId="16" xfId="1" applyNumberFormat="1" applyFont="1" applyBorder="1" applyAlignment="1" applyProtection="1">
      <alignment horizontal="right" vertical="center"/>
      <protection locked="0"/>
    </xf>
    <xf numFmtId="3" fontId="97" fillId="0" borderId="1" xfId="4" applyNumberFormat="1" applyFont="1" applyFill="1" applyBorder="1" applyAlignment="1" applyProtection="1">
      <alignment horizontal="center" vertical="center"/>
      <protection locked="0"/>
    </xf>
    <xf numFmtId="3" fontId="97" fillId="0" borderId="52" xfId="4" applyNumberFormat="1" applyFont="1" applyFill="1" applyBorder="1" applyAlignment="1" applyProtection="1">
      <alignment horizontal="right" vertical="center"/>
      <protection locked="0"/>
    </xf>
    <xf numFmtId="49" fontId="97" fillId="0" borderId="75" xfId="4" applyNumberFormat="1" applyFont="1" applyFill="1" applyBorder="1" applyAlignment="1" applyProtection="1">
      <alignment horizontal="right" vertical="center"/>
      <protection locked="0"/>
    </xf>
    <xf numFmtId="3" fontId="97" fillId="0" borderId="16" xfId="0" applyNumberFormat="1" applyFont="1" applyBorder="1"/>
    <xf numFmtId="3" fontId="97" fillId="0" borderId="20" xfId="1" applyNumberFormat="1" applyFont="1" applyBorder="1" applyAlignment="1" applyProtection="1">
      <alignment horizontal="right"/>
      <protection locked="0"/>
    </xf>
    <xf numFmtId="3" fontId="97" fillId="0" borderId="55" xfId="4" applyNumberFormat="1" applyFont="1" applyFill="1" applyBorder="1" applyAlignment="1" applyProtection="1">
      <alignment horizontal="center" vertical="center"/>
      <protection locked="0"/>
    </xf>
    <xf numFmtId="3" fontId="97" fillId="0" borderId="23" xfId="4" applyNumberFormat="1" applyFont="1" applyBorder="1" applyProtection="1">
      <protection locked="0"/>
    </xf>
    <xf numFmtId="49" fontId="104" fillId="0" borderId="15" xfId="4" applyNumberFormat="1" applyFont="1" applyBorder="1" applyAlignment="1" applyProtection="1">
      <alignment horizontal="right"/>
      <protection locked="0"/>
    </xf>
    <xf numFmtId="3" fontId="97" fillId="0" borderId="10" xfId="4" applyNumberFormat="1" applyFont="1" applyFill="1" applyBorder="1" applyAlignment="1" applyProtection="1">
      <alignment horizontal="center" vertical="center"/>
      <protection locked="0"/>
    </xf>
    <xf numFmtId="49" fontId="104" fillId="0" borderId="2" xfId="0" applyNumberFormat="1" applyFont="1" applyBorder="1" applyAlignment="1">
      <alignment horizontal="right"/>
    </xf>
    <xf numFmtId="0" fontId="97" fillId="0" borderId="1" xfId="0" applyFont="1" applyBorder="1"/>
    <xf numFmtId="3" fontId="97" fillId="0" borderId="1" xfId="0" applyNumberFormat="1" applyFont="1" applyBorder="1"/>
    <xf numFmtId="3" fontId="97" fillId="0" borderId="1" xfId="1" applyNumberFormat="1" applyFont="1" applyBorder="1" applyAlignment="1" applyProtection="1">
      <alignment horizontal="right" vertical="center"/>
      <protection locked="0"/>
    </xf>
    <xf numFmtId="3" fontId="97" fillId="0" borderId="24" xfId="1" applyNumberFormat="1" applyFont="1" applyBorder="1" applyProtection="1">
      <protection locked="0"/>
    </xf>
    <xf numFmtId="49" fontId="104" fillId="0" borderId="2" xfId="1" applyNumberFormat="1" applyFont="1" applyBorder="1" applyAlignment="1" applyProtection="1">
      <alignment horizontal="right"/>
      <protection locked="0"/>
    </xf>
    <xf numFmtId="3" fontId="97" fillId="0" borderId="20" xfId="4" applyNumberFormat="1" applyFont="1" applyFill="1" applyBorder="1" applyAlignment="1" applyProtection="1">
      <alignment horizontal="center" vertical="center"/>
      <protection locked="0"/>
    </xf>
    <xf numFmtId="3" fontId="97" fillId="0" borderId="4" xfId="1" applyNumberFormat="1" applyFont="1" applyBorder="1" applyAlignment="1" applyProtection="1">
      <alignment horizontal="right"/>
      <protection locked="0"/>
    </xf>
    <xf numFmtId="49" fontId="104" fillId="0" borderId="5" xfId="0" applyNumberFormat="1" applyFont="1" applyBorder="1" applyAlignment="1">
      <alignment horizontal="right"/>
    </xf>
    <xf numFmtId="0" fontId="97" fillId="0" borderId="26" xfId="0" applyFont="1" applyBorder="1"/>
    <xf numFmtId="3" fontId="97" fillId="0" borderId="57" xfId="0" applyNumberFormat="1" applyFont="1" applyBorder="1"/>
    <xf numFmtId="3" fontId="97" fillId="0" borderId="57" xfId="1" applyNumberFormat="1" applyFont="1" applyBorder="1" applyAlignment="1" applyProtection="1">
      <alignment horizontal="right" vertical="center"/>
      <protection locked="0"/>
    </xf>
    <xf numFmtId="3" fontId="97" fillId="0" borderId="77" xfId="1" applyNumberFormat="1" applyFont="1" applyBorder="1" applyProtection="1">
      <protection locked="0"/>
    </xf>
    <xf numFmtId="49" fontId="104" fillId="0" borderId="5" xfId="1" applyNumberFormat="1" applyFont="1" applyBorder="1" applyAlignment="1" applyProtection="1">
      <alignment horizontal="right"/>
      <protection locked="0"/>
    </xf>
    <xf numFmtId="3" fontId="97" fillId="0" borderId="26" xfId="0" applyNumberFormat="1" applyFont="1" applyBorder="1"/>
    <xf numFmtId="3" fontId="97" fillId="0" borderId="37" xfId="0" applyNumberFormat="1" applyFont="1" applyBorder="1"/>
    <xf numFmtId="3" fontId="97" fillId="0" borderId="38" xfId="1" applyNumberFormat="1" applyFont="1" applyBorder="1" applyAlignment="1" applyProtection="1">
      <alignment horizontal="right"/>
      <protection locked="0"/>
    </xf>
    <xf numFmtId="3" fontId="97" fillId="0" borderId="6" xfId="1" applyNumberFormat="1" applyFont="1" applyBorder="1" applyAlignment="1" applyProtection="1">
      <alignment horizontal="right"/>
      <protection locked="0"/>
    </xf>
    <xf numFmtId="49" fontId="98" fillId="0" borderId="53" xfId="0" applyNumberFormat="1" applyFont="1" applyBorder="1" applyAlignment="1">
      <alignment horizontal="right"/>
    </xf>
    <xf numFmtId="0" fontId="95" fillId="0" borderId="82" xfId="0" applyFont="1" applyBorder="1"/>
    <xf numFmtId="3" fontId="95" fillId="0" borderId="82" xfId="1" applyNumberFormat="1" applyFont="1" applyBorder="1" applyAlignment="1" applyProtection="1">
      <alignment horizontal="right"/>
      <protection locked="0"/>
    </xf>
    <xf numFmtId="3" fontId="97" fillId="0" borderId="82" xfId="1" applyNumberFormat="1" applyFont="1" applyBorder="1" applyAlignment="1" applyProtection="1">
      <alignment horizontal="right" vertical="center"/>
      <protection locked="0"/>
    </xf>
    <xf numFmtId="3" fontId="97" fillId="0" borderId="61" xfId="4" applyNumberFormat="1" applyFont="1" applyFill="1" applyBorder="1" applyAlignment="1" applyProtection="1">
      <alignment horizontal="center" vertical="center"/>
      <protection locked="0"/>
    </xf>
    <xf numFmtId="3" fontId="95" fillId="0" borderId="83" xfId="1" applyNumberFormat="1" applyFont="1" applyBorder="1" applyAlignment="1" applyProtection="1">
      <alignment horizontal="right"/>
      <protection locked="0"/>
    </xf>
    <xf numFmtId="49" fontId="98" fillId="0" borderId="53" xfId="1" applyNumberFormat="1" applyFont="1" applyBorder="1" applyAlignment="1" applyProtection="1">
      <alignment horizontal="center"/>
      <protection locked="0"/>
    </xf>
    <xf numFmtId="3" fontId="95" fillId="0" borderId="82" xfId="0" applyNumberFormat="1" applyFont="1" applyBorder="1"/>
    <xf numFmtId="3" fontId="95" fillId="0" borderId="83" xfId="1" applyNumberFormat="1" applyFont="1" applyBorder="1" applyAlignment="1" applyProtection="1">
      <alignment horizontal="center"/>
      <protection locked="0"/>
    </xf>
    <xf numFmtId="49" fontId="104" fillId="0" borderId="39" xfId="0" applyNumberFormat="1" applyFont="1" applyBorder="1" applyAlignment="1">
      <alignment horizontal="right"/>
    </xf>
    <xf numFmtId="0" fontId="97" fillId="0" borderId="57" xfId="0" applyFont="1" applyBorder="1"/>
    <xf numFmtId="3" fontId="97" fillId="0" borderId="57" xfId="1" applyNumberFormat="1" applyFont="1" applyBorder="1" applyProtection="1">
      <protection locked="0"/>
    </xf>
    <xf numFmtId="3" fontId="97" fillId="0" borderId="37" xfId="1" applyNumberFormat="1" applyFont="1" applyBorder="1" applyProtection="1">
      <protection locked="0"/>
    </xf>
    <xf numFmtId="49" fontId="104" fillId="0" borderId="39" xfId="1" applyNumberFormat="1" applyFont="1" applyBorder="1" applyAlignment="1" applyProtection="1">
      <alignment horizontal="right"/>
      <protection locked="0"/>
    </xf>
    <xf numFmtId="3" fontId="97" fillId="0" borderId="38" xfId="1" applyNumberFormat="1" applyFont="1" applyBorder="1" applyAlignment="1" applyProtection="1">
      <alignment horizontal="center"/>
      <protection locked="0"/>
    </xf>
    <xf numFmtId="1" fontId="95" fillId="7" borderId="88" xfId="4" applyNumberFormat="1" applyFont="1" applyFill="1" applyBorder="1" applyAlignment="1" applyProtection="1">
      <alignment horizontal="center" vertical="center" wrapText="1"/>
      <protection locked="0"/>
    </xf>
    <xf numFmtId="1" fontId="95" fillId="7" borderId="18" xfId="4" applyNumberFormat="1" applyFont="1" applyFill="1" applyBorder="1" applyAlignment="1" applyProtection="1">
      <alignment horizontal="center" vertical="center" wrapText="1"/>
      <protection locked="0"/>
    </xf>
    <xf numFmtId="3" fontId="95" fillId="7" borderId="82" xfId="1" applyNumberFormat="1" applyFont="1" applyFill="1" applyBorder="1" applyProtection="1">
      <protection locked="0"/>
    </xf>
    <xf numFmtId="3" fontId="95" fillId="7" borderId="90" xfId="1" applyNumberFormat="1" applyFont="1" applyFill="1" applyBorder="1" applyProtection="1">
      <protection locked="0"/>
    </xf>
    <xf numFmtId="3" fontId="95" fillId="7" borderId="90" xfId="1" applyNumberFormat="1" applyFont="1" applyFill="1" applyBorder="1" applyAlignment="1" applyProtection="1">
      <alignment horizontal="center"/>
      <protection locked="0"/>
    </xf>
    <xf numFmtId="3" fontId="95" fillId="7" borderId="83" xfId="1" applyNumberFormat="1" applyFont="1" applyFill="1" applyBorder="1" applyAlignment="1" applyProtection="1">
      <alignment horizontal="right"/>
      <protection locked="0"/>
    </xf>
    <xf numFmtId="3" fontId="95" fillId="7" borderId="83" xfId="1" applyNumberFormat="1" applyFont="1" applyFill="1" applyBorder="1" applyAlignment="1" applyProtection="1">
      <alignment horizontal="center"/>
      <protection locked="0"/>
    </xf>
    <xf numFmtId="0" fontId="28" fillId="7" borderId="24" xfId="0" applyFont="1" applyFill="1" applyBorder="1"/>
    <xf numFmtId="172" fontId="28" fillId="7" borderId="1" xfId="0" applyNumberFormat="1" applyFont="1" applyFill="1" applyBorder="1"/>
    <xf numFmtId="0" fontId="97" fillId="0" borderId="66" xfId="0" applyFont="1" applyBorder="1" applyAlignment="1">
      <alignment horizontal="left"/>
    </xf>
    <xf numFmtId="3" fontId="97" fillId="0" borderId="61" xfId="0" applyNumberFormat="1" applyFont="1" applyBorder="1" applyAlignment="1">
      <alignment horizontal="right"/>
    </xf>
    <xf numFmtId="3" fontId="97" fillId="0" borderId="66" xfId="4" applyNumberFormat="1" applyFont="1" applyFill="1" applyBorder="1" applyAlignment="1" applyProtection="1">
      <alignment horizontal="center" vertical="center"/>
      <protection locked="0"/>
    </xf>
    <xf numFmtId="3" fontId="97" fillId="0" borderId="23" xfId="0" applyNumberFormat="1" applyFont="1" applyBorder="1" applyAlignment="1">
      <alignment horizontal="right"/>
    </xf>
    <xf numFmtId="3" fontId="97" fillId="0" borderId="1" xfId="0" applyNumberFormat="1" applyFont="1" applyBorder="1" applyAlignment="1">
      <alignment horizontal="right"/>
    </xf>
    <xf numFmtId="3" fontId="97" fillId="0" borderId="57" xfId="0" applyNumberFormat="1" applyFont="1" applyBorder="1" applyAlignment="1">
      <alignment horizontal="right"/>
    </xf>
    <xf numFmtId="3" fontId="97" fillId="0" borderId="23" xfId="4" applyNumberFormat="1" applyFont="1" applyFill="1" applyBorder="1" applyAlignment="1" applyProtection="1">
      <alignment horizontal="center" vertical="center"/>
      <protection locked="0"/>
    </xf>
    <xf numFmtId="3" fontId="95" fillId="0" borderId="82" xfId="0" applyNumberFormat="1" applyFont="1" applyBorder="1" applyAlignment="1">
      <alignment horizontal="right"/>
    </xf>
    <xf numFmtId="3" fontId="95" fillId="0" borderId="90" xfId="0" applyNumberFormat="1" applyFont="1" applyBorder="1"/>
    <xf numFmtId="3" fontId="95" fillId="7" borderId="73" xfId="0" applyNumberFormat="1" applyFont="1" applyFill="1" applyBorder="1" applyAlignment="1">
      <alignment horizontal="right"/>
    </xf>
    <xf numFmtId="3" fontId="95" fillId="7" borderId="68" xfId="0" applyNumberFormat="1" applyFont="1" applyFill="1" applyBorder="1"/>
    <xf numFmtId="172" fontId="28" fillId="7" borderId="84" xfId="0" applyNumberFormat="1" applyFont="1" applyFill="1" applyBorder="1"/>
    <xf numFmtId="0" fontId="4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95" fillId="0" borderId="0" xfId="0" applyFont="1" applyAlignment="1">
      <alignment horizontal="center"/>
    </xf>
    <xf numFmtId="49" fontId="75" fillId="14" borderId="53" xfId="0" applyNumberFormat="1" applyFont="1" applyFill="1" applyBorder="1" applyAlignment="1">
      <alignment horizontal="center" vertical="center" wrapText="1" shrinkToFit="1"/>
    </xf>
    <xf numFmtId="49" fontId="77" fillId="14" borderId="53" xfId="0" applyNumberFormat="1" applyFont="1" applyFill="1" applyBorder="1" applyAlignment="1">
      <alignment horizontal="center" vertical="center" wrapText="1" shrinkToFit="1"/>
    </xf>
    <xf numFmtId="0" fontId="39" fillId="15" borderId="40" xfId="0" applyFont="1" applyFill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48" fillId="14" borderId="55" xfId="0" applyFont="1" applyFill="1" applyBorder="1" applyAlignment="1">
      <alignment horizontal="center"/>
    </xf>
    <xf numFmtId="0" fontId="73" fillId="15" borderId="19" xfId="0" applyFont="1" applyFill="1" applyBorder="1" applyAlignment="1">
      <alignment horizontal="center" vertical="center" wrapText="1" shrinkToFit="1"/>
    </xf>
    <xf numFmtId="0" fontId="73" fillId="15" borderId="17" xfId="0" applyFont="1" applyFill="1" applyBorder="1" applyAlignment="1">
      <alignment horizontal="center" vertical="center" wrapText="1" shrinkToFit="1"/>
    </xf>
    <xf numFmtId="3" fontId="73" fillId="15" borderId="24" xfId="0" applyNumberFormat="1" applyFont="1" applyFill="1" applyBorder="1" applyAlignment="1">
      <alignment horizontal="center" vertical="center" wrapText="1" shrinkToFit="1"/>
    </xf>
    <xf numFmtId="3" fontId="0" fillId="0" borderId="49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49" fontId="75" fillId="14" borderId="41" xfId="0" applyNumberFormat="1" applyFont="1" applyFill="1" applyBorder="1" applyAlignment="1">
      <alignment horizontal="center" vertical="center" wrapText="1" shrinkToFit="1"/>
    </xf>
    <xf numFmtId="49" fontId="75" fillId="16" borderId="53" xfId="0" applyNumberFormat="1" applyFont="1" applyFill="1" applyBorder="1" applyAlignment="1">
      <alignment horizontal="left" vertical="center" wrapText="1" shrinkToFit="1"/>
    </xf>
    <xf numFmtId="0" fontId="39" fillId="18" borderId="45" xfId="0" applyFont="1" applyFill="1" applyBorder="1" applyAlignment="1">
      <alignment horizontal="left"/>
    </xf>
    <xf numFmtId="49" fontId="75" fillId="16" borderId="53" xfId="0" applyNumberFormat="1" applyFont="1" applyFill="1" applyBorder="1" applyAlignment="1">
      <alignment horizontal="center" vertical="center" wrapText="1" shrinkToFit="1"/>
    </xf>
    <xf numFmtId="0" fontId="75" fillId="16" borderId="53" xfId="0" applyFont="1" applyFill="1" applyBorder="1" applyAlignment="1">
      <alignment horizontal="center"/>
    </xf>
    <xf numFmtId="0" fontId="81" fillId="14" borderId="58" xfId="0" applyFont="1" applyFill="1" applyBorder="1" applyAlignment="1">
      <alignment horizontal="center"/>
    </xf>
    <xf numFmtId="0" fontId="73" fillId="15" borderId="53" xfId="0" applyFont="1" applyFill="1" applyBorder="1" applyAlignment="1">
      <alignment horizontal="center" vertical="center" wrapText="1" shrinkToFit="1"/>
    </xf>
    <xf numFmtId="0" fontId="73" fillId="15" borderId="82" xfId="0" applyFont="1" applyFill="1" applyBorder="1" applyAlignment="1">
      <alignment horizontal="center" vertical="center" wrapText="1" shrinkToFit="1"/>
    </xf>
    <xf numFmtId="0" fontId="73" fillId="15" borderId="89" xfId="0" applyFont="1" applyFill="1" applyBorder="1" applyAlignment="1">
      <alignment horizontal="center" vertical="center" wrapText="1" shrinkToFit="1"/>
    </xf>
    <xf numFmtId="0" fontId="0" fillId="0" borderId="74" xfId="0" applyBorder="1" applyAlignment="1">
      <alignment horizontal="center"/>
    </xf>
    <xf numFmtId="0" fontId="0" fillId="0" borderId="86" xfId="0" applyBorder="1" applyAlignment="1">
      <alignment horizontal="center"/>
    </xf>
    <xf numFmtId="0" fontId="82" fillId="15" borderId="45" xfId="0" applyFont="1" applyFill="1" applyBorder="1" applyAlignment="1">
      <alignment horizontal="center" vertical="center"/>
    </xf>
    <xf numFmtId="0" fontId="39" fillId="22" borderId="53" xfId="0" applyFont="1" applyFill="1" applyBorder="1" applyAlignment="1">
      <alignment horizontal="center"/>
    </xf>
    <xf numFmtId="0" fontId="39" fillId="22" borderId="82" xfId="0" applyFont="1" applyFill="1" applyBorder="1" applyAlignment="1">
      <alignment horizontal="center"/>
    </xf>
    <xf numFmtId="0" fontId="39" fillId="22" borderId="41" xfId="0" applyFont="1" applyFill="1" applyBorder="1" applyAlignment="1">
      <alignment horizontal="center"/>
    </xf>
    <xf numFmtId="0" fontId="39" fillId="22" borderId="42" xfId="0" applyFont="1" applyFill="1" applyBorder="1" applyAlignment="1">
      <alignment horizontal="center"/>
    </xf>
    <xf numFmtId="0" fontId="48" fillId="19" borderId="51" xfId="0" applyFont="1" applyFill="1" applyBorder="1" applyAlignment="1">
      <alignment horizontal="center"/>
    </xf>
    <xf numFmtId="0" fontId="48" fillId="19" borderId="66" xfId="0" applyFont="1" applyFill="1" applyBorder="1" applyAlignment="1">
      <alignment horizontal="center"/>
    </xf>
    <xf numFmtId="0" fontId="48" fillId="19" borderId="52" xfId="0" applyFont="1" applyFill="1" applyBorder="1" applyAlignment="1">
      <alignment horizontal="center"/>
    </xf>
    <xf numFmtId="0" fontId="73" fillId="20" borderId="2" xfId="0" applyFont="1" applyFill="1" applyBorder="1" applyAlignment="1">
      <alignment horizontal="center" vertical="center" wrapText="1" shrinkToFit="1"/>
    </xf>
    <xf numFmtId="0" fontId="73" fillId="20" borderId="19" xfId="0" applyFont="1" applyFill="1" applyBorder="1" applyAlignment="1">
      <alignment horizontal="center" vertical="center" wrapText="1" shrinkToFit="1"/>
    </xf>
    <xf numFmtId="0" fontId="73" fillId="20" borderId="1" xfId="0" applyFont="1" applyFill="1" applyBorder="1" applyAlignment="1">
      <alignment horizontal="center" vertical="center" wrapText="1" shrinkToFit="1"/>
    </xf>
    <xf numFmtId="0" fontId="73" fillId="20" borderId="17" xfId="0" applyFont="1" applyFill="1" applyBorder="1" applyAlignment="1">
      <alignment horizontal="center" vertical="center" wrapText="1" shrinkToFit="1"/>
    </xf>
    <xf numFmtId="0" fontId="73" fillId="20" borderId="24" xfId="0" applyFont="1" applyFill="1" applyBorder="1" applyAlignment="1">
      <alignment horizontal="center" vertical="center" wrapText="1" shrinkToFit="1"/>
    </xf>
    <xf numFmtId="0" fontId="0" fillId="0" borderId="4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76" fillId="0" borderId="5" xfId="0" applyNumberFormat="1" applyFont="1" applyFill="1" applyBorder="1" applyAlignment="1">
      <alignment horizontal="left" vertical="center" wrapText="1" shrinkToFit="1"/>
    </xf>
    <xf numFmtId="0" fontId="0" fillId="0" borderId="39" xfId="0" applyFill="1" applyBorder="1" applyAlignment="1">
      <alignment horizontal="left" vertical="center" wrapText="1" shrinkToFit="1"/>
    </xf>
    <xf numFmtId="49" fontId="75" fillId="23" borderId="53" xfId="0" applyNumberFormat="1" applyFont="1" applyFill="1" applyBorder="1" applyAlignment="1">
      <alignment horizontal="center" vertical="center" wrapText="1" shrinkToFit="1"/>
    </xf>
    <xf numFmtId="49" fontId="75" fillId="23" borderId="82" xfId="0" applyNumberFormat="1" applyFont="1" applyFill="1" applyBorder="1" applyAlignment="1">
      <alignment horizontal="center" vertical="center" wrapText="1" shrinkToFit="1"/>
    </xf>
    <xf numFmtId="49" fontId="75" fillId="23" borderId="41" xfId="0" applyNumberFormat="1" applyFont="1" applyFill="1" applyBorder="1" applyAlignment="1">
      <alignment horizontal="center" vertical="center" wrapText="1" shrinkToFit="1"/>
    </xf>
    <xf numFmtId="49" fontId="39" fillId="25" borderId="53" xfId="0" applyNumberFormat="1" applyFont="1" applyFill="1" applyBorder="1" applyAlignment="1">
      <alignment horizontal="center" vertical="center" wrapText="1" shrinkToFit="1"/>
    </xf>
    <xf numFmtId="49" fontId="39" fillId="25" borderId="82" xfId="0" applyNumberFormat="1" applyFont="1" applyFill="1" applyBorder="1" applyAlignment="1">
      <alignment horizontal="center" vertical="center" wrapText="1" shrinkToFit="1"/>
    </xf>
    <xf numFmtId="0" fontId="48" fillId="23" borderId="41" xfId="0" applyFont="1" applyFill="1" applyBorder="1" applyAlignment="1">
      <alignment horizontal="center"/>
    </xf>
    <xf numFmtId="0" fontId="48" fillId="23" borderId="42" xfId="0" applyFont="1" applyFill="1" applyBorder="1" applyAlignment="1">
      <alignment horizontal="center"/>
    </xf>
    <xf numFmtId="0" fontId="48" fillId="23" borderId="43" xfId="0" applyFont="1" applyFill="1" applyBorder="1" applyAlignment="1">
      <alignment horizontal="center"/>
    </xf>
    <xf numFmtId="0" fontId="73" fillId="12" borderId="51" xfId="0" applyFont="1" applyFill="1" applyBorder="1" applyAlignment="1">
      <alignment horizontal="center" vertical="center" wrapText="1" shrinkToFit="1"/>
    </xf>
    <xf numFmtId="0" fontId="73" fillId="12" borderId="19" xfId="0" applyFont="1" applyFill="1" applyBorder="1" applyAlignment="1">
      <alignment horizontal="center" vertical="center" wrapText="1" shrinkToFit="1"/>
    </xf>
    <xf numFmtId="0" fontId="73" fillId="12" borderId="66" xfId="0" applyFont="1" applyFill="1" applyBorder="1" applyAlignment="1">
      <alignment horizontal="center" vertical="center" wrapText="1" shrinkToFit="1"/>
    </xf>
    <xf numFmtId="0" fontId="73" fillId="12" borderId="17" xfId="0" applyFont="1" applyFill="1" applyBorder="1" applyAlignment="1">
      <alignment horizontal="center" vertical="center" wrapText="1" shrinkToFit="1"/>
    </xf>
    <xf numFmtId="0" fontId="73" fillId="12" borderId="61" xfId="0" applyFont="1" applyFill="1" applyBorder="1" applyAlignment="1">
      <alignment horizontal="center" vertical="center" wrapText="1" shrinkToFit="1"/>
    </xf>
    <xf numFmtId="0" fontId="0" fillId="0" borderId="72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49" fontId="93" fillId="0" borderId="5" xfId="0" applyNumberFormat="1" applyFont="1" applyFill="1" applyBorder="1" applyAlignment="1">
      <alignment horizontal="left" vertical="center" wrapText="1" shrinkToFit="1"/>
    </xf>
    <xf numFmtId="0" fontId="93" fillId="0" borderId="39" xfId="0" applyFont="1" applyFill="1" applyBorder="1" applyAlignment="1">
      <alignment horizontal="left" vertical="center" wrapText="1" shrinkToFit="1"/>
    </xf>
    <xf numFmtId="0" fontId="96" fillId="22" borderId="53" xfId="0" applyFont="1" applyFill="1" applyBorder="1" applyAlignment="1">
      <alignment horizontal="center"/>
    </xf>
    <xf numFmtId="0" fontId="96" fillId="22" borderId="82" xfId="0" applyFont="1" applyFill="1" applyBorder="1" applyAlignment="1">
      <alignment horizontal="center"/>
    </xf>
    <xf numFmtId="0" fontId="92" fillId="0" borderId="0" xfId="0" applyFont="1" applyAlignment="1">
      <alignment horizontal="center"/>
    </xf>
    <xf numFmtId="0" fontId="95" fillId="26" borderId="67" xfId="0" applyFont="1" applyFill="1" applyBorder="1" applyAlignment="1">
      <alignment horizontal="center"/>
    </xf>
    <xf numFmtId="0" fontId="95" fillId="26" borderId="74" xfId="0" applyFont="1" applyFill="1" applyBorder="1" applyAlignment="1">
      <alignment horizontal="center"/>
    </xf>
    <xf numFmtId="0" fontId="95" fillId="26" borderId="86" xfId="0" applyFont="1" applyFill="1" applyBorder="1" applyAlignment="1">
      <alignment horizontal="center"/>
    </xf>
    <xf numFmtId="0" fontId="96" fillId="20" borderId="2" xfId="0" applyFont="1" applyFill="1" applyBorder="1" applyAlignment="1">
      <alignment horizontal="center" vertical="center" wrapText="1" shrinkToFit="1"/>
    </xf>
    <xf numFmtId="0" fontId="96" fillId="20" borderId="19" xfId="0" applyFont="1" applyFill="1" applyBorder="1" applyAlignment="1">
      <alignment horizontal="center" vertical="center" wrapText="1" shrinkToFit="1"/>
    </xf>
    <xf numFmtId="0" fontId="96" fillId="20" borderId="1" xfId="0" applyFont="1" applyFill="1" applyBorder="1" applyAlignment="1">
      <alignment horizontal="center" vertical="center" wrapText="1" shrinkToFit="1"/>
    </xf>
    <xf numFmtId="0" fontId="96" fillId="20" borderId="17" xfId="0" applyFont="1" applyFill="1" applyBorder="1" applyAlignment="1">
      <alignment horizontal="center" vertical="center" wrapText="1" shrinkToFit="1"/>
    </xf>
    <xf numFmtId="0" fontId="96" fillId="20" borderId="24" xfId="0" applyFont="1" applyFill="1" applyBorder="1" applyAlignment="1">
      <alignment horizontal="center" vertical="center" wrapText="1" shrinkToFit="1"/>
    </xf>
    <xf numFmtId="49" fontId="98" fillId="23" borderId="53" xfId="0" applyNumberFormat="1" applyFont="1" applyFill="1" applyBorder="1" applyAlignment="1">
      <alignment horizontal="center" vertical="center" wrapText="1" shrinkToFit="1"/>
    </xf>
    <xf numFmtId="49" fontId="98" fillId="23" borderId="82" xfId="0" applyNumberFormat="1" applyFont="1" applyFill="1" applyBorder="1" applyAlignment="1">
      <alignment horizontal="center" vertical="center" wrapText="1" shrinkToFit="1"/>
    </xf>
    <xf numFmtId="49" fontId="98" fillId="23" borderId="41" xfId="0" applyNumberFormat="1" applyFont="1" applyFill="1" applyBorder="1" applyAlignment="1">
      <alignment horizontal="center" vertical="center" wrapText="1" shrinkToFit="1"/>
    </xf>
    <xf numFmtId="49" fontId="95" fillId="25" borderId="53" xfId="0" applyNumberFormat="1" applyFont="1" applyFill="1" applyBorder="1" applyAlignment="1">
      <alignment horizontal="center" vertical="center" wrapText="1" shrinkToFit="1"/>
    </xf>
    <xf numFmtId="49" fontId="95" fillId="25" borderId="82" xfId="0" applyNumberFormat="1" applyFont="1" applyFill="1" applyBorder="1" applyAlignment="1">
      <alignment horizontal="center" vertical="center" wrapText="1" shrinkToFit="1"/>
    </xf>
    <xf numFmtId="0" fontId="95" fillId="23" borderId="41" xfId="0" applyFont="1" applyFill="1" applyBorder="1" applyAlignment="1">
      <alignment horizontal="center"/>
    </xf>
    <xf numFmtId="0" fontId="95" fillId="23" borderId="42" xfId="0" applyFont="1" applyFill="1" applyBorder="1" applyAlignment="1">
      <alignment horizontal="center"/>
    </xf>
    <xf numFmtId="0" fontId="95" fillId="23" borderId="43" xfId="0" applyFont="1" applyFill="1" applyBorder="1" applyAlignment="1">
      <alignment horizontal="center"/>
    </xf>
    <xf numFmtId="0" fontId="95" fillId="12" borderId="51" xfId="0" applyFont="1" applyFill="1" applyBorder="1" applyAlignment="1">
      <alignment horizontal="center" vertical="center" wrapText="1" shrinkToFit="1"/>
    </xf>
    <xf numFmtId="0" fontId="95" fillId="12" borderId="19" xfId="0" applyFont="1" applyFill="1" applyBorder="1" applyAlignment="1">
      <alignment horizontal="center" vertical="center" wrapText="1" shrinkToFit="1"/>
    </xf>
    <xf numFmtId="0" fontId="95" fillId="12" borderId="66" xfId="0" applyFont="1" applyFill="1" applyBorder="1" applyAlignment="1">
      <alignment horizontal="center" vertical="center" wrapText="1" shrinkToFit="1"/>
    </xf>
    <xf numFmtId="0" fontId="95" fillId="12" borderId="17" xfId="0" applyFont="1" applyFill="1" applyBorder="1" applyAlignment="1">
      <alignment horizontal="center" vertical="center" wrapText="1" shrinkToFit="1"/>
    </xf>
    <xf numFmtId="0" fontId="95" fillId="12" borderId="61" xfId="0" applyFont="1" applyFill="1" applyBorder="1" applyAlignment="1">
      <alignment horizontal="center" vertical="center" wrapText="1" shrinkToFit="1"/>
    </xf>
    <xf numFmtId="0" fontId="95" fillId="26" borderId="0" xfId="0" applyFont="1" applyFill="1" applyAlignment="1">
      <alignment horizontal="center"/>
    </xf>
    <xf numFmtId="0" fontId="96" fillId="20" borderId="51" xfId="0" applyFont="1" applyFill="1" applyBorder="1" applyAlignment="1">
      <alignment horizontal="center" vertical="center" wrapText="1" shrinkToFit="1"/>
    </xf>
    <xf numFmtId="0" fontId="96" fillId="20" borderId="66" xfId="0" applyFont="1" applyFill="1" applyBorder="1" applyAlignment="1">
      <alignment horizontal="center" vertical="center" wrapText="1" shrinkToFit="1"/>
    </xf>
    <xf numFmtId="0" fontId="96" fillId="20" borderId="61" xfId="0" applyFont="1" applyFill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horizontal="right"/>
    </xf>
    <xf numFmtId="0" fontId="31" fillId="0" borderId="0" xfId="0" applyFont="1" applyAlignment="1">
      <alignment horizontal="center" vertical="top" wrapText="1"/>
    </xf>
    <xf numFmtId="0" fontId="10" fillId="7" borderId="53" xfId="0" applyFont="1" applyFill="1" applyBorder="1" applyAlignment="1">
      <alignment horizontal="center" vertical="center"/>
    </xf>
    <xf numFmtId="0" fontId="10" fillId="7" borderId="54" xfId="0" applyFont="1" applyFill="1" applyBorder="1" applyAlignment="1">
      <alignment horizontal="center" vertical="center"/>
    </xf>
    <xf numFmtId="0" fontId="10" fillId="7" borderId="44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20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 vertical="center"/>
    </xf>
    <xf numFmtId="3" fontId="46" fillId="0" borderId="0" xfId="0" applyNumberFormat="1" applyFont="1" applyBorder="1" applyAlignment="1">
      <alignment horizontal="right"/>
    </xf>
    <xf numFmtId="0" fontId="47" fillId="0" borderId="0" xfId="0" applyFont="1" applyBorder="1" applyAlignment="1"/>
    <xf numFmtId="0" fontId="53" fillId="0" borderId="27" xfId="0" applyFont="1" applyBorder="1" applyAlignment="1"/>
    <xf numFmtId="0" fontId="0" fillId="0" borderId="0" xfId="0" applyBorder="1" applyAlignment="1"/>
    <xf numFmtId="0" fontId="0" fillId="0" borderId="35" xfId="0" applyBorder="1" applyAlignment="1"/>
    <xf numFmtId="0" fontId="0" fillId="0" borderId="69" xfId="0" applyBorder="1" applyAlignment="1"/>
    <xf numFmtId="0" fontId="0" fillId="0" borderId="50" xfId="0" applyBorder="1" applyAlignment="1"/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53" fillId="0" borderId="75" xfId="0" applyNumberFormat="1" applyFont="1" applyFill="1" applyBorder="1" applyAlignment="1" applyProtection="1">
      <alignment horizontal="left" vertical="center" wrapText="1" shrinkToFit="1"/>
    </xf>
    <xf numFmtId="0" fontId="0" fillId="0" borderId="72" xfId="0" applyBorder="1" applyAlignment="1">
      <alignment vertical="center" wrapText="1" shrinkToFit="1"/>
    </xf>
    <xf numFmtId="0" fontId="0" fillId="0" borderId="76" xfId="0" applyBorder="1" applyAlignment="1">
      <alignment vertical="center" wrapText="1" shrinkToFit="1"/>
    </xf>
    <xf numFmtId="49" fontId="53" fillId="0" borderId="27" xfId="0" applyNumberFormat="1" applyFont="1" applyFill="1" applyBorder="1" applyAlignment="1" applyProtection="1">
      <alignment vertical="center" wrapText="1" shrinkToFit="1"/>
    </xf>
    <xf numFmtId="0" fontId="0" fillId="0" borderId="0" xfId="0" applyBorder="1" applyAlignment="1">
      <alignment vertical="center" wrapText="1" shrinkToFit="1"/>
    </xf>
    <xf numFmtId="0" fontId="0" fillId="0" borderId="35" xfId="0" applyBorder="1" applyAlignment="1">
      <alignment vertical="center" wrapText="1" shrinkToFit="1"/>
    </xf>
    <xf numFmtId="0" fontId="0" fillId="0" borderId="70" xfId="0" applyBorder="1" applyAlignment="1">
      <alignment vertical="center" wrapText="1" shrinkToFit="1"/>
    </xf>
    <xf numFmtId="0" fontId="0" fillId="0" borderId="59" xfId="0" applyBorder="1" applyAlignment="1">
      <alignment vertical="center" wrapText="1" shrinkToFit="1"/>
    </xf>
    <xf numFmtId="0" fontId="8" fillId="0" borderId="0" xfId="0" applyFont="1" applyAlignment="1">
      <alignment horizontal="center"/>
    </xf>
    <xf numFmtId="3" fontId="15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14" fontId="31" fillId="0" borderId="0" xfId="0" applyNumberFormat="1" applyFont="1" applyAlignment="1">
      <alignment horizontal="center" vertical="top" wrapText="1"/>
    </xf>
    <xf numFmtId="0" fontId="39" fillId="7" borderId="47" xfId="0" applyFont="1" applyFill="1" applyBorder="1" applyAlignment="1">
      <alignment horizontal="left" wrapText="1"/>
    </xf>
    <xf numFmtId="0" fontId="18" fillId="7" borderId="79" xfId="0" applyFont="1" applyFill="1" applyBorder="1" applyAlignment="1">
      <alignment horizontal="left" wrapText="1"/>
    </xf>
    <xf numFmtId="0" fontId="31" fillId="0" borderId="0" xfId="0" applyFont="1" applyFill="1" applyBorder="1" applyAlignment="1">
      <alignment horizontal="right" vertical="top" wrapText="1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7" fillId="7" borderId="55" xfId="0" applyFont="1" applyFill="1" applyBorder="1" applyAlignment="1">
      <alignment horizontal="center" wrapText="1"/>
    </xf>
    <xf numFmtId="14" fontId="31" fillId="0" borderId="0" xfId="0" applyNumberFormat="1" applyFont="1" applyFill="1" applyBorder="1" applyAlignment="1">
      <alignment horizontal="center" vertical="top" wrapText="1"/>
    </xf>
    <xf numFmtId="0" fontId="31" fillId="0" borderId="0" xfId="0" applyFont="1" applyFill="1" applyBorder="1" applyAlignment="1">
      <alignment horizontal="center" vertical="top" wrapText="1"/>
    </xf>
    <xf numFmtId="3" fontId="47" fillId="0" borderId="13" xfId="0" applyNumberFormat="1" applyFont="1" applyBorder="1" applyAlignment="1">
      <alignment horizontal="center"/>
    </xf>
    <xf numFmtId="0" fontId="47" fillId="0" borderId="13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8" fillId="0" borderId="39" xfId="0" applyFont="1" applyFill="1" applyBorder="1" applyAlignment="1">
      <alignment horizontal="left"/>
    </xf>
    <xf numFmtId="0" fontId="28" fillId="0" borderId="57" xfId="0" applyFont="1" applyFill="1" applyBorder="1" applyAlignment="1">
      <alignment horizontal="left"/>
    </xf>
    <xf numFmtId="0" fontId="28" fillId="0" borderId="38" xfId="0" applyFont="1" applyFill="1" applyBorder="1" applyAlignment="1">
      <alignment horizontal="left"/>
    </xf>
    <xf numFmtId="0" fontId="28" fillId="7" borderId="53" xfId="0" applyFont="1" applyFill="1" applyBorder="1" applyAlignment="1">
      <alignment horizontal="left"/>
    </xf>
    <xf numFmtId="0" fontId="28" fillId="7" borderId="82" xfId="0" applyFont="1" applyFill="1" applyBorder="1" applyAlignment="1">
      <alignment horizontal="left"/>
    </xf>
    <xf numFmtId="0" fontId="28" fillId="7" borderId="83" xfId="0" applyFont="1" applyFill="1" applyBorder="1" applyAlignment="1">
      <alignment horizontal="left"/>
    </xf>
    <xf numFmtId="0" fontId="60" fillId="4" borderId="75" xfId="0" applyFont="1" applyFill="1" applyBorder="1" applyAlignment="1" applyProtection="1">
      <alignment horizontal="left" vertical="center" wrapText="1"/>
      <protection locked="0"/>
    </xf>
    <xf numFmtId="0" fontId="60" fillId="4" borderId="27" xfId="0" applyFont="1" applyFill="1" applyBorder="1" applyAlignment="1" applyProtection="1">
      <alignment horizontal="left" vertical="center" wrapText="1"/>
      <protection locked="0"/>
    </xf>
    <xf numFmtId="0" fontId="48" fillId="0" borderId="0" xfId="0" applyFont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8" fillId="5" borderId="67" xfId="0" applyFont="1" applyFill="1" applyBorder="1" applyAlignment="1">
      <alignment horizontal="center" vertical="center"/>
    </xf>
    <xf numFmtId="0" fontId="28" fillId="5" borderId="55" xfId="0" applyFont="1" applyFill="1" applyBorder="1" applyAlignment="1">
      <alignment horizontal="center"/>
    </xf>
    <xf numFmtId="0" fontId="28" fillId="5" borderId="72" xfId="0" applyFont="1" applyFill="1" applyBorder="1" applyAlignment="1">
      <alignment horizontal="center"/>
    </xf>
    <xf numFmtId="0" fontId="28" fillId="0" borderId="51" xfId="0" applyFont="1" applyFill="1" applyBorder="1" applyAlignment="1">
      <alignment horizontal="left"/>
    </xf>
    <xf numFmtId="0" fontId="28" fillId="0" borderId="66" xfId="0" applyFont="1" applyFill="1" applyBorder="1" applyAlignment="1">
      <alignment horizontal="left"/>
    </xf>
    <xf numFmtId="0" fontId="28" fillId="0" borderId="52" xfId="0" applyFont="1" applyFill="1" applyBorder="1" applyAlignment="1">
      <alignment horizontal="left"/>
    </xf>
    <xf numFmtId="0" fontId="28" fillId="0" borderId="2" xfId="0" applyFont="1" applyFill="1" applyBorder="1" applyAlignment="1">
      <alignment horizontal="left"/>
    </xf>
    <xf numFmtId="0" fontId="28" fillId="0" borderId="1" xfId="0" applyFont="1" applyFill="1" applyBorder="1" applyAlignment="1">
      <alignment horizontal="left"/>
    </xf>
    <xf numFmtId="0" fontId="28" fillId="0" borderId="4" xfId="0" applyFont="1" applyFill="1" applyBorder="1" applyAlignment="1">
      <alignment horizontal="left"/>
    </xf>
    <xf numFmtId="0" fontId="60" fillId="4" borderId="33" xfId="0" applyFont="1" applyFill="1" applyBorder="1" applyAlignment="1" applyProtection="1">
      <alignment horizontal="left" vertical="center" wrapText="1"/>
      <protection locked="0"/>
    </xf>
    <xf numFmtId="0" fontId="28" fillId="5" borderId="45" xfId="0" applyFont="1" applyFill="1" applyBorder="1" applyAlignment="1">
      <alignment horizontal="left"/>
    </xf>
    <xf numFmtId="0" fontId="49" fillId="0" borderId="0" xfId="0" applyFont="1" applyFill="1" applyBorder="1" applyAlignment="1"/>
    <xf numFmtId="0" fontId="32" fillId="0" borderId="0" xfId="0" applyFont="1" applyFill="1" applyBorder="1" applyAlignment="1"/>
    <xf numFmtId="0" fontId="46" fillId="0" borderId="13" xfId="0" applyFont="1" applyBorder="1" applyAlignment="1">
      <alignment horizontal="right"/>
    </xf>
    <xf numFmtId="0" fontId="47" fillId="0" borderId="13" xfId="0" applyFont="1" applyBorder="1" applyAlignment="1">
      <alignment horizontal="right"/>
    </xf>
    <xf numFmtId="0" fontId="32" fillId="0" borderId="0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/>
    </xf>
    <xf numFmtId="3" fontId="24" fillId="0" borderId="0" xfId="0" applyNumberFormat="1" applyFont="1" applyBorder="1" applyAlignment="1">
      <alignment horizontal="center"/>
    </xf>
    <xf numFmtId="3" fontId="61" fillId="0" borderId="11" xfId="0" applyNumberFormat="1" applyFont="1" applyBorder="1" applyAlignment="1"/>
    <xf numFmtId="0" fontId="0" fillId="0" borderId="9" xfId="0" applyBorder="1" applyAlignment="1"/>
    <xf numFmtId="0" fontId="18" fillId="0" borderId="0" xfId="0" applyFont="1" applyAlignment="1">
      <alignment horizontal="center"/>
    </xf>
    <xf numFmtId="0" fontId="28" fillId="8" borderId="73" xfId="7" applyFont="1" applyFill="1" applyBorder="1" applyAlignment="1">
      <alignment horizontal="center" vertical="center" wrapText="1"/>
    </xf>
    <xf numFmtId="0" fontId="28" fillId="8" borderId="83" xfId="7" applyFont="1" applyFill="1" applyBorder="1" applyAlignment="1">
      <alignment horizontal="center" vertical="center" wrapText="1"/>
    </xf>
    <xf numFmtId="0" fontId="18" fillId="0" borderId="0" xfId="7" applyFont="1" applyBorder="1" applyAlignment="1">
      <alignment horizontal="center"/>
    </xf>
    <xf numFmtId="0" fontId="12" fillId="0" borderId="0" xfId="7" applyFont="1" applyBorder="1" applyAlignment="1">
      <alignment horizontal="center"/>
    </xf>
    <xf numFmtId="0" fontId="0" fillId="0" borderId="0" xfId="7" applyFont="1" applyBorder="1" applyAlignment="1">
      <alignment horizontal="center"/>
    </xf>
    <xf numFmtId="0" fontId="1" fillId="0" borderId="0" xfId="7" applyFont="1" applyBorder="1" applyAlignment="1">
      <alignment horizontal="center"/>
    </xf>
    <xf numFmtId="0" fontId="47" fillId="0" borderId="0" xfId="7" applyFont="1" applyBorder="1" applyAlignment="1">
      <alignment horizontal="right"/>
    </xf>
    <xf numFmtId="0" fontId="28" fillId="8" borderId="53" xfId="7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49" fillId="0" borderId="13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49" fontId="66" fillId="11" borderId="59" xfId="4" applyNumberFormat="1" applyFont="1" applyFill="1" applyBorder="1" applyAlignment="1" applyProtection="1">
      <alignment horizontal="center" vertical="center"/>
    </xf>
    <xf numFmtId="0" fontId="65" fillId="10" borderId="30" xfId="0" applyFont="1" applyFill="1" applyBorder="1"/>
    <xf numFmtId="0" fontId="65" fillId="10" borderId="31" xfId="0" applyFont="1" applyFill="1" applyBorder="1"/>
    <xf numFmtId="3" fontId="65" fillId="11" borderId="68" xfId="0" applyNumberFormat="1" applyFont="1" applyFill="1" applyBorder="1"/>
    <xf numFmtId="0" fontId="10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0" fontId="65" fillId="10" borderId="58" xfId="0" applyFont="1" applyFill="1" applyBorder="1" applyAlignment="1">
      <alignment horizontal="center" vertical="center"/>
    </xf>
    <xf numFmtId="0" fontId="65" fillId="11" borderId="45" xfId="0" applyFont="1" applyFill="1" applyBorder="1" applyAlignment="1">
      <alignment horizontal="center" vertical="center"/>
    </xf>
    <xf numFmtId="1" fontId="19" fillId="7" borderId="28" xfId="4" applyNumberFormat="1" applyFont="1" applyFill="1" applyBorder="1" applyAlignment="1" applyProtection="1">
      <alignment horizontal="center" vertical="center"/>
      <protection locked="0"/>
    </xf>
    <xf numFmtId="0" fontId="22" fillId="7" borderId="85" xfId="0" applyFont="1" applyFill="1" applyBorder="1" applyAlignment="1">
      <alignment horizontal="center" vertical="center"/>
    </xf>
    <xf numFmtId="49" fontId="39" fillId="7" borderId="81" xfId="0" applyNumberFormat="1" applyFont="1" applyFill="1" applyBorder="1"/>
    <xf numFmtId="49" fontId="103" fillId="7" borderId="73" xfId="0" applyNumberFormat="1" applyFont="1" applyFill="1" applyBorder="1"/>
    <xf numFmtId="3" fontId="39" fillId="7" borderId="81" xfId="0" applyNumberFormat="1" applyFont="1" applyFill="1" applyBorder="1"/>
    <xf numFmtId="0" fontId="103" fillId="7" borderId="73" xfId="0" applyFont="1" applyFill="1" applyBorder="1"/>
    <xf numFmtId="0" fontId="1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9" fillId="0" borderId="0" xfId="0" applyFont="1" applyAlignment="1">
      <alignment horizontal="center"/>
    </xf>
    <xf numFmtId="0" fontId="69" fillId="7" borderId="75" xfId="0" applyFont="1" applyFill="1" applyBorder="1" applyAlignment="1">
      <alignment horizontal="center" vertical="center"/>
    </xf>
    <xf numFmtId="0" fontId="0" fillId="7" borderId="72" xfId="0" applyFill="1" applyBorder="1"/>
    <xf numFmtId="0" fontId="0" fillId="7" borderId="72" xfId="0" applyFill="1" applyBorder="1" applyAlignment="1">
      <alignment horizontal="center" vertical="center"/>
    </xf>
    <xf numFmtId="0" fontId="0" fillId="7" borderId="76" xfId="0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95" fillId="7" borderId="19" xfId="0" applyFont="1" applyFill="1" applyBorder="1" applyAlignment="1">
      <alignment horizontal="center" vertical="center" wrapText="1"/>
    </xf>
    <xf numFmtId="0" fontId="95" fillId="7" borderId="17" xfId="0" applyFont="1" applyFill="1" applyBorder="1" applyAlignment="1">
      <alignment horizontal="center" vertical="center" wrapText="1"/>
    </xf>
    <xf numFmtId="1" fontId="95" fillId="7" borderId="28" xfId="4" applyNumberFormat="1" applyFont="1" applyFill="1" applyBorder="1" applyAlignment="1" applyProtection="1">
      <alignment horizontal="center" vertical="center" wrapText="1"/>
      <protection locked="0"/>
    </xf>
    <xf numFmtId="0" fontId="95" fillId="7" borderId="85" xfId="0" applyFont="1" applyFill="1" applyBorder="1" applyAlignment="1">
      <alignment horizontal="center" vertical="center" wrapText="1"/>
    </xf>
    <xf numFmtId="49" fontId="95" fillId="7" borderId="81" xfId="0" applyNumberFormat="1" applyFont="1" applyFill="1" applyBorder="1"/>
    <xf numFmtId="49" fontId="97" fillId="7" borderId="73" xfId="0" applyNumberFormat="1" applyFont="1" applyFill="1" applyBorder="1"/>
    <xf numFmtId="3" fontId="95" fillId="7" borderId="81" xfId="0" applyNumberFormat="1" applyFont="1" applyFill="1" applyBorder="1"/>
    <xf numFmtId="0" fontId="97" fillId="7" borderId="73" xfId="0" applyFont="1" applyFill="1" applyBorder="1"/>
    <xf numFmtId="0" fontId="95" fillId="0" borderId="0" xfId="0" applyFont="1" applyAlignment="1">
      <alignment horizontal="center"/>
    </xf>
    <xf numFmtId="0" fontId="95" fillId="7" borderId="75" xfId="0" applyFont="1" applyFill="1" applyBorder="1" applyAlignment="1">
      <alignment horizontal="center" vertical="center"/>
    </xf>
    <xf numFmtId="0" fontId="97" fillId="7" borderId="72" xfId="0" applyFont="1" applyFill="1" applyBorder="1"/>
    <xf numFmtId="0" fontId="97" fillId="7" borderId="72" xfId="0" applyFont="1" applyFill="1" applyBorder="1" applyAlignment="1">
      <alignment horizontal="center" vertical="center"/>
    </xf>
    <xf numFmtId="0" fontId="97" fillId="7" borderId="76" xfId="0" applyFont="1" applyFill="1" applyBorder="1" applyAlignment="1">
      <alignment horizontal="center" vertical="center"/>
    </xf>
    <xf numFmtId="0" fontId="95" fillId="7" borderId="19" xfId="0" applyFont="1" applyFill="1" applyBorder="1" applyAlignment="1">
      <alignment horizontal="center" vertical="center"/>
    </xf>
    <xf numFmtId="0" fontId="95" fillId="7" borderId="17" xfId="0" applyFont="1" applyFill="1" applyBorder="1" applyAlignment="1">
      <alignment horizontal="center" vertical="center"/>
    </xf>
    <xf numFmtId="0" fontId="105" fillId="0" borderId="0" xfId="0" applyFont="1" applyAlignment="1">
      <alignment horizontal="center"/>
    </xf>
  </cellXfs>
  <cellStyles count="8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  <cellStyle name="Normál 5" xfId="7" xr:uid="{B7E691BC-8ACF-4CDA-B543-B59FCB236DC6}"/>
    <cellStyle name="Pénznem" xfId="6" builtinId="4"/>
    <cellStyle name="Százalék" xfId="4" builtinId="5"/>
    <cellStyle name="TableStyleLight1" xfId="5" xr:uid="{00000000-0005-0000-0000-000006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Zsuzska/2019.%20&#233;vi%20k&#246;lts&#233;gvet&#233;si%20besz&#225;mol&#243;/2019.&#233;vi%20besz&#225;mol&#243;%20Piliscs&#233;v/2019.%20&#233;vi%20besz&#225;mol&#243;%20Pcs&#233;v%20&#214;nkorm/2019.%20&#233;vi%20z&#225;rsz&#225;mad&#225;si%20rendelet%20Pcs&#233;v/2019.%20teljes&#237;t&#233;si%20adatok%20-%20&#214;nkorm&#225;nyzat%20Piliscs&#233;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Zsuzska/2019.%20&#233;vi%20k&#246;lts&#233;gvet&#233;si%20besz&#225;mol&#243;/2019.&#233;vi%20besz&#225;mol&#243;%20Piliscs&#233;v/2019.%20&#233;vi%20besz&#225;mol&#243;%20Pcs&#233;v%20K&#246;z&#246;s%20Hivatal/2019.%20teljes&#237;t&#233;si%20adatok%20-%20K&#246;z&#246;s%20Hivat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Zsuzska/2019.%20&#233;vi%20k&#246;lts&#233;gvet&#233;si%20besz&#225;mol&#243;/2019.&#233;vi%20besz&#225;mol&#243;%20Piliscs&#233;v/2019.%20&#233;vi%20besz&#225;mol&#243;%20Pcs&#233;v%20Aranykapu%20&#211;voda/2019.teljes&#237;t&#233;si%20adatok%20-%20&#211;voda-B&#246;lcsi%20Pcs&#233;v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Zsuzska/2019.%20&#233;vi%20k&#246;lts&#233;gvet&#233;si%20besz&#225;mol&#243;/2019.&#233;vi%20besz&#225;mol&#243;%20Piliscs&#233;v/2019.%20&#233;vi%20besz&#225;mol&#243;%20Pcs&#233;v%20M&#369;v.H&#225;z/2019.teljes&#237;t&#233;si%20adatok%20-%20M&#369;v.H&#225;z%20Pcs&#233;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(önkormányzat 2019)"/>
      <sheetName val="Bevételek(önkormányzat 2019"/>
      <sheetName val="Bevételek COFOG szerint 2019"/>
      <sheetName val="Kiadások(önkormányzat 2019)"/>
      <sheetName val="Kiadások COFOG szerint"/>
      <sheetName val="Kiadások részletes COFOG"/>
      <sheetName val="Kiadások COFOG összesítő"/>
    </sheetNames>
    <sheetDataSet>
      <sheetData sheetId="0"/>
      <sheetData sheetId="1">
        <row r="14">
          <cell r="G14">
            <v>167582822</v>
          </cell>
        </row>
        <row r="17">
          <cell r="G17">
            <v>43698064</v>
          </cell>
        </row>
        <row r="19">
          <cell r="G19">
            <v>6179997</v>
          </cell>
        </row>
        <row r="29">
          <cell r="G29">
            <v>109921569</v>
          </cell>
        </row>
        <row r="40">
          <cell r="G40">
            <v>26227672</v>
          </cell>
        </row>
        <row r="41">
          <cell r="G41">
            <v>49827200</v>
          </cell>
        </row>
        <row r="43">
          <cell r="G43">
            <v>376630</v>
          </cell>
        </row>
        <row r="44">
          <cell r="G44">
            <v>220020</v>
          </cell>
        </row>
        <row r="45">
          <cell r="G45">
            <v>0</v>
          </cell>
        </row>
        <row r="46">
          <cell r="G46">
            <v>118000</v>
          </cell>
        </row>
        <row r="47">
          <cell r="G47">
            <v>48529410</v>
          </cell>
        </row>
        <row r="49">
          <cell r="G49">
            <v>112562520</v>
          </cell>
        </row>
        <row r="50">
          <cell r="G50">
            <v>6721874</v>
          </cell>
        </row>
      </sheetData>
      <sheetData sheetId="2">
        <row r="10">
          <cell r="G10">
            <v>0</v>
          </cell>
        </row>
        <row r="11">
          <cell r="G11">
            <v>273099</v>
          </cell>
        </row>
        <row r="15">
          <cell r="G15">
            <v>80000</v>
          </cell>
        </row>
        <row r="16">
          <cell r="G16">
            <v>184620</v>
          </cell>
        </row>
        <row r="17">
          <cell r="G17">
            <v>454349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9894</v>
          </cell>
        </row>
        <row r="24">
          <cell r="G24">
            <v>49827200</v>
          </cell>
        </row>
        <row r="31">
          <cell r="G31">
            <v>376630</v>
          </cell>
        </row>
        <row r="33">
          <cell r="G33">
            <v>220020</v>
          </cell>
        </row>
        <row r="38">
          <cell r="G38">
            <v>925000</v>
          </cell>
        </row>
        <row r="39">
          <cell r="G39">
            <v>1440000</v>
          </cell>
        </row>
        <row r="44">
          <cell r="G44">
            <v>70984882</v>
          </cell>
        </row>
        <row r="53">
          <cell r="G53">
            <v>43649634</v>
          </cell>
        </row>
        <row r="54">
          <cell r="G54">
            <v>1689000</v>
          </cell>
        </row>
        <row r="55">
          <cell r="G55">
            <v>36120986</v>
          </cell>
        </row>
        <row r="63">
          <cell r="G63">
            <v>3119740</v>
          </cell>
        </row>
        <row r="64">
          <cell r="G64">
            <v>368329</v>
          </cell>
        </row>
        <row r="65">
          <cell r="G65">
            <v>9507600</v>
          </cell>
        </row>
        <row r="66">
          <cell r="G66">
            <v>1813560</v>
          </cell>
        </row>
        <row r="68">
          <cell r="G68">
            <v>329091</v>
          </cell>
        </row>
        <row r="69">
          <cell r="G69">
            <v>1828592</v>
          </cell>
        </row>
        <row r="70">
          <cell r="G70">
            <v>118000</v>
          </cell>
        </row>
        <row r="71">
          <cell r="G71">
            <v>6721874</v>
          </cell>
        </row>
        <row r="77">
          <cell r="G77">
            <v>112562520</v>
          </cell>
        </row>
        <row r="82">
          <cell r="G82">
            <v>2832436</v>
          </cell>
        </row>
        <row r="87">
          <cell r="G87">
            <v>1308017</v>
          </cell>
        </row>
        <row r="93">
          <cell r="G93">
            <v>48529410</v>
          </cell>
        </row>
        <row r="97">
          <cell r="G97">
            <v>14407420</v>
          </cell>
        </row>
        <row r="98">
          <cell r="G98">
            <v>3890004</v>
          </cell>
        </row>
        <row r="104">
          <cell r="G104">
            <v>30285270</v>
          </cell>
        </row>
        <row r="108">
          <cell r="G108">
            <v>1382550</v>
          </cell>
        </row>
        <row r="113">
          <cell r="G113">
            <v>5788100</v>
          </cell>
        </row>
        <row r="118">
          <cell r="G118">
            <v>6179997</v>
          </cell>
        </row>
        <row r="123">
          <cell r="G123">
            <v>3289893</v>
          </cell>
        </row>
        <row r="124">
          <cell r="G124">
            <v>888268</v>
          </cell>
        </row>
        <row r="129">
          <cell r="G129">
            <v>238820</v>
          </cell>
        </row>
        <row r="130">
          <cell r="G130">
            <v>64476</v>
          </cell>
        </row>
        <row r="135">
          <cell r="G135">
            <v>279470</v>
          </cell>
        </row>
        <row r="136">
          <cell r="G136">
            <v>75458</v>
          </cell>
        </row>
        <row r="141">
          <cell r="G141">
            <v>6225338</v>
          </cell>
        </row>
        <row r="142">
          <cell r="G142">
            <v>95466888</v>
          </cell>
        </row>
        <row r="143">
          <cell r="G143">
            <v>7428585</v>
          </cell>
        </row>
        <row r="144">
          <cell r="G144">
            <v>474750</v>
          </cell>
        </row>
        <row r="147">
          <cell r="G147">
            <v>326008</v>
          </cell>
        </row>
        <row r="155">
          <cell r="G155">
            <v>0</v>
          </cell>
        </row>
        <row r="158">
          <cell r="C158">
            <v>425416438</v>
          </cell>
          <cell r="D158">
            <v>616132572</v>
          </cell>
          <cell r="E158">
            <v>-44166794</v>
          </cell>
          <cell r="F158">
            <v>92.831608649315172</v>
          </cell>
          <cell r="G158">
            <v>571965778</v>
          </cell>
        </row>
      </sheetData>
      <sheetData sheetId="3">
        <row r="19">
          <cell r="G19">
            <v>38687297</v>
          </cell>
        </row>
        <row r="22">
          <cell r="G22">
            <v>6333202</v>
          </cell>
        </row>
        <row r="52">
          <cell r="G52">
            <v>67021144</v>
          </cell>
        </row>
        <row r="60">
          <cell r="G60">
            <v>10059167</v>
          </cell>
        </row>
        <row r="66">
          <cell r="G66">
            <v>13040567</v>
          </cell>
        </row>
        <row r="75">
          <cell r="G75">
            <v>162418635</v>
          </cell>
        </row>
        <row r="76">
          <cell r="G76">
            <v>1262706</v>
          </cell>
        </row>
        <row r="77">
          <cell r="G77">
            <v>6042266</v>
          </cell>
        </row>
        <row r="78">
          <cell r="G78">
            <v>145653065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</sheetData>
      <sheetData sheetId="4">
        <row r="10">
          <cell r="G10">
            <v>1556250</v>
          </cell>
        </row>
        <row r="13">
          <cell r="G13">
            <v>0</v>
          </cell>
        </row>
        <row r="14">
          <cell r="G14">
            <v>16233357</v>
          </cell>
        </row>
        <row r="15">
          <cell r="G15">
            <v>1806000</v>
          </cell>
        </row>
        <row r="16">
          <cell r="G16">
            <v>169144</v>
          </cell>
        </row>
        <row r="17">
          <cell r="G17">
            <v>3336570</v>
          </cell>
        </row>
        <row r="18">
          <cell r="G18">
            <v>31735</v>
          </cell>
        </row>
        <row r="19">
          <cell r="G19">
            <v>25200</v>
          </cell>
        </row>
        <row r="20">
          <cell r="G20">
            <v>2488796</v>
          </cell>
        </row>
        <row r="21">
          <cell r="G21">
            <v>1224167</v>
          </cell>
        </row>
        <row r="22">
          <cell r="G22">
            <v>268040</v>
          </cell>
        </row>
        <row r="23">
          <cell r="G23">
            <v>336941</v>
          </cell>
        </row>
        <row r="24">
          <cell r="G24">
            <v>1299031</v>
          </cell>
        </row>
        <row r="25">
          <cell r="G25">
            <v>39441</v>
          </cell>
        </row>
        <row r="26">
          <cell r="G26">
            <v>130800</v>
          </cell>
        </row>
        <row r="27">
          <cell r="G27">
            <v>359877</v>
          </cell>
        </row>
        <row r="28">
          <cell r="G28">
            <v>672705</v>
          </cell>
        </row>
        <row r="29">
          <cell r="G29">
            <v>1755550</v>
          </cell>
        </row>
        <row r="30">
          <cell r="G30">
            <v>5319797</v>
          </cell>
        </row>
        <row r="31">
          <cell r="G31">
            <v>40000</v>
          </cell>
        </row>
        <row r="32">
          <cell r="G32">
            <v>1980629</v>
          </cell>
        </row>
        <row r="33">
          <cell r="G33">
            <v>11968000</v>
          </cell>
        </row>
        <row r="34">
          <cell r="G34">
            <v>1530</v>
          </cell>
        </row>
        <row r="35">
          <cell r="G35">
            <v>251967</v>
          </cell>
        </row>
        <row r="36">
          <cell r="G36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630000</v>
          </cell>
        </row>
        <row r="44">
          <cell r="G44">
            <v>389500</v>
          </cell>
        </row>
        <row r="45">
          <cell r="G45">
            <v>260685</v>
          </cell>
        </row>
        <row r="46">
          <cell r="G46">
            <v>345650</v>
          </cell>
        </row>
        <row r="58">
          <cell r="G58">
            <v>594191</v>
          </cell>
        </row>
        <row r="60">
          <cell r="G60">
            <v>160432</v>
          </cell>
        </row>
        <row r="70">
          <cell r="G70">
            <v>160355</v>
          </cell>
        </row>
        <row r="71">
          <cell r="G71">
            <v>508069</v>
          </cell>
        </row>
        <row r="72">
          <cell r="G72">
            <v>57083</v>
          </cell>
        </row>
        <row r="73">
          <cell r="G73">
            <v>92250</v>
          </cell>
        </row>
        <row r="74">
          <cell r="G74">
            <v>10699</v>
          </cell>
        </row>
        <row r="75">
          <cell r="G75">
            <v>137576</v>
          </cell>
        </row>
        <row r="76">
          <cell r="G76">
            <v>193010</v>
          </cell>
        </row>
        <row r="77">
          <cell r="G77">
            <v>450000</v>
          </cell>
        </row>
        <row r="78">
          <cell r="G78">
            <v>121500</v>
          </cell>
        </row>
        <row r="83">
          <cell r="G83">
            <v>306202</v>
          </cell>
        </row>
        <row r="84">
          <cell r="G84">
            <v>838577</v>
          </cell>
        </row>
        <row r="86">
          <cell r="G86">
            <v>585610</v>
          </cell>
        </row>
        <row r="87">
          <cell r="G87">
            <v>505300</v>
          </cell>
        </row>
        <row r="88">
          <cell r="G88">
            <v>292324</v>
          </cell>
        </row>
        <row r="93">
          <cell r="G93">
            <v>0</v>
          </cell>
        </row>
        <row r="94">
          <cell r="G94">
            <v>6042266</v>
          </cell>
        </row>
        <row r="99">
          <cell r="G99">
            <v>6951530</v>
          </cell>
        </row>
        <row r="100">
          <cell r="G100">
            <v>145653065</v>
          </cell>
        </row>
        <row r="105">
          <cell r="G105">
            <v>2986963</v>
          </cell>
        </row>
        <row r="106">
          <cell r="G106">
            <v>306499</v>
          </cell>
        </row>
        <row r="107">
          <cell r="G107">
            <v>164646</v>
          </cell>
        </row>
        <row r="108">
          <cell r="G108">
            <v>44454</v>
          </cell>
        </row>
        <row r="109">
          <cell r="G109">
            <v>132676</v>
          </cell>
        </row>
        <row r="110">
          <cell r="G110">
            <v>35823</v>
          </cell>
        </row>
        <row r="115">
          <cell r="G115">
            <v>3217716</v>
          </cell>
        </row>
        <row r="116">
          <cell r="G116">
            <v>37096</v>
          </cell>
        </row>
        <row r="117">
          <cell r="G117">
            <v>320971</v>
          </cell>
        </row>
        <row r="118">
          <cell r="G118">
            <v>60604</v>
          </cell>
        </row>
        <row r="119">
          <cell r="G119">
            <v>10963</v>
          </cell>
        </row>
        <row r="124">
          <cell r="G124">
            <v>675621</v>
          </cell>
        </row>
        <row r="125">
          <cell r="G125">
            <v>200000</v>
          </cell>
        </row>
        <row r="126">
          <cell r="G126">
            <v>1683000</v>
          </cell>
        </row>
        <row r="128">
          <cell r="G128">
            <v>690829</v>
          </cell>
        </row>
        <row r="129">
          <cell r="G129">
            <v>6805549</v>
          </cell>
        </row>
        <row r="130">
          <cell r="G130">
            <v>1837499</v>
          </cell>
        </row>
        <row r="137">
          <cell r="G137">
            <v>10819007</v>
          </cell>
        </row>
        <row r="138">
          <cell r="G138">
            <v>2921132</v>
          </cell>
        </row>
        <row r="143">
          <cell r="G143">
            <v>346454</v>
          </cell>
        </row>
        <row r="144">
          <cell r="G144">
            <v>1502312</v>
          </cell>
        </row>
        <row r="145">
          <cell r="G145">
            <v>561063</v>
          </cell>
        </row>
        <row r="146">
          <cell r="G146">
            <v>625656</v>
          </cell>
        </row>
        <row r="151">
          <cell r="G151">
            <v>3300500</v>
          </cell>
        </row>
        <row r="153">
          <cell r="G153">
            <v>12000</v>
          </cell>
        </row>
        <row r="154">
          <cell r="G154">
            <v>140070</v>
          </cell>
        </row>
        <row r="155">
          <cell r="G155">
            <v>5300</v>
          </cell>
        </row>
        <row r="156">
          <cell r="G156">
            <v>749412</v>
          </cell>
        </row>
        <row r="158">
          <cell r="G158">
            <v>2618190</v>
          </cell>
        </row>
        <row r="159">
          <cell r="G159">
            <v>725130</v>
          </cell>
        </row>
        <row r="161">
          <cell r="G161">
            <v>583133</v>
          </cell>
        </row>
        <row r="163">
          <cell r="G163">
            <v>1735953</v>
          </cell>
        </row>
        <row r="165">
          <cell r="G165">
            <v>1223091</v>
          </cell>
        </row>
        <row r="166">
          <cell r="G166">
            <v>57047</v>
          </cell>
        </row>
        <row r="167">
          <cell r="G167">
            <v>130598</v>
          </cell>
        </row>
        <row r="168">
          <cell r="G168">
            <v>35262</v>
          </cell>
        </row>
        <row r="169">
          <cell r="G169">
            <v>116026750</v>
          </cell>
        </row>
        <row r="170">
          <cell r="G170">
            <v>21056220</v>
          </cell>
        </row>
        <row r="171">
          <cell r="G171">
            <v>1262706</v>
          </cell>
        </row>
        <row r="176">
          <cell r="G176">
            <v>4658696</v>
          </cell>
        </row>
        <row r="177">
          <cell r="G177">
            <v>0</v>
          </cell>
        </row>
        <row r="178">
          <cell r="G178">
            <v>24000</v>
          </cell>
        </row>
        <row r="179">
          <cell r="G179">
            <v>0</v>
          </cell>
        </row>
        <row r="180">
          <cell r="G180">
            <v>12000</v>
          </cell>
        </row>
        <row r="181">
          <cell r="G181">
            <v>215607</v>
          </cell>
        </row>
        <row r="182">
          <cell r="G182">
            <v>686560</v>
          </cell>
        </row>
        <row r="183">
          <cell r="G183">
            <v>1030212</v>
          </cell>
        </row>
        <row r="185">
          <cell r="G185">
            <v>37110</v>
          </cell>
        </row>
        <row r="186">
          <cell r="G186">
            <v>178991</v>
          </cell>
        </row>
        <row r="187">
          <cell r="G187">
            <v>85589</v>
          </cell>
        </row>
        <row r="188">
          <cell r="G188">
            <v>137620</v>
          </cell>
        </row>
        <row r="189">
          <cell r="G189">
            <v>0</v>
          </cell>
        </row>
        <row r="190">
          <cell r="G190">
            <v>10000</v>
          </cell>
        </row>
        <row r="191">
          <cell r="G191">
            <v>1880</v>
          </cell>
        </row>
        <row r="192">
          <cell r="G192">
            <v>52385</v>
          </cell>
        </row>
        <row r="193">
          <cell r="G193">
            <v>95216</v>
          </cell>
        </row>
        <row r="194">
          <cell r="G194">
            <v>119843</v>
          </cell>
        </row>
        <row r="195">
          <cell r="G195">
            <v>32357</v>
          </cell>
        </row>
        <row r="196">
          <cell r="G196">
            <v>159477</v>
          </cell>
        </row>
        <row r="197">
          <cell r="G197">
            <v>43059</v>
          </cell>
        </row>
        <row r="202">
          <cell r="G202">
            <v>66600</v>
          </cell>
        </row>
        <row r="208">
          <cell r="G208">
            <v>313270</v>
          </cell>
        </row>
        <row r="209">
          <cell r="G209">
            <v>69308</v>
          </cell>
        </row>
        <row r="211">
          <cell r="G211">
            <v>119667</v>
          </cell>
        </row>
        <row r="212">
          <cell r="G212">
            <v>427555</v>
          </cell>
        </row>
        <row r="213">
          <cell r="G213">
            <v>36396</v>
          </cell>
        </row>
        <row r="214">
          <cell r="G214">
            <v>0</v>
          </cell>
        </row>
        <row r="215">
          <cell r="G215">
            <v>0</v>
          </cell>
        </row>
        <row r="220">
          <cell r="G220">
            <v>6089037</v>
          </cell>
        </row>
        <row r="225">
          <cell r="G225">
            <v>2531407</v>
          </cell>
        </row>
        <row r="226">
          <cell r="G226">
            <v>24000</v>
          </cell>
        </row>
        <row r="227">
          <cell r="G227">
            <v>12000</v>
          </cell>
        </row>
        <row r="228">
          <cell r="G228">
            <v>437892</v>
          </cell>
        </row>
        <row r="229">
          <cell r="G229">
            <v>114568</v>
          </cell>
        </row>
        <row r="230">
          <cell r="G230">
            <v>10456486</v>
          </cell>
        </row>
        <row r="231">
          <cell r="G231">
            <v>22200</v>
          </cell>
        </row>
        <row r="232">
          <cell r="G232">
            <v>1700</v>
          </cell>
        </row>
        <row r="233">
          <cell r="G233">
            <v>2854186</v>
          </cell>
        </row>
        <row r="234">
          <cell r="G234">
            <v>52006</v>
          </cell>
        </row>
        <row r="235">
          <cell r="G235">
            <v>14042</v>
          </cell>
        </row>
        <row r="247">
          <cell r="G247">
            <v>1621254</v>
          </cell>
        </row>
        <row r="248">
          <cell r="G248">
            <v>437740</v>
          </cell>
        </row>
        <row r="253">
          <cell r="G253">
            <v>1011</v>
          </cell>
        </row>
        <row r="254">
          <cell r="G254">
            <v>273</v>
          </cell>
        </row>
        <row r="259">
          <cell r="G259">
            <v>0</v>
          </cell>
        </row>
        <row r="264">
          <cell r="G264">
            <v>413864</v>
          </cell>
        </row>
        <row r="265">
          <cell r="G265">
            <v>25295</v>
          </cell>
        </row>
        <row r="266">
          <cell r="G266">
            <v>50603</v>
          </cell>
        </row>
        <row r="267">
          <cell r="G267">
            <v>0</v>
          </cell>
        </row>
        <row r="273">
          <cell r="G273">
            <v>2757120</v>
          </cell>
        </row>
        <row r="275">
          <cell r="G275">
            <v>752032</v>
          </cell>
        </row>
        <row r="276">
          <cell r="G276">
            <v>947472</v>
          </cell>
        </row>
        <row r="277">
          <cell r="G277">
            <v>111825</v>
          </cell>
        </row>
        <row r="278">
          <cell r="G278">
            <v>5452300</v>
          </cell>
        </row>
        <row r="279">
          <cell r="G279">
            <v>4495042</v>
          </cell>
        </row>
        <row r="283">
          <cell r="C283">
            <v>425416438</v>
          </cell>
          <cell r="D283">
            <v>616132571.92999995</v>
          </cell>
          <cell r="E283">
            <v>165614522.93000001</v>
          </cell>
          <cell r="G283">
            <v>450518049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(Hivatal 2019.)"/>
      <sheetName val="Bevételek(Hivatal 2019)"/>
      <sheetName val="Kiadások(Hivatal 2019)"/>
      <sheetName val="Kiadások COFOG szerint"/>
    </sheetNames>
    <sheetDataSet>
      <sheetData sheetId="0"/>
      <sheetData sheetId="1">
        <row r="8">
          <cell r="G8">
            <v>816868</v>
          </cell>
        </row>
        <row r="10">
          <cell r="G10">
            <v>59390800</v>
          </cell>
        </row>
        <row r="11">
          <cell r="G11">
            <v>9507600</v>
          </cell>
        </row>
        <row r="12">
          <cell r="G12">
            <v>3500000</v>
          </cell>
        </row>
        <row r="17">
          <cell r="G17">
            <v>3500000</v>
          </cell>
        </row>
        <row r="18">
          <cell r="G18">
            <v>97549</v>
          </cell>
        </row>
        <row r="19">
          <cell r="G19">
            <v>3838</v>
          </cell>
        </row>
        <row r="24">
          <cell r="G24">
            <v>3126192</v>
          </cell>
        </row>
      </sheetData>
      <sheetData sheetId="2">
        <row r="21">
          <cell r="G21">
            <v>63607914</v>
          </cell>
        </row>
        <row r="24">
          <cell r="G24">
            <v>11992343</v>
          </cell>
        </row>
        <row r="34">
          <cell r="G34">
            <v>3253390</v>
          </cell>
        </row>
        <row r="35">
          <cell r="G35">
            <v>0</v>
          </cell>
        </row>
      </sheetData>
      <sheetData sheetId="3">
        <row r="9">
          <cell r="G9">
            <v>51407093</v>
          </cell>
        </row>
        <row r="10">
          <cell r="G10">
            <v>0</v>
          </cell>
        </row>
        <row r="11">
          <cell r="G11">
            <v>1327100</v>
          </cell>
        </row>
        <row r="12">
          <cell r="G12">
            <v>0</v>
          </cell>
        </row>
        <row r="13">
          <cell r="G13">
            <v>3297800</v>
          </cell>
        </row>
        <row r="14">
          <cell r="G14">
            <v>2389713</v>
          </cell>
        </row>
        <row r="15">
          <cell r="G15">
            <v>101937</v>
          </cell>
        </row>
        <row r="16">
          <cell r="G16">
            <v>154619</v>
          </cell>
        </row>
        <row r="17">
          <cell r="G17">
            <v>0</v>
          </cell>
        </row>
        <row r="18">
          <cell r="G18">
            <v>1866669</v>
          </cell>
        </row>
        <row r="19">
          <cell r="G19">
            <v>618800</v>
          </cell>
        </row>
        <row r="21">
          <cell r="G21">
            <v>11294282</v>
          </cell>
        </row>
        <row r="22">
          <cell r="G22">
            <v>243557</v>
          </cell>
        </row>
        <row r="24">
          <cell r="G24">
            <v>8520</v>
          </cell>
        </row>
        <row r="25">
          <cell r="G25">
            <v>45774</v>
          </cell>
        </row>
        <row r="26">
          <cell r="G26">
            <v>228432</v>
          </cell>
        </row>
        <row r="27">
          <cell r="G27">
            <v>32532</v>
          </cell>
        </row>
        <row r="28">
          <cell r="G28">
            <v>1737140</v>
          </cell>
        </row>
        <row r="29">
          <cell r="G29">
            <v>433261</v>
          </cell>
        </row>
        <row r="30">
          <cell r="G30">
            <v>394182</v>
          </cell>
        </row>
        <row r="31">
          <cell r="G31">
            <v>89705</v>
          </cell>
        </row>
        <row r="32">
          <cell r="G32">
            <v>5893</v>
          </cell>
        </row>
        <row r="34">
          <cell r="G34">
            <v>0</v>
          </cell>
        </row>
        <row r="39">
          <cell r="G39">
            <v>1256380</v>
          </cell>
        </row>
        <row r="41">
          <cell r="G41">
            <v>1187803</v>
          </cell>
        </row>
        <row r="43">
          <cell r="G43">
            <v>432294</v>
          </cell>
        </row>
        <row r="44">
          <cell r="G44">
            <v>22210</v>
          </cell>
        </row>
        <row r="46">
          <cell r="G46">
            <v>59064</v>
          </cell>
        </row>
        <row r="47">
          <cell r="G47">
            <v>42625</v>
          </cell>
        </row>
        <row r="48">
          <cell r="G48">
            <v>176262</v>
          </cell>
        </row>
        <row r="52">
          <cell r="C52">
            <v>71206800</v>
          </cell>
          <cell r="D52">
            <v>79940076</v>
          </cell>
          <cell r="E52">
            <v>1086429</v>
          </cell>
          <cell r="G52">
            <v>78853647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(Óvoda 2019.)"/>
      <sheetName val="Bevételek(Óvoda 2019)"/>
      <sheetName val="Bevételek COFOG"/>
      <sheetName val="Kiadások(Óvoda 2019)"/>
      <sheetName val="Kiadások COFOG szerint"/>
    </sheetNames>
    <sheetDataSet>
      <sheetData sheetId="0"/>
      <sheetData sheetId="1">
        <row r="9">
          <cell r="G9">
            <v>28000</v>
          </cell>
        </row>
        <row r="10">
          <cell r="G10">
            <v>1363999</v>
          </cell>
        </row>
        <row r="15">
          <cell r="E15">
            <v>-1050909</v>
          </cell>
        </row>
      </sheetData>
      <sheetData sheetId="2">
        <row r="9">
          <cell r="G9">
            <v>298687</v>
          </cell>
        </row>
        <row r="11">
          <cell r="G11">
            <v>57505634</v>
          </cell>
        </row>
        <row r="12">
          <cell r="G12">
            <v>4861771</v>
          </cell>
        </row>
        <row r="18">
          <cell r="G18">
            <v>28000</v>
          </cell>
        </row>
        <row r="19">
          <cell r="G19">
            <v>1363999</v>
          </cell>
        </row>
      </sheetData>
      <sheetData sheetId="3">
        <row r="16">
          <cell r="G16">
            <v>47334721</v>
          </cell>
        </row>
        <row r="19">
          <cell r="G19">
            <v>8979240</v>
          </cell>
        </row>
        <row r="31">
          <cell r="G31">
            <v>5885901</v>
          </cell>
        </row>
        <row r="34">
          <cell r="G34">
            <v>1551473</v>
          </cell>
        </row>
        <row r="35">
          <cell r="E35">
            <v>1357665</v>
          </cell>
        </row>
      </sheetData>
      <sheetData sheetId="4">
        <row r="9">
          <cell r="G9">
            <v>15594556</v>
          </cell>
        </row>
        <row r="10">
          <cell r="G10">
            <v>150000</v>
          </cell>
        </row>
        <row r="11">
          <cell r="G11">
            <v>434000</v>
          </cell>
        </row>
        <row r="12">
          <cell r="G12">
            <v>214235</v>
          </cell>
        </row>
        <row r="13">
          <cell r="G13">
            <v>144000</v>
          </cell>
        </row>
        <row r="14">
          <cell r="G14">
            <v>655287</v>
          </cell>
        </row>
        <row r="17">
          <cell r="G17">
            <v>3151496</v>
          </cell>
        </row>
        <row r="18">
          <cell r="G18">
            <v>154183</v>
          </cell>
        </row>
        <row r="24">
          <cell r="G24">
            <v>13670425</v>
          </cell>
        </row>
        <row r="25">
          <cell r="G25">
            <v>1305858</v>
          </cell>
        </row>
        <row r="26">
          <cell r="G26">
            <v>503080</v>
          </cell>
        </row>
        <row r="27">
          <cell r="G27">
            <v>397922</v>
          </cell>
        </row>
        <row r="28">
          <cell r="G28">
            <v>0</v>
          </cell>
        </row>
        <row r="29">
          <cell r="G29">
            <v>72000</v>
          </cell>
        </row>
        <row r="30">
          <cell r="G30">
            <v>379726</v>
          </cell>
        </row>
        <row r="33">
          <cell r="G33">
            <v>3028852</v>
          </cell>
        </row>
        <row r="34">
          <cell r="G34">
            <v>48987</v>
          </cell>
        </row>
        <row r="40">
          <cell r="G40">
            <v>541500</v>
          </cell>
        </row>
        <row r="41">
          <cell r="G41">
            <v>85287</v>
          </cell>
        </row>
        <row r="42">
          <cell r="G42">
            <v>196152</v>
          </cell>
        </row>
        <row r="43">
          <cell r="G43">
            <v>765940</v>
          </cell>
        </row>
        <row r="44">
          <cell r="G44">
            <v>68281</v>
          </cell>
        </row>
        <row r="45">
          <cell r="G45">
            <v>66154</v>
          </cell>
        </row>
        <row r="46">
          <cell r="G46">
            <v>1446</v>
          </cell>
        </row>
        <row r="47">
          <cell r="G47">
            <v>2223876</v>
          </cell>
        </row>
        <row r="48">
          <cell r="G48">
            <v>397457</v>
          </cell>
        </row>
        <row r="49">
          <cell r="G49">
            <v>476556</v>
          </cell>
        </row>
        <row r="50">
          <cell r="G50">
            <v>225330</v>
          </cell>
        </row>
        <row r="51">
          <cell r="G51">
            <v>301483</v>
          </cell>
        </row>
        <row r="52">
          <cell r="G52">
            <v>50681</v>
          </cell>
        </row>
        <row r="53">
          <cell r="G53">
            <v>1106679</v>
          </cell>
        </row>
        <row r="54">
          <cell r="G54">
            <v>5866</v>
          </cell>
        </row>
        <row r="56">
          <cell r="G56">
            <v>1253622</v>
          </cell>
        </row>
        <row r="57">
          <cell r="G57">
            <v>297851</v>
          </cell>
        </row>
        <row r="63">
          <cell r="G63">
            <v>2331925</v>
          </cell>
        </row>
        <row r="64">
          <cell r="G64">
            <v>25000</v>
          </cell>
        </row>
        <row r="65">
          <cell r="G65">
            <v>64000</v>
          </cell>
        </row>
        <row r="66">
          <cell r="G66">
            <v>24000</v>
          </cell>
        </row>
        <row r="67">
          <cell r="G67">
            <v>113607</v>
          </cell>
        </row>
        <row r="70">
          <cell r="G70">
            <v>475477</v>
          </cell>
        </row>
        <row r="71">
          <cell r="G71">
            <v>6000</v>
          </cell>
        </row>
        <row r="77">
          <cell r="G77">
            <v>10196763</v>
          </cell>
        </row>
        <row r="78">
          <cell r="G78">
            <v>75000</v>
          </cell>
        </row>
        <row r="79">
          <cell r="G79">
            <v>274000</v>
          </cell>
        </row>
        <row r="80">
          <cell r="G80">
            <v>93000</v>
          </cell>
        </row>
        <row r="81">
          <cell r="G81">
            <v>74837</v>
          </cell>
        </row>
        <row r="84">
          <cell r="G84">
            <v>2004958</v>
          </cell>
        </row>
        <row r="85">
          <cell r="G85">
            <v>24000</v>
          </cell>
        </row>
        <row r="89">
          <cell r="C89">
            <v>63710301</v>
          </cell>
          <cell r="D89">
            <v>65109000</v>
          </cell>
          <cell r="E89">
            <v>1357665</v>
          </cell>
          <cell r="F89">
            <v>97.914781366631345</v>
          </cell>
          <cell r="G89">
            <v>63751335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(Műv.Ház 2019.)"/>
      <sheetName val="Bevételek(Műv.Ház 2019)"/>
      <sheetName val="Bevételek COFOG"/>
      <sheetName val="Kiadások(Műv.Ház 2019)"/>
      <sheetName val="Kiadások COFOG szerint"/>
    </sheetNames>
    <sheetDataSet>
      <sheetData sheetId="0"/>
      <sheetData sheetId="1"/>
      <sheetData sheetId="2">
        <row r="9">
          <cell r="G9">
            <v>103089</v>
          </cell>
        </row>
        <row r="10">
          <cell r="G10">
            <v>10887260</v>
          </cell>
        </row>
        <row r="11">
          <cell r="G11">
            <v>3488069</v>
          </cell>
        </row>
        <row r="12">
          <cell r="G12">
            <v>7399191</v>
          </cell>
        </row>
        <row r="17">
          <cell r="G17">
            <v>120000</v>
          </cell>
        </row>
        <row r="18">
          <cell r="G18">
            <v>4608</v>
          </cell>
        </row>
      </sheetData>
      <sheetData sheetId="3">
        <row r="15">
          <cell r="G15">
            <v>7122600</v>
          </cell>
        </row>
        <row r="18">
          <cell r="G18">
            <v>1315300</v>
          </cell>
        </row>
        <row r="29">
          <cell r="G29">
            <v>2111338</v>
          </cell>
        </row>
        <row r="30">
          <cell r="G30">
            <v>426823</v>
          </cell>
        </row>
        <row r="31">
          <cell r="G31">
            <v>112542</v>
          </cell>
        </row>
      </sheetData>
      <sheetData sheetId="4">
        <row r="9">
          <cell r="G9">
            <v>71794</v>
          </cell>
        </row>
        <row r="11">
          <cell r="G11">
            <v>14590</v>
          </cell>
        </row>
        <row r="16">
          <cell r="G16">
            <v>720000</v>
          </cell>
        </row>
        <row r="18">
          <cell r="G18">
            <v>120960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30">
          <cell r="G30">
            <v>6102600</v>
          </cell>
        </row>
        <row r="31">
          <cell r="G31">
            <v>48000</v>
          </cell>
        </row>
        <row r="32">
          <cell r="G32">
            <v>0</v>
          </cell>
        </row>
        <row r="33">
          <cell r="G33">
            <v>24000</v>
          </cell>
        </row>
        <row r="34">
          <cell r="G34">
            <v>228000</v>
          </cell>
        </row>
        <row r="35">
          <cell r="G35">
            <v>0</v>
          </cell>
        </row>
        <row r="36">
          <cell r="G36">
            <v>0</v>
          </cell>
        </row>
        <row r="38">
          <cell r="G38">
            <v>1192560</v>
          </cell>
        </row>
        <row r="39">
          <cell r="G39">
            <v>1780</v>
          </cell>
        </row>
        <row r="41">
          <cell r="G41">
            <v>6971</v>
          </cell>
        </row>
        <row r="42">
          <cell r="G42">
            <v>716828</v>
          </cell>
        </row>
        <row r="43">
          <cell r="G43">
            <v>64062</v>
          </cell>
        </row>
        <row r="44">
          <cell r="G44">
            <v>74219</v>
          </cell>
        </row>
        <row r="45">
          <cell r="G45">
            <v>7712</v>
          </cell>
        </row>
        <row r="46">
          <cell r="G46">
            <v>23850</v>
          </cell>
        </row>
        <row r="47">
          <cell r="G47">
            <v>85541</v>
          </cell>
        </row>
        <row r="48">
          <cell r="G48">
            <v>249227</v>
          </cell>
        </row>
        <row r="49">
          <cell r="G49">
            <v>224255</v>
          </cell>
        </row>
        <row r="50">
          <cell r="G50">
            <v>259818</v>
          </cell>
        </row>
        <row r="51">
          <cell r="G51">
            <v>309020</v>
          </cell>
        </row>
        <row r="52">
          <cell r="G52">
            <v>3451</v>
          </cell>
        </row>
        <row r="54">
          <cell r="G54">
            <v>426823</v>
          </cell>
        </row>
        <row r="55">
          <cell r="G55">
            <v>112542</v>
          </cell>
        </row>
        <row r="59">
          <cell r="C59">
            <v>13768400</v>
          </cell>
          <cell r="D59">
            <v>13768400</v>
          </cell>
          <cell r="E59">
            <v>2679797</v>
          </cell>
          <cell r="F59">
            <v>80.536612823567012</v>
          </cell>
          <cell r="G59">
            <v>11088603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C8830-1E2F-4407-9C9B-CF17B53C609E}">
  <dimension ref="A1:J55"/>
  <sheetViews>
    <sheetView zoomScaleNormal="100" workbookViewId="0">
      <selection activeCell="G48" sqref="G48"/>
    </sheetView>
  </sheetViews>
  <sheetFormatPr defaultRowHeight="12.75" x14ac:dyDescent="0.2"/>
  <cols>
    <col min="1" max="1" width="11.85546875" customWidth="1"/>
    <col min="2" max="2" width="51.5703125" customWidth="1"/>
    <col min="3" max="3" width="19.7109375" customWidth="1"/>
    <col min="4" max="4" width="17.7109375" customWidth="1"/>
    <col min="5" max="5" width="14.7109375" customWidth="1"/>
    <col min="6" max="6" width="12.7109375" customWidth="1"/>
    <col min="7" max="7" width="18.28515625" customWidth="1"/>
    <col min="8" max="8" width="20.140625" customWidth="1"/>
    <col min="9" max="9" width="8.42578125" customWidth="1"/>
    <col min="10" max="10" width="9.7109375" customWidth="1"/>
    <col min="11" max="1025" width="8.42578125" customWidth="1"/>
  </cols>
  <sheetData>
    <row r="1" spans="1:7" x14ac:dyDescent="0.2">
      <c r="G1" s="1" t="s">
        <v>304</v>
      </c>
    </row>
    <row r="2" spans="1:7" ht="15.75" x14ac:dyDescent="0.25">
      <c r="A2" s="1039" t="s">
        <v>267</v>
      </c>
      <c r="B2" s="1039"/>
      <c r="C2" s="1039"/>
      <c r="D2" s="1039"/>
      <c r="E2" s="1039"/>
      <c r="F2" s="1039"/>
      <c r="G2" s="1039"/>
    </row>
    <row r="3" spans="1:7" ht="15.75" x14ac:dyDescent="0.25">
      <c r="A3" s="1039" t="s">
        <v>303</v>
      </c>
      <c r="B3" s="1039"/>
      <c r="C3" s="1039"/>
      <c r="D3" s="1039"/>
      <c r="E3" s="1039"/>
      <c r="F3" s="1039"/>
      <c r="G3" s="1039"/>
    </row>
    <row r="4" spans="1:7" ht="13.5" thickBot="1" x14ac:dyDescent="0.25">
      <c r="G4" s="519" t="s">
        <v>305</v>
      </c>
    </row>
    <row r="5" spans="1:7" ht="15.75" x14ac:dyDescent="0.25">
      <c r="A5" s="1040" t="s">
        <v>1</v>
      </c>
      <c r="B5" s="1040"/>
      <c r="C5" s="1040"/>
      <c r="D5" s="1040"/>
      <c r="E5" s="1040"/>
      <c r="F5" s="1040"/>
      <c r="G5" s="1040"/>
    </row>
    <row r="6" spans="1:7" ht="13.5" thickBot="1" x14ac:dyDescent="0.25">
      <c r="A6" s="1041" t="s">
        <v>306</v>
      </c>
      <c r="B6" s="1042" t="s">
        <v>307</v>
      </c>
      <c r="C6" s="1043">
        <v>2019</v>
      </c>
      <c r="D6" s="1044"/>
      <c r="E6" s="1044"/>
      <c r="F6" s="1044"/>
      <c r="G6" s="1045"/>
    </row>
    <row r="7" spans="1:7" ht="13.5" thickBot="1" x14ac:dyDescent="0.25">
      <c r="A7" s="1041"/>
      <c r="B7" s="1042"/>
      <c r="C7" s="520" t="s">
        <v>308</v>
      </c>
      <c r="D7" s="521" t="s">
        <v>309</v>
      </c>
      <c r="E7" s="522" t="s">
        <v>236</v>
      </c>
      <c r="F7" s="522" t="s">
        <v>63</v>
      </c>
      <c r="G7" s="521" t="s">
        <v>272</v>
      </c>
    </row>
    <row r="8" spans="1:7" x14ac:dyDescent="0.2">
      <c r="A8" s="523" t="s">
        <v>310</v>
      </c>
      <c r="B8" s="524" t="s">
        <v>49</v>
      </c>
      <c r="C8" s="525">
        <v>68882406</v>
      </c>
      <c r="D8" s="526">
        <v>70984882</v>
      </c>
      <c r="E8" s="526">
        <f>G8-D8</f>
        <v>0</v>
      </c>
      <c r="F8" s="527">
        <f>G8/D8*100</f>
        <v>100</v>
      </c>
      <c r="G8" s="528">
        <f>'[1]Bevételek COFOG szerint 2019'!G44</f>
        <v>70984882</v>
      </c>
    </row>
    <row r="9" spans="1:7" x14ac:dyDescent="0.2">
      <c r="A9" s="529" t="s">
        <v>311</v>
      </c>
      <c r="B9" s="530" t="s">
        <v>50</v>
      </c>
      <c r="C9" s="531">
        <v>43424600</v>
      </c>
      <c r="D9" s="532">
        <v>45338634</v>
      </c>
      <c r="E9" s="526">
        <f t="shared" ref="E9:E13" si="0">G9-D9</f>
        <v>0</v>
      </c>
      <c r="F9" s="527">
        <f t="shared" ref="F9:F13" si="1">G9/D9*100</f>
        <v>100</v>
      </c>
      <c r="G9" s="533">
        <f>'[1]Bevételek COFOG szerint 2019'!G53+'[1]Bevételek COFOG szerint 2019'!G54</f>
        <v>45338634</v>
      </c>
    </row>
    <row r="10" spans="1:7" ht="24" x14ac:dyDescent="0.2">
      <c r="A10" s="529" t="s">
        <v>312</v>
      </c>
      <c r="B10" s="530" t="s">
        <v>51</v>
      </c>
      <c r="C10" s="531">
        <v>32311987</v>
      </c>
      <c r="D10" s="532">
        <v>36120986</v>
      </c>
      <c r="E10" s="526">
        <f t="shared" si="0"/>
        <v>0</v>
      </c>
      <c r="F10" s="527">
        <f t="shared" si="1"/>
        <v>100</v>
      </c>
      <c r="G10" s="533">
        <f>'[1]Bevételek COFOG szerint 2019'!G55</f>
        <v>36120986</v>
      </c>
    </row>
    <row r="11" spans="1:7" x14ac:dyDescent="0.2">
      <c r="A11" s="529" t="s">
        <v>313</v>
      </c>
      <c r="B11" s="530" t="s">
        <v>52</v>
      </c>
      <c r="C11" s="531">
        <v>3017740</v>
      </c>
      <c r="D11" s="532">
        <v>3488069</v>
      </c>
      <c r="E11" s="526">
        <f t="shared" si="0"/>
        <v>0</v>
      </c>
      <c r="F11" s="527">
        <f t="shared" si="1"/>
        <v>100</v>
      </c>
      <c r="G11" s="533">
        <f>'[1]Bevételek COFOG szerint 2019'!G63+'[1]Bevételek COFOG szerint 2019'!G64</f>
        <v>3488069</v>
      </c>
    </row>
    <row r="12" spans="1:7" x14ac:dyDescent="0.2">
      <c r="A12" s="534" t="s">
        <v>314</v>
      </c>
      <c r="B12" s="535" t="s">
        <v>315</v>
      </c>
      <c r="C12" s="536">
        <v>0</v>
      </c>
      <c r="D12" s="537">
        <v>11321160</v>
      </c>
      <c r="E12" s="526">
        <f t="shared" si="0"/>
        <v>0</v>
      </c>
      <c r="F12" s="527">
        <f t="shared" si="1"/>
        <v>100</v>
      </c>
      <c r="G12" s="538">
        <f>'[1]Bevételek COFOG szerint 2019'!G65+'[1]Bevételek COFOG szerint 2019'!G66</f>
        <v>11321160</v>
      </c>
    </row>
    <row r="13" spans="1:7" ht="13.5" thickBot="1" x14ac:dyDescent="0.25">
      <c r="A13" s="539" t="s">
        <v>316</v>
      </c>
      <c r="B13" s="540" t="s">
        <v>317</v>
      </c>
      <c r="C13" s="541">
        <v>0</v>
      </c>
      <c r="D13" s="542">
        <v>329091</v>
      </c>
      <c r="E13" s="526">
        <f t="shared" si="0"/>
        <v>0</v>
      </c>
      <c r="F13" s="527">
        <f t="shared" si="1"/>
        <v>100</v>
      </c>
      <c r="G13" s="543">
        <f>'[1]Bevételek COFOG szerint 2019'!G68</f>
        <v>329091</v>
      </c>
    </row>
    <row r="14" spans="1:7" ht="13.5" thickBot="1" x14ac:dyDescent="0.25">
      <c r="A14" s="1036" t="s">
        <v>318</v>
      </c>
      <c r="B14" s="1036"/>
      <c r="C14" s="544">
        <v>147636733</v>
      </c>
      <c r="D14" s="545">
        <v>167582822</v>
      </c>
      <c r="E14" s="545">
        <f>SUM(E8:E13)</f>
        <v>0</v>
      </c>
      <c r="F14" s="546">
        <f>G14/D14*100</f>
        <v>100</v>
      </c>
      <c r="G14" s="547">
        <f>SUM(G8:G13)</f>
        <v>167582822</v>
      </c>
    </row>
    <row r="15" spans="1:7" ht="24" x14ac:dyDescent="0.2">
      <c r="A15" s="523" t="s">
        <v>319</v>
      </c>
      <c r="B15" s="524" t="s">
        <v>320</v>
      </c>
      <c r="C15" s="525">
        <v>0</v>
      </c>
      <c r="D15" s="526">
        <v>273099</v>
      </c>
      <c r="E15" s="526">
        <f>G15-D15</f>
        <v>0</v>
      </c>
      <c r="F15" s="527">
        <f>G15/D15*100</f>
        <v>100</v>
      </c>
      <c r="G15" s="528">
        <f>'[1]Bevételek COFOG szerint 2019'!G11</f>
        <v>273099</v>
      </c>
    </row>
    <row r="16" spans="1:7" ht="13.5" thickBot="1" x14ac:dyDescent="0.25">
      <c r="A16" s="534" t="s">
        <v>321</v>
      </c>
      <c r="B16" s="535" t="s">
        <v>322</v>
      </c>
      <c r="C16" s="536">
        <v>5136000</v>
      </c>
      <c r="D16" s="537">
        <v>43528465</v>
      </c>
      <c r="E16" s="526">
        <f>G16-D16</f>
        <v>-103500</v>
      </c>
      <c r="F16" s="527">
        <f>G16/D16*100</f>
        <v>99.762224558113871</v>
      </c>
      <c r="G16" s="538">
        <f>'[1]Bevételek COFOG szerint 2019'!G69+'[1]Bevételek COFOG szerint 2019'!G82+'[1]Bevételek COFOG szerint 2019'!G87+'[1]Bevételek COFOG szerint 2019'!G108+'[1]Bevételek COFOG szerint 2019'!G113+'[1]Bevételek COFOG szerint 2019'!G155+'[1]Bevételek COFOG szerint 2019'!G104</f>
        <v>43424965</v>
      </c>
    </row>
    <row r="17" spans="1:7" ht="13.5" thickBot="1" x14ac:dyDescent="0.25">
      <c r="A17" s="1046" t="s">
        <v>323</v>
      </c>
      <c r="B17" s="1046"/>
      <c r="C17" s="548">
        <v>5136000</v>
      </c>
      <c r="D17" s="549">
        <v>43801564</v>
      </c>
      <c r="E17" s="549">
        <f>SUM(E15:E16)</f>
        <v>-103500</v>
      </c>
      <c r="F17" s="550">
        <f>G17/D17*100</f>
        <v>99.7637070676289</v>
      </c>
      <c r="G17" s="551">
        <f>SUM(G15:G16)</f>
        <v>43698064</v>
      </c>
    </row>
    <row r="18" spans="1:7" ht="36.75" thickBot="1" x14ac:dyDescent="0.25">
      <c r="A18" s="552" t="s">
        <v>324</v>
      </c>
      <c r="B18" s="553" t="s">
        <v>325</v>
      </c>
      <c r="C18" s="554">
        <v>0</v>
      </c>
      <c r="D18" s="555">
        <v>6180000</v>
      </c>
      <c r="E18" s="555">
        <f>G18-D18</f>
        <v>-3</v>
      </c>
      <c r="F18" s="556">
        <f>G18/D18*100</f>
        <v>99.999951456310683</v>
      </c>
      <c r="G18" s="557">
        <f>'[1]Bevételek COFOG szerint 2019'!G118</f>
        <v>6179997</v>
      </c>
    </row>
    <row r="19" spans="1:7" ht="13.5" thickBot="1" x14ac:dyDescent="0.25">
      <c r="A19" s="1036" t="s">
        <v>326</v>
      </c>
      <c r="B19" s="1036"/>
      <c r="C19" s="544">
        <v>0</v>
      </c>
      <c r="D19" s="545">
        <v>6180000</v>
      </c>
      <c r="E19" s="545">
        <f>E18</f>
        <v>-3</v>
      </c>
      <c r="F19" s="558"/>
      <c r="G19" s="547">
        <f>G18</f>
        <v>6179997</v>
      </c>
    </row>
    <row r="20" spans="1:7" x14ac:dyDescent="0.2">
      <c r="A20" s="529" t="s">
        <v>327</v>
      </c>
      <c r="B20" s="530" t="s">
        <v>237</v>
      </c>
      <c r="C20" s="531">
        <v>6000000</v>
      </c>
      <c r="D20" s="532">
        <v>6000000</v>
      </c>
      <c r="E20" s="526">
        <f t="shared" ref="E20:E28" si="2">G20-D20</f>
        <v>225338</v>
      </c>
      <c r="F20" s="527">
        <f t="shared" ref="F20:F27" si="3">G20/D20*100</f>
        <v>103.75563333333334</v>
      </c>
      <c r="G20" s="533">
        <f>'[1]Bevételek COFOG szerint 2019'!G141</f>
        <v>6225338</v>
      </c>
    </row>
    <row r="21" spans="1:7" x14ac:dyDescent="0.2">
      <c r="A21" s="529" t="s">
        <v>328</v>
      </c>
      <c r="B21" s="530" t="s">
        <v>329</v>
      </c>
      <c r="C21" s="531">
        <v>67000000</v>
      </c>
      <c r="D21" s="532">
        <v>95470000</v>
      </c>
      <c r="E21" s="526">
        <f t="shared" si="2"/>
        <v>-3112</v>
      </c>
      <c r="F21" s="527">
        <f t="shared" si="3"/>
        <v>99.996740337278723</v>
      </c>
      <c r="G21" s="533">
        <f>'[1]Bevételek COFOG szerint 2019'!G142</f>
        <v>95466888</v>
      </c>
    </row>
    <row r="22" spans="1:7" x14ac:dyDescent="0.2">
      <c r="A22" s="529" t="s">
        <v>330</v>
      </c>
      <c r="B22" s="530" t="s">
        <v>331</v>
      </c>
      <c r="C22" s="531">
        <v>6000000</v>
      </c>
      <c r="D22" s="532">
        <v>7238050</v>
      </c>
      <c r="E22" s="526">
        <f t="shared" si="2"/>
        <v>190535</v>
      </c>
      <c r="F22" s="527">
        <f t="shared" si="3"/>
        <v>102.63240789991779</v>
      </c>
      <c r="G22" s="533">
        <f>'[1]Bevételek COFOG szerint 2019'!G143</f>
        <v>7428585</v>
      </c>
    </row>
    <row r="23" spans="1:7" x14ac:dyDescent="0.2">
      <c r="A23" s="529" t="s">
        <v>332</v>
      </c>
      <c r="B23" s="530" t="s">
        <v>292</v>
      </c>
      <c r="C23" s="531">
        <v>300000</v>
      </c>
      <c r="D23" s="532">
        <v>300000</v>
      </c>
      <c r="E23" s="526">
        <f t="shared" si="2"/>
        <v>174750</v>
      </c>
      <c r="F23" s="527">
        <f t="shared" si="3"/>
        <v>158.25</v>
      </c>
      <c r="G23" s="533">
        <f>'[1]Bevételek COFOG szerint 2019'!G144</f>
        <v>474750</v>
      </c>
    </row>
    <row r="24" spans="1:7" ht="36" x14ac:dyDescent="0.2">
      <c r="A24" s="529" t="s">
        <v>333</v>
      </c>
      <c r="B24" s="530" t="s">
        <v>334</v>
      </c>
      <c r="C24" s="531">
        <v>0</v>
      </c>
      <c r="D24" s="532">
        <v>0</v>
      </c>
      <c r="E24" s="526">
        <f t="shared" si="2"/>
        <v>0</v>
      </c>
      <c r="F24" s="527"/>
      <c r="G24" s="533">
        <v>0</v>
      </c>
    </row>
    <row r="25" spans="1:7" x14ac:dyDescent="0.2">
      <c r="A25" s="529" t="s">
        <v>335</v>
      </c>
      <c r="B25" s="530" t="s">
        <v>336</v>
      </c>
      <c r="C25" s="531">
        <v>0</v>
      </c>
      <c r="D25" s="532">
        <v>0</v>
      </c>
      <c r="E25" s="526">
        <f t="shared" si="2"/>
        <v>0</v>
      </c>
      <c r="F25" s="527"/>
      <c r="G25" s="533">
        <f>'[1]Bevételek COFOG szerint 2019'!G10</f>
        <v>0</v>
      </c>
    </row>
    <row r="26" spans="1:7" x14ac:dyDescent="0.2">
      <c r="A26" s="529" t="s">
        <v>337</v>
      </c>
      <c r="B26" s="530" t="s">
        <v>338</v>
      </c>
      <c r="C26" s="531">
        <v>0</v>
      </c>
      <c r="D26" s="532">
        <v>0</v>
      </c>
      <c r="E26" s="526">
        <f t="shared" si="2"/>
        <v>0</v>
      </c>
      <c r="F26" s="527"/>
      <c r="G26" s="533">
        <v>0</v>
      </c>
    </row>
    <row r="27" spans="1:7" x14ac:dyDescent="0.2">
      <c r="A27" s="529" t="s">
        <v>339</v>
      </c>
      <c r="B27" s="530" t="s">
        <v>64</v>
      </c>
      <c r="C27" s="531">
        <v>200000</v>
      </c>
      <c r="D27" s="532">
        <v>200000</v>
      </c>
      <c r="E27" s="526">
        <f t="shared" si="2"/>
        <v>126008</v>
      </c>
      <c r="F27" s="527">
        <f t="shared" si="3"/>
        <v>163.00399999999999</v>
      </c>
      <c r="G27" s="533">
        <f>'[1]Bevételek COFOG szerint 2019'!G147</f>
        <v>326008</v>
      </c>
    </row>
    <row r="28" spans="1:7" ht="13.5" thickBot="1" x14ac:dyDescent="0.25">
      <c r="A28" s="534" t="s">
        <v>340</v>
      </c>
      <c r="B28" s="535" t="s">
        <v>341</v>
      </c>
      <c r="C28" s="536">
        <v>0</v>
      </c>
      <c r="D28" s="537">
        <v>0</v>
      </c>
      <c r="E28" s="526">
        <f t="shared" si="2"/>
        <v>0</v>
      </c>
      <c r="F28" s="527"/>
      <c r="G28" s="538">
        <v>0</v>
      </c>
    </row>
    <row r="29" spans="1:7" ht="13.5" thickBot="1" x14ac:dyDescent="0.25">
      <c r="A29" s="1036" t="s">
        <v>342</v>
      </c>
      <c r="B29" s="1036"/>
      <c r="C29" s="544">
        <v>79500000</v>
      </c>
      <c r="D29" s="559">
        <v>109208050</v>
      </c>
      <c r="E29" s="559">
        <f>SUM(E20:E28)</f>
        <v>713519</v>
      </c>
      <c r="F29" s="560">
        <f>G29/D29*100</f>
        <v>100.65335751348002</v>
      </c>
      <c r="G29" s="561">
        <f>SUM(G20:G28)</f>
        <v>109921569</v>
      </c>
    </row>
    <row r="30" spans="1:7" x14ac:dyDescent="0.2">
      <c r="A30" s="523" t="s">
        <v>343</v>
      </c>
      <c r="B30" s="524" t="s">
        <v>46</v>
      </c>
      <c r="C30" s="525">
        <v>100000</v>
      </c>
      <c r="D30" s="532">
        <v>100000</v>
      </c>
      <c r="E30" s="526">
        <f>G30-D30</f>
        <v>-20000</v>
      </c>
      <c r="F30" s="527">
        <f>G30/D30*100</f>
        <v>80</v>
      </c>
      <c r="G30" s="533">
        <f>'[1]Bevételek COFOG szerint 2019'!G15</f>
        <v>80000</v>
      </c>
    </row>
    <row r="31" spans="1:7" x14ac:dyDescent="0.2">
      <c r="A31" s="523" t="s">
        <v>344</v>
      </c>
      <c r="B31" s="524" t="s">
        <v>345</v>
      </c>
      <c r="C31" s="525">
        <v>250000</v>
      </c>
      <c r="D31" s="532">
        <v>250000</v>
      </c>
      <c r="E31" s="526">
        <f t="shared" ref="E31:E39" si="4">G31-D31</f>
        <v>-250000</v>
      </c>
      <c r="F31" s="527">
        <f t="shared" ref="F31:F39" si="5">G31/D31*100</f>
        <v>0</v>
      </c>
      <c r="G31" s="533">
        <v>0</v>
      </c>
    </row>
    <row r="32" spans="1:7" x14ac:dyDescent="0.2">
      <c r="A32" s="523" t="s">
        <v>346</v>
      </c>
      <c r="B32" s="524" t="s">
        <v>268</v>
      </c>
      <c r="C32" s="525">
        <v>300000</v>
      </c>
      <c r="D32" s="532">
        <v>300000</v>
      </c>
      <c r="E32" s="526">
        <f t="shared" si="4"/>
        <v>-115380</v>
      </c>
      <c r="F32" s="527">
        <f t="shared" si="5"/>
        <v>61.539999999999992</v>
      </c>
      <c r="G32" s="533">
        <f>'[1]Bevételek COFOG szerint 2019'!G16</f>
        <v>184620</v>
      </c>
    </row>
    <row r="33" spans="1:9" x14ac:dyDescent="0.2">
      <c r="A33" s="529" t="s">
        <v>347</v>
      </c>
      <c r="B33" s="530" t="s">
        <v>47</v>
      </c>
      <c r="C33" s="531">
        <v>47097000</v>
      </c>
      <c r="D33" s="532">
        <v>54287420</v>
      </c>
      <c r="E33" s="526">
        <f t="shared" si="4"/>
        <v>-38500651</v>
      </c>
      <c r="F33" s="527">
        <f t="shared" si="5"/>
        <v>29.079976539684516</v>
      </c>
      <c r="G33" s="533">
        <f>'[1]Bevételek COFOG szerint 2019'!G17+'[1]Bevételek COFOG szerint 2019'!G38+'[1]Bevételek COFOG szerint 2019'!G97</f>
        <v>15786769</v>
      </c>
      <c r="I33" s="562"/>
    </row>
    <row r="34" spans="1:9" x14ac:dyDescent="0.2">
      <c r="A34" s="529" t="s">
        <v>348</v>
      </c>
      <c r="B34" s="530" t="s">
        <v>33</v>
      </c>
      <c r="C34" s="531">
        <v>4753311</v>
      </c>
      <c r="D34" s="532">
        <v>4753311</v>
      </c>
      <c r="E34" s="526">
        <f t="shared" si="4"/>
        <v>-945128</v>
      </c>
      <c r="F34" s="527">
        <f t="shared" si="5"/>
        <v>80.116428317019441</v>
      </c>
      <c r="G34" s="533">
        <f>'[1]Bevételek COFOG szerint 2019'!G123+'[1]Bevételek COFOG szerint 2019'!G129+'[1]Bevételek COFOG szerint 2019'!G135</f>
        <v>3808183</v>
      </c>
    </row>
    <row r="35" spans="1:9" x14ac:dyDescent="0.2">
      <c r="A35" s="529" t="s">
        <v>349</v>
      </c>
      <c r="B35" s="530" t="s">
        <v>48</v>
      </c>
      <c r="C35" s="531">
        <v>1283393.9700000002</v>
      </c>
      <c r="D35" s="532">
        <v>5170401</v>
      </c>
      <c r="E35" s="526">
        <f t="shared" si="4"/>
        <v>-252195</v>
      </c>
      <c r="F35" s="527">
        <f t="shared" si="5"/>
        <v>95.122331904237214</v>
      </c>
      <c r="G35" s="533">
        <f>'[1]Bevételek COFOG szerint 2019'!G98+'[1]Bevételek COFOG szerint 2019'!G124+'[1]Bevételek COFOG szerint 2019'!G130+'[1]Bevételek COFOG szerint 2019'!G136</f>
        <v>4918206</v>
      </c>
    </row>
    <row r="36" spans="1:9" x14ac:dyDescent="0.2">
      <c r="A36" s="529" t="s">
        <v>350</v>
      </c>
      <c r="B36" s="530" t="s">
        <v>57</v>
      </c>
      <c r="C36" s="531">
        <v>500000</v>
      </c>
      <c r="D36" s="532">
        <v>500000</v>
      </c>
      <c r="E36" s="526">
        <f t="shared" si="4"/>
        <v>-500000</v>
      </c>
      <c r="F36" s="527">
        <f t="shared" si="5"/>
        <v>0</v>
      </c>
      <c r="G36" s="533">
        <f>'[1]Bevételek COFOG szerint 2019'!G20</f>
        <v>0</v>
      </c>
    </row>
    <row r="37" spans="1:9" x14ac:dyDescent="0.2">
      <c r="A37" s="529" t="s">
        <v>351</v>
      </c>
      <c r="B37" s="530" t="s">
        <v>352</v>
      </c>
      <c r="C37" s="531">
        <v>200000</v>
      </c>
      <c r="D37" s="532">
        <v>200000</v>
      </c>
      <c r="E37" s="526">
        <f t="shared" si="4"/>
        <v>-200000</v>
      </c>
      <c r="F37" s="527">
        <f t="shared" si="5"/>
        <v>0</v>
      </c>
      <c r="G37" s="533">
        <f>'[1]Bevételek COFOG szerint 2019'!G21</f>
        <v>0</v>
      </c>
    </row>
    <row r="38" spans="1:9" x14ac:dyDescent="0.2">
      <c r="A38" s="529" t="s">
        <v>353</v>
      </c>
      <c r="B38" s="530" t="s">
        <v>354</v>
      </c>
      <c r="C38" s="531">
        <v>1440000</v>
      </c>
      <c r="D38" s="532">
        <v>1440000</v>
      </c>
      <c r="E38" s="526">
        <f t="shared" si="4"/>
        <v>0</v>
      </c>
      <c r="F38" s="527">
        <f t="shared" si="5"/>
        <v>100</v>
      </c>
      <c r="G38" s="533">
        <f>'[1]Bevételek COFOG szerint 2019'!G39</f>
        <v>1440000</v>
      </c>
    </row>
    <row r="39" spans="1:9" ht="24.75" thickBot="1" x14ac:dyDescent="0.25">
      <c r="A39" s="539" t="s">
        <v>355</v>
      </c>
      <c r="B39" s="563" t="s">
        <v>356</v>
      </c>
      <c r="C39" s="564">
        <v>0</v>
      </c>
      <c r="D39" s="542">
        <v>3000</v>
      </c>
      <c r="E39" s="526">
        <f t="shared" si="4"/>
        <v>6894</v>
      </c>
      <c r="F39" s="527">
        <f t="shared" si="5"/>
        <v>329.8</v>
      </c>
      <c r="G39" s="543">
        <f>'[1]Bevételek COFOG szerint 2019'!G22</f>
        <v>9894</v>
      </c>
    </row>
    <row r="40" spans="1:9" ht="13.5" thickBot="1" x14ac:dyDescent="0.25">
      <c r="A40" s="1036" t="s">
        <v>357</v>
      </c>
      <c r="B40" s="1036"/>
      <c r="C40" s="544">
        <v>55923704.969999999</v>
      </c>
      <c r="D40" s="559">
        <v>67004132</v>
      </c>
      <c r="E40" s="559">
        <f>SUM(E30:E39)</f>
        <v>-40776460</v>
      </c>
      <c r="F40" s="560">
        <f>G40/D40*100</f>
        <v>39.143365068888585</v>
      </c>
      <c r="G40" s="561">
        <f>SUM(G30:G39)</f>
        <v>26227672</v>
      </c>
    </row>
    <row r="41" spans="1:9" x14ac:dyDescent="0.2">
      <c r="A41" s="523" t="s">
        <v>358</v>
      </c>
      <c r="B41" s="524" t="s">
        <v>359</v>
      </c>
      <c r="C41" s="525">
        <v>0</v>
      </c>
      <c r="D41" s="532">
        <v>53827200</v>
      </c>
      <c r="E41" s="526">
        <f t="shared" ref="E41:E47" si="6">G41-D41</f>
        <v>-4000000</v>
      </c>
      <c r="F41" s="527">
        <f>G41/D41*100</f>
        <v>92.56881279353189</v>
      </c>
      <c r="G41" s="533">
        <f>'[1]Bevételek COFOG szerint 2019'!G24</f>
        <v>49827200</v>
      </c>
    </row>
    <row r="42" spans="1:9" x14ac:dyDescent="0.2">
      <c r="A42" s="523" t="s">
        <v>360</v>
      </c>
      <c r="B42" s="524" t="s">
        <v>297</v>
      </c>
      <c r="C42" s="525">
        <v>26000000</v>
      </c>
      <c r="D42" s="532">
        <v>0</v>
      </c>
      <c r="E42" s="526">
        <f t="shared" si="6"/>
        <v>0</v>
      </c>
      <c r="F42" s="527"/>
      <c r="G42" s="533">
        <v>0</v>
      </c>
    </row>
    <row r="43" spans="1:9" ht="24" x14ac:dyDescent="0.2">
      <c r="A43" s="529" t="s">
        <v>361</v>
      </c>
      <c r="B43" s="530" t="s">
        <v>362</v>
      </c>
      <c r="C43" s="531">
        <v>0</v>
      </c>
      <c r="D43" s="532">
        <v>377000</v>
      </c>
      <c r="E43" s="526">
        <f t="shared" si="6"/>
        <v>-370</v>
      </c>
      <c r="F43" s="527">
        <f t="shared" ref="F43:F44" si="7">G43/D43*100</f>
        <v>99.901856763925736</v>
      </c>
      <c r="G43" s="533">
        <f>'[1]Bevételek COFOG szerint 2019'!G31</f>
        <v>376630</v>
      </c>
    </row>
    <row r="44" spans="1:9" x14ac:dyDescent="0.2">
      <c r="A44" s="529" t="s">
        <v>363</v>
      </c>
      <c r="B44" s="530" t="s">
        <v>364</v>
      </c>
      <c r="C44" s="531">
        <v>220000</v>
      </c>
      <c r="D44" s="532">
        <v>220000</v>
      </c>
      <c r="E44" s="526">
        <f t="shared" si="6"/>
        <v>20</v>
      </c>
      <c r="F44" s="527">
        <f t="shared" si="7"/>
        <v>100.00909090909092</v>
      </c>
      <c r="G44" s="533">
        <f>'[1]Bevételek COFOG szerint 2019'!G33</f>
        <v>220020</v>
      </c>
    </row>
    <row r="45" spans="1:9" x14ac:dyDescent="0.2">
      <c r="A45" s="534" t="s">
        <v>269</v>
      </c>
      <c r="B45" s="535" t="s">
        <v>365</v>
      </c>
      <c r="C45" s="536">
        <v>0</v>
      </c>
      <c r="D45" s="532">
        <v>0</v>
      </c>
      <c r="E45" s="526">
        <f t="shared" si="6"/>
        <v>0</v>
      </c>
      <c r="F45" s="527"/>
      <c r="G45" s="533">
        <v>0</v>
      </c>
    </row>
    <row r="46" spans="1:9" ht="24" x14ac:dyDescent="0.2">
      <c r="A46" s="534" t="s">
        <v>366</v>
      </c>
      <c r="B46" s="565" t="s">
        <v>367</v>
      </c>
      <c r="C46" s="536">
        <v>0</v>
      </c>
      <c r="D46" s="532">
        <v>118000</v>
      </c>
      <c r="E46" s="526">
        <f t="shared" si="6"/>
        <v>0</v>
      </c>
      <c r="F46" s="527"/>
      <c r="G46" s="533">
        <f>'[1]Bevételek COFOG szerint 2019'!G70</f>
        <v>118000</v>
      </c>
    </row>
    <row r="47" spans="1:9" ht="36.75" thickBot="1" x14ac:dyDescent="0.25">
      <c r="A47" s="534" t="s">
        <v>368</v>
      </c>
      <c r="B47" s="535" t="s">
        <v>369</v>
      </c>
      <c r="C47" s="536">
        <v>0</v>
      </c>
      <c r="D47" s="532">
        <v>48529410</v>
      </c>
      <c r="E47" s="526">
        <f t="shared" si="6"/>
        <v>0</v>
      </c>
      <c r="F47" s="527"/>
      <c r="G47" s="533">
        <f>'[1]Bevételek COFOG szerint 2019'!G93</f>
        <v>48529410</v>
      </c>
    </row>
    <row r="48" spans="1:9" ht="13.5" thickBot="1" x14ac:dyDescent="0.25">
      <c r="A48" s="1037" t="s">
        <v>370</v>
      </c>
      <c r="B48" s="1037"/>
      <c r="C48" s="566">
        <v>26220000</v>
      </c>
      <c r="D48" s="559">
        <v>103071610</v>
      </c>
      <c r="E48" s="559">
        <f>SUM(E41:E47)</f>
        <v>-4000350</v>
      </c>
      <c r="F48" s="560">
        <f>G48/D48*100</f>
        <v>96.118863380517681</v>
      </c>
      <c r="G48" s="561">
        <f>SUM(G41:G47)</f>
        <v>99071260</v>
      </c>
    </row>
    <row r="49" spans="1:10" ht="13.5" thickBot="1" x14ac:dyDescent="0.25">
      <c r="A49" s="567" t="s">
        <v>371</v>
      </c>
      <c r="B49" s="568" t="s">
        <v>372</v>
      </c>
      <c r="C49" s="569">
        <v>111000000</v>
      </c>
      <c r="D49" s="570">
        <v>112562520</v>
      </c>
      <c r="E49" s="570">
        <f>G49-D49</f>
        <v>0</v>
      </c>
      <c r="F49" s="571">
        <f>G49/D49*100</f>
        <v>100</v>
      </c>
      <c r="G49" s="572">
        <f>'[1]Bevételek COFOG szerint 2019'!G77</f>
        <v>112562520</v>
      </c>
    </row>
    <row r="50" spans="1:10" ht="13.5" thickBot="1" x14ac:dyDescent="0.25">
      <c r="A50" s="573" t="s">
        <v>238</v>
      </c>
      <c r="B50" s="574" t="s">
        <v>373</v>
      </c>
      <c r="C50" s="575">
        <v>0</v>
      </c>
      <c r="D50" s="576">
        <v>6721874</v>
      </c>
      <c r="E50" s="570">
        <f>G50-D50</f>
        <v>0</v>
      </c>
      <c r="F50" s="571">
        <f>G50/D50*100</f>
        <v>100</v>
      </c>
      <c r="G50" s="577">
        <f>'[1]Bevételek COFOG szerint 2019'!G71</f>
        <v>6721874</v>
      </c>
    </row>
    <row r="51" spans="1:10" ht="16.5" thickBot="1" x14ac:dyDescent="0.25">
      <c r="A51" s="1038" t="s">
        <v>374</v>
      </c>
      <c r="B51" s="1038"/>
      <c r="C51" s="578">
        <v>425416437.97000003</v>
      </c>
      <c r="D51" s="579">
        <v>616132572</v>
      </c>
      <c r="E51" s="579">
        <f>E14+E17+E19+E29+E40+E48+E49+E50</f>
        <v>-44166794</v>
      </c>
      <c r="F51" s="580">
        <f>G51/D51*100</f>
        <v>92.831608649315172</v>
      </c>
      <c r="G51" s="581">
        <f>G14+G17+G19+G29+G40+G48+G49+G50</f>
        <v>571965778</v>
      </c>
      <c r="J51" s="15"/>
    </row>
    <row r="54" spans="1:10" x14ac:dyDescent="0.2">
      <c r="B54" s="480"/>
      <c r="C54" s="480"/>
    </row>
    <row r="55" spans="1:10" x14ac:dyDescent="0.2">
      <c r="B55" s="582" t="s">
        <v>375</v>
      </c>
      <c r="C55" s="583">
        <f>C51-'[1]Bevételek COFOG szerint 2019'!C158</f>
        <v>-2.9999971389770508E-2</v>
      </c>
      <c r="D55" s="583">
        <f>D51-'[1]Bevételek COFOG szerint 2019'!D158</f>
        <v>0</v>
      </c>
      <c r="E55" s="583">
        <f>E51-'[1]Bevételek COFOG szerint 2019'!E158</f>
        <v>0</v>
      </c>
      <c r="F55" s="583">
        <f>F51-'[1]Bevételek COFOG szerint 2019'!F158</f>
        <v>0</v>
      </c>
      <c r="G55" s="583">
        <f>G51-'[1]Bevételek COFOG szerint 2019'!G158</f>
        <v>0</v>
      </c>
    </row>
  </sheetData>
  <mergeCells count="13">
    <mergeCell ref="A29:B29"/>
    <mergeCell ref="A40:B40"/>
    <mergeCell ref="A48:B48"/>
    <mergeCell ref="A51:B51"/>
    <mergeCell ref="A2:G2"/>
    <mergeCell ref="A3:G3"/>
    <mergeCell ref="A5:G5"/>
    <mergeCell ref="A6:A7"/>
    <mergeCell ref="B6:B7"/>
    <mergeCell ref="C6:G6"/>
    <mergeCell ref="A14:B14"/>
    <mergeCell ref="A17:B17"/>
    <mergeCell ref="A19:B19"/>
  </mergeCells>
  <pageMargins left="0.7" right="0.7" top="0.75" bottom="0.75" header="0.3" footer="0.3"/>
  <pageSetup paperSize="9"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85"/>
  <sheetViews>
    <sheetView zoomScaleNormal="100" workbookViewId="0">
      <selection activeCell="A2" sqref="A2:F2"/>
    </sheetView>
  </sheetViews>
  <sheetFormatPr defaultRowHeight="12.75" x14ac:dyDescent="0.2"/>
  <cols>
    <col min="1" max="1" width="3" customWidth="1"/>
    <col min="2" max="2" width="56.28515625" customWidth="1"/>
    <col min="3" max="3" width="15.42578125" customWidth="1"/>
    <col min="4" max="4" width="15.85546875" customWidth="1"/>
    <col min="5" max="5" width="19.85546875" customWidth="1"/>
    <col min="7" max="7" width="8.28515625" customWidth="1"/>
    <col min="10" max="10" width="9" customWidth="1"/>
    <col min="13" max="13" width="6" bestFit="1" customWidth="1"/>
    <col min="18" max="18" width="6" bestFit="1" customWidth="1"/>
    <col min="19" max="19" width="10" bestFit="1" customWidth="1"/>
  </cols>
  <sheetData>
    <row r="1" spans="1:8" ht="15" customHeight="1" x14ac:dyDescent="0.2">
      <c r="A1" s="1121" t="s">
        <v>634</v>
      </c>
      <c r="B1" s="1121"/>
      <c r="C1" s="1121"/>
      <c r="D1" s="1121"/>
      <c r="E1" s="1121"/>
      <c r="F1" s="1121"/>
      <c r="G1" s="16"/>
      <c r="H1" s="16"/>
    </row>
    <row r="2" spans="1:8" s="6" customFormat="1" ht="18.75" customHeight="1" x14ac:dyDescent="0.25">
      <c r="A2" s="1136"/>
      <c r="B2" s="1137"/>
      <c r="C2" s="1137"/>
      <c r="D2" s="1137"/>
      <c r="E2" s="1137"/>
      <c r="F2" s="1137"/>
    </row>
    <row r="3" spans="1:8" ht="22.5" customHeight="1" x14ac:dyDescent="0.25">
      <c r="B3" s="1146" t="s">
        <v>303</v>
      </c>
      <c r="C3" s="1146"/>
      <c r="D3" s="1146"/>
      <c r="E3" s="1146"/>
    </row>
    <row r="4" spans="1:8" ht="17.25" customHeight="1" x14ac:dyDescent="0.25">
      <c r="B4" s="1146" t="s">
        <v>276</v>
      </c>
      <c r="C4" s="1146"/>
      <c r="D4" s="1146"/>
      <c r="E4" s="1146"/>
    </row>
    <row r="5" spans="1:8" ht="17.25" customHeight="1" x14ac:dyDescent="0.25">
      <c r="B5" s="40"/>
      <c r="C5" s="148"/>
      <c r="D5" s="148"/>
      <c r="E5" s="40"/>
    </row>
    <row r="6" spans="1:8" ht="14.25" customHeight="1" x14ac:dyDescent="0.25">
      <c r="B6" s="11"/>
      <c r="C6" s="11"/>
      <c r="D6" s="11"/>
      <c r="E6" s="61" t="s">
        <v>59</v>
      </c>
    </row>
    <row r="7" spans="1:8" ht="7.5" customHeight="1" thickBot="1" x14ac:dyDescent="0.3">
      <c r="B7" s="152"/>
      <c r="C7" s="152"/>
      <c r="D7" s="152"/>
      <c r="E7" s="153"/>
    </row>
    <row r="8" spans="1:8" ht="24.75" customHeight="1" thickBot="1" x14ac:dyDescent="0.3">
      <c r="B8" s="443" t="s">
        <v>1</v>
      </c>
      <c r="C8" s="324" t="s">
        <v>82</v>
      </c>
      <c r="D8" s="325" t="s">
        <v>83</v>
      </c>
      <c r="E8" s="443" t="s">
        <v>84</v>
      </c>
    </row>
    <row r="9" spans="1:8" ht="15.95" customHeight="1" x14ac:dyDescent="0.2">
      <c r="B9" s="1138" t="s">
        <v>15</v>
      </c>
      <c r="C9" s="1139"/>
      <c r="D9" s="1139"/>
      <c r="E9" s="1140"/>
    </row>
    <row r="10" spans="1:8" ht="15.95" customHeight="1" x14ac:dyDescent="0.2">
      <c r="B10" s="154" t="s">
        <v>89</v>
      </c>
      <c r="C10" s="186">
        <v>350000</v>
      </c>
      <c r="D10" s="187">
        <v>350000</v>
      </c>
      <c r="E10" s="188">
        <v>80000</v>
      </c>
    </row>
    <row r="11" spans="1:8" ht="15.95" customHeight="1" x14ac:dyDescent="0.2">
      <c r="B11" s="154" t="s">
        <v>278</v>
      </c>
      <c r="C11" s="186">
        <v>300000</v>
      </c>
      <c r="D11" s="187">
        <v>300000</v>
      </c>
      <c r="E11" s="188">
        <v>184620</v>
      </c>
    </row>
    <row r="12" spans="1:8" ht="15.95" customHeight="1" x14ac:dyDescent="0.2">
      <c r="B12" s="154" t="s">
        <v>90</v>
      </c>
      <c r="C12" s="186">
        <f>'2019.telj.-Bev-Önk'!C33+100000</f>
        <v>47197000</v>
      </c>
      <c r="D12" s="187">
        <f>'2019.telj.-Bev-Önk'!D33+97400+28000</f>
        <v>54412820</v>
      </c>
      <c r="E12" s="188">
        <f>'2019.telj.-Bev-Önk'!G33+120000+28000</f>
        <v>15934769</v>
      </c>
    </row>
    <row r="13" spans="1:8" ht="15.95" customHeight="1" x14ac:dyDescent="0.2">
      <c r="B13" s="154" t="s">
        <v>91</v>
      </c>
      <c r="C13" s="186">
        <v>4753311</v>
      </c>
      <c r="D13" s="187">
        <v>4753311</v>
      </c>
      <c r="E13" s="188">
        <v>3808183</v>
      </c>
    </row>
    <row r="14" spans="1:8" ht="15.95" customHeight="1" x14ac:dyDescent="0.2">
      <c r="B14" s="154" t="s">
        <v>92</v>
      </c>
      <c r="C14" s="186">
        <v>1283394</v>
      </c>
      <c r="D14" s="187">
        <v>5170401</v>
      </c>
      <c r="E14" s="188">
        <v>4918206</v>
      </c>
    </row>
    <row r="15" spans="1:8" ht="15.95" customHeight="1" x14ac:dyDescent="0.2">
      <c r="B15" s="154" t="s">
        <v>93</v>
      </c>
      <c r="C15" s="186">
        <v>500000</v>
      </c>
      <c r="D15" s="187">
        <v>500000</v>
      </c>
      <c r="E15" s="188">
        <v>0</v>
      </c>
    </row>
    <row r="16" spans="1:8" ht="15.95" customHeight="1" x14ac:dyDescent="0.2">
      <c r="B16" s="154" t="s">
        <v>94</v>
      </c>
      <c r="C16" s="186">
        <v>200000</v>
      </c>
      <c r="D16" s="187">
        <f>200000+93000</f>
        <v>293000</v>
      </c>
      <c r="E16" s="188">
        <f>97549</f>
        <v>97549</v>
      </c>
    </row>
    <row r="17" spans="2:9" ht="15.95" customHeight="1" thickBot="1" x14ac:dyDescent="0.25">
      <c r="B17" s="155" t="s">
        <v>95</v>
      </c>
      <c r="C17" s="189">
        <v>1440000</v>
      </c>
      <c r="D17" s="190">
        <f>1443000+5616+1511+1370012</f>
        <v>2820139</v>
      </c>
      <c r="E17" s="191">
        <f>1449894+3838+4608+1363999</f>
        <v>2822339</v>
      </c>
    </row>
    <row r="18" spans="2:9" ht="15.95" customHeight="1" thickBot="1" x14ac:dyDescent="0.25">
      <c r="B18" s="444" t="s">
        <v>32</v>
      </c>
      <c r="C18" s="192">
        <f>SUM(C10:C17)</f>
        <v>56023705</v>
      </c>
      <c r="D18" s="192">
        <f>SUM(D10:D17)</f>
        <v>68599671</v>
      </c>
      <c r="E18" s="445">
        <f t="shared" ref="E18" si="0">SUM(E10:E17)</f>
        <v>27845666</v>
      </c>
    </row>
    <row r="19" spans="2:9" ht="15.95" customHeight="1" x14ac:dyDescent="0.2">
      <c r="B19" s="149"/>
      <c r="C19" s="177"/>
      <c r="D19" s="178"/>
      <c r="E19" s="176"/>
      <c r="I19" s="42"/>
    </row>
    <row r="20" spans="2:9" s="1" customFormat="1" ht="15.95" customHeight="1" thickBot="1" x14ac:dyDescent="0.25">
      <c r="B20" s="1141" t="s">
        <v>35</v>
      </c>
      <c r="C20" s="1144"/>
      <c r="D20" s="1144"/>
      <c r="E20" s="1145"/>
    </row>
    <row r="21" spans="2:9" s="1" customFormat="1" ht="15.95" customHeight="1" x14ac:dyDescent="0.2">
      <c r="B21" s="149" t="s">
        <v>237</v>
      </c>
      <c r="C21" s="489">
        <v>6000000</v>
      </c>
      <c r="D21" s="490">
        <v>6000000</v>
      </c>
      <c r="E21" s="491">
        <v>6225338</v>
      </c>
    </row>
    <row r="22" spans="2:9" ht="15.95" customHeight="1" x14ac:dyDescent="0.2">
      <c r="B22" s="154" t="s">
        <v>96</v>
      </c>
      <c r="C22" s="326">
        <v>67000000</v>
      </c>
      <c r="D22" s="187">
        <v>95470000</v>
      </c>
      <c r="E22" s="188">
        <v>95466888</v>
      </c>
    </row>
    <row r="23" spans="2:9" ht="15.95" customHeight="1" x14ac:dyDescent="0.2">
      <c r="B23" s="154" t="s">
        <v>97</v>
      </c>
      <c r="C23" s="326">
        <v>6000000</v>
      </c>
      <c r="D23" s="187">
        <v>7238050</v>
      </c>
      <c r="E23" s="188">
        <v>7428585</v>
      </c>
    </row>
    <row r="24" spans="2:9" ht="15.95" customHeight="1" x14ac:dyDescent="0.2">
      <c r="B24" s="155" t="s">
        <v>292</v>
      </c>
      <c r="C24" s="492">
        <v>300000</v>
      </c>
      <c r="D24" s="190">
        <v>300000</v>
      </c>
      <c r="E24" s="191">
        <v>474750</v>
      </c>
    </row>
    <row r="25" spans="2:9" ht="15.95" customHeight="1" thickBot="1" x14ac:dyDescent="0.25">
      <c r="B25" s="155" t="s">
        <v>64</v>
      </c>
      <c r="C25" s="492">
        <v>200000</v>
      </c>
      <c r="D25" s="190">
        <v>200000</v>
      </c>
      <c r="E25" s="191">
        <v>326008</v>
      </c>
    </row>
    <row r="26" spans="2:9" s="1" customFormat="1" ht="15.95" customHeight="1" thickBot="1" x14ac:dyDescent="0.25">
      <c r="B26" s="444" t="s">
        <v>36</v>
      </c>
      <c r="C26" s="493">
        <f>SUM(C21:C25)</f>
        <v>79500000</v>
      </c>
      <c r="D26" s="192">
        <f>SUM(D21:D25)</f>
        <v>109208050</v>
      </c>
      <c r="E26" s="445">
        <f>SUM(E21:E25)</f>
        <v>109921569</v>
      </c>
    </row>
    <row r="27" spans="2:9" s="1" customFormat="1" ht="15.95" customHeight="1" thickBot="1" x14ac:dyDescent="0.25">
      <c r="B27" s="149"/>
      <c r="C27" s="494"/>
      <c r="D27" s="495"/>
      <c r="E27" s="496"/>
    </row>
    <row r="28" spans="2:9" s="1" customFormat="1" ht="15.95" customHeight="1" thickBot="1" x14ac:dyDescent="0.25">
      <c r="B28" s="1141" t="s">
        <v>38</v>
      </c>
      <c r="C28" s="1142"/>
      <c r="D28" s="1142"/>
      <c r="E28" s="1143"/>
    </row>
    <row r="29" spans="2:9" ht="15.95" customHeight="1" thickBot="1" x14ac:dyDescent="0.25">
      <c r="B29" s="154" t="s">
        <v>296</v>
      </c>
      <c r="C29" s="489">
        <v>147636733</v>
      </c>
      <c r="D29" s="506">
        <v>167582822</v>
      </c>
      <c r="E29" s="491">
        <v>167582822</v>
      </c>
    </row>
    <row r="30" spans="2:9" ht="15.95" customHeight="1" thickBot="1" x14ac:dyDescent="0.25">
      <c r="B30" s="444" t="s">
        <v>34</v>
      </c>
      <c r="C30" s="446">
        <f>SUM(C29:C29)</f>
        <v>147636733</v>
      </c>
      <c r="D30" s="446">
        <f>SUM(D29:D29)</f>
        <v>167582822</v>
      </c>
      <c r="E30" s="446">
        <f>SUM(E29:E29)</f>
        <v>167582822</v>
      </c>
    </row>
    <row r="31" spans="2:9" ht="15.95" customHeight="1" thickBot="1" x14ac:dyDescent="0.25">
      <c r="B31" s="149"/>
      <c r="C31" s="494"/>
      <c r="D31" s="495"/>
      <c r="E31" s="496"/>
    </row>
    <row r="32" spans="2:9" ht="15.95" customHeight="1" thickBot="1" x14ac:dyDescent="0.25">
      <c r="B32" s="1141" t="s">
        <v>4</v>
      </c>
      <c r="C32" s="1142"/>
      <c r="D32" s="1142"/>
      <c r="E32" s="1143"/>
    </row>
    <row r="33" spans="2:5" ht="15.95" customHeight="1" x14ac:dyDescent="0.2">
      <c r="B33" s="185" t="s">
        <v>103</v>
      </c>
      <c r="C33" s="502">
        <v>0</v>
      </c>
      <c r="D33" s="503">
        <v>53827200</v>
      </c>
      <c r="E33" s="504">
        <v>49827200</v>
      </c>
    </row>
    <row r="34" spans="2:5" ht="15.95" customHeight="1" x14ac:dyDescent="0.2">
      <c r="B34" s="499" t="s">
        <v>297</v>
      </c>
      <c r="C34" s="505">
        <v>26000000</v>
      </c>
      <c r="D34" s="193">
        <v>0</v>
      </c>
      <c r="E34" s="194">
        <v>0</v>
      </c>
    </row>
    <row r="35" spans="2:5" ht="15.95" customHeight="1" thickBot="1" x14ac:dyDescent="0.25">
      <c r="B35" s="185" t="s">
        <v>302</v>
      </c>
      <c r="C35" s="505">
        <v>220000</v>
      </c>
      <c r="D35" s="821">
        <v>597000</v>
      </c>
      <c r="E35" s="194">
        <v>596650</v>
      </c>
    </row>
    <row r="36" spans="2:5" ht="15.95" customHeight="1" thickBot="1" x14ac:dyDescent="0.25">
      <c r="B36" s="500" t="s">
        <v>69</v>
      </c>
      <c r="C36" s="446">
        <f>SUM(C33:C35)</f>
        <v>26220000</v>
      </c>
      <c r="D36" s="446">
        <f t="shared" ref="D36:E36" si="1">SUM(D33:D35)</f>
        <v>54424200</v>
      </c>
      <c r="E36" s="446">
        <f t="shared" si="1"/>
        <v>50423850</v>
      </c>
    </row>
    <row r="37" spans="2:5" ht="15.95" customHeight="1" thickBot="1" x14ac:dyDescent="0.25">
      <c r="B37" s="501"/>
      <c r="C37" s="494"/>
      <c r="D37" s="495"/>
      <c r="E37" s="496"/>
    </row>
    <row r="38" spans="2:5" ht="15.95" customHeight="1" thickBot="1" x14ac:dyDescent="0.25">
      <c r="B38" s="1141" t="s">
        <v>37</v>
      </c>
      <c r="C38" s="1142"/>
      <c r="D38" s="1142"/>
      <c r="E38" s="1143"/>
    </row>
    <row r="39" spans="2:5" ht="15.95" customHeight="1" x14ac:dyDescent="0.2">
      <c r="B39" s="183" t="s">
        <v>98</v>
      </c>
      <c r="C39" s="507"/>
      <c r="D39" s="508"/>
      <c r="E39" s="491"/>
    </row>
    <row r="40" spans="2:5" ht="15.95" customHeight="1" x14ac:dyDescent="0.2">
      <c r="B40" s="497" t="s">
        <v>298</v>
      </c>
      <c r="C40" s="326">
        <v>0</v>
      </c>
      <c r="D40" s="187">
        <v>30285270</v>
      </c>
      <c r="E40" s="188">
        <v>30285270</v>
      </c>
    </row>
    <row r="41" spans="2:5" ht="15.95" customHeight="1" x14ac:dyDescent="0.2">
      <c r="B41" s="181" t="s">
        <v>99</v>
      </c>
      <c r="C41" s="326">
        <v>5136000</v>
      </c>
      <c r="D41" s="187">
        <v>5788100</v>
      </c>
      <c r="E41" s="188">
        <v>5788100</v>
      </c>
    </row>
    <row r="42" spans="2:5" ht="15.95" customHeight="1" x14ac:dyDescent="0.2">
      <c r="B42" s="181" t="s">
        <v>301</v>
      </c>
      <c r="C42" s="326">
        <v>0</v>
      </c>
      <c r="D42" s="187">
        <v>103500</v>
      </c>
      <c r="E42" s="188">
        <v>0</v>
      </c>
    </row>
    <row r="43" spans="2:5" ht="15.95" customHeight="1" x14ac:dyDescent="0.2">
      <c r="B43" s="181" t="s">
        <v>300</v>
      </c>
      <c r="C43" s="326">
        <v>0</v>
      </c>
      <c r="D43" s="187">
        <v>273099</v>
      </c>
      <c r="E43" s="188">
        <v>273099</v>
      </c>
    </row>
    <row r="44" spans="2:5" ht="15.95" customHeight="1" x14ac:dyDescent="0.2">
      <c r="B44" s="181" t="s">
        <v>561</v>
      </c>
      <c r="C44" s="326">
        <v>5500000</v>
      </c>
      <c r="D44" s="187">
        <f>3500000+3126192</f>
        <v>6626192</v>
      </c>
      <c r="E44" s="188">
        <f>3500000+3126192</f>
        <v>6626192</v>
      </c>
    </row>
    <row r="45" spans="2:5" ht="15.95" customHeight="1" x14ac:dyDescent="0.2">
      <c r="B45" s="182" t="s">
        <v>100</v>
      </c>
      <c r="C45" s="326"/>
      <c r="D45" s="187"/>
      <c r="E45" s="188"/>
    </row>
    <row r="46" spans="2:5" ht="15.95" customHeight="1" x14ac:dyDescent="0.2">
      <c r="B46" s="498" t="s">
        <v>299</v>
      </c>
      <c r="C46" s="326">
        <v>0</v>
      </c>
      <c r="D46" s="187">
        <v>1382550</v>
      </c>
      <c r="E46" s="188">
        <v>1382550</v>
      </c>
    </row>
    <row r="47" spans="2:5" ht="15.95" customHeight="1" x14ac:dyDescent="0.2">
      <c r="B47" s="181" t="s">
        <v>101</v>
      </c>
      <c r="C47" s="326">
        <v>0</v>
      </c>
      <c r="D47" s="187">
        <v>1828592</v>
      </c>
      <c r="E47" s="188">
        <v>1828592</v>
      </c>
    </row>
    <row r="48" spans="2:5" ht="15.95" customHeight="1" thickBot="1" x14ac:dyDescent="0.25">
      <c r="B48" s="184" t="s">
        <v>102</v>
      </c>
      <c r="C48" s="492"/>
      <c r="D48" s="190">
        <v>4140453</v>
      </c>
      <c r="E48" s="191">
        <v>4140453</v>
      </c>
    </row>
    <row r="49" spans="2:5" ht="15.95" customHeight="1" thickBot="1" x14ac:dyDescent="0.25">
      <c r="B49" s="444" t="s">
        <v>78</v>
      </c>
      <c r="C49" s="509">
        <f>SUM(C39:C48)</f>
        <v>10636000</v>
      </c>
      <c r="D49" s="445">
        <f t="shared" ref="D49:E49" si="2">SUM(D39:D48)</f>
        <v>50427756</v>
      </c>
      <c r="E49" s="445">
        <f t="shared" si="2"/>
        <v>50324256</v>
      </c>
    </row>
    <row r="50" spans="2:5" ht="15.95" customHeight="1" thickBot="1" x14ac:dyDescent="0.3">
      <c r="B50" s="156"/>
      <c r="C50" s="510"/>
      <c r="D50" s="511"/>
      <c r="E50" s="512"/>
    </row>
    <row r="51" spans="2:5" ht="15.95" customHeight="1" thickBot="1" x14ac:dyDescent="0.3">
      <c r="B51" s="1131" t="s">
        <v>293</v>
      </c>
      <c r="C51" s="1132"/>
      <c r="D51" s="1132"/>
      <c r="E51" s="1133"/>
    </row>
    <row r="52" spans="2:5" ht="15.95" customHeight="1" x14ac:dyDescent="0.25">
      <c r="B52" s="482" t="s">
        <v>295</v>
      </c>
      <c r="C52" s="485">
        <v>0</v>
      </c>
      <c r="D52" s="486">
        <v>48529410</v>
      </c>
      <c r="E52" s="487">
        <v>48529410</v>
      </c>
    </row>
    <row r="53" spans="2:5" ht="15.95" customHeight="1" thickBot="1" x14ac:dyDescent="0.3">
      <c r="B53" s="483" t="s">
        <v>294</v>
      </c>
      <c r="C53" s="488">
        <v>0</v>
      </c>
      <c r="D53" s="196">
        <v>6180000</v>
      </c>
      <c r="E53" s="197">
        <v>6179997</v>
      </c>
    </row>
    <row r="54" spans="2:5" ht="15.95" customHeight="1" thickBot="1" x14ac:dyDescent="0.3">
      <c r="B54" s="484" t="s">
        <v>77</v>
      </c>
      <c r="C54" s="442">
        <f>C52+C53</f>
        <v>0</v>
      </c>
      <c r="D54" s="442">
        <f t="shared" ref="D54:E54" si="3">D52+D53</f>
        <v>54709410</v>
      </c>
      <c r="E54" s="442">
        <f t="shared" si="3"/>
        <v>54709407</v>
      </c>
    </row>
    <row r="55" spans="2:5" ht="15.95" customHeight="1" thickBot="1" x14ac:dyDescent="0.3">
      <c r="B55" s="150"/>
      <c r="C55" s="513"/>
      <c r="D55" s="514"/>
      <c r="E55" s="512"/>
    </row>
    <row r="56" spans="2:5" ht="15.95" customHeight="1" thickBot="1" x14ac:dyDescent="0.3">
      <c r="B56" s="1131" t="s">
        <v>80</v>
      </c>
      <c r="C56" s="1132"/>
      <c r="D56" s="1132"/>
      <c r="E56" s="1133"/>
    </row>
    <row r="57" spans="2:5" ht="15.95" customHeight="1" thickBot="1" x14ac:dyDescent="0.3">
      <c r="B57" s="151" t="s">
        <v>259</v>
      </c>
      <c r="C57" s="515">
        <v>0</v>
      </c>
      <c r="D57" s="516">
        <v>118000</v>
      </c>
      <c r="E57" s="517">
        <v>118000</v>
      </c>
    </row>
    <row r="58" spans="2:5" ht="15.95" customHeight="1" x14ac:dyDescent="0.25">
      <c r="B58" s="1131" t="s">
        <v>104</v>
      </c>
      <c r="C58" s="1134"/>
      <c r="D58" s="1134"/>
      <c r="E58" s="1135"/>
    </row>
    <row r="59" spans="2:5" ht="15.95" customHeight="1" thickBot="1" x14ac:dyDescent="0.3">
      <c r="B59" s="157" t="s">
        <v>560</v>
      </c>
      <c r="C59" s="195">
        <v>0</v>
      </c>
      <c r="D59" s="198">
        <v>0</v>
      </c>
      <c r="E59" s="199">
        <v>0</v>
      </c>
    </row>
    <row r="60" spans="2:5" ht="15.95" customHeight="1" thickBot="1" x14ac:dyDescent="0.3">
      <c r="B60" s="441" t="s">
        <v>81</v>
      </c>
      <c r="C60" s="442">
        <f t="shared" ref="C60:D60" si="4">C57+C59</f>
        <v>0</v>
      </c>
      <c r="D60" s="442">
        <f t="shared" si="4"/>
        <v>118000</v>
      </c>
      <c r="E60" s="442">
        <f>E57+E59</f>
        <v>118000</v>
      </c>
    </row>
    <row r="61" spans="2:5" ht="15.95" customHeight="1" thickBot="1" x14ac:dyDescent="0.3">
      <c r="B61" s="441"/>
      <c r="C61" s="442"/>
      <c r="D61" s="442"/>
      <c r="E61" s="442"/>
    </row>
    <row r="62" spans="2:5" ht="15.95" customHeight="1" thickBot="1" x14ac:dyDescent="0.3">
      <c r="B62" s="441" t="s">
        <v>279</v>
      </c>
      <c r="C62" s="442">
        <f>'2019.telj.-Bev-Önk'!C49+'2019.telj.- Bev.Hiv.'!C8+'2019.telj.Bev.Ovi'!C11+'2019.telj.Bev.Műv.'!C10</f>
        <v>112216000</v>
      </c>
      <c r="D62" s="442">
        <f>'2019.telj.-Bev-Önk'!D49+'2019.telj.- Bev.Hiv.'!D8+'2019.telj.Bev.Ovi'!D11+'2019.telj.Bev.Műv.'!D10</f>
        <v>113781164</v>
      </c>
      <c r="E62" s="442">
        <f>'2019.telj.-Bev-Önk'!G49+'2019.telj.- Bev.Hiv.'!G8+'2019.telj.Bev.Ovi'!G11+'2019.telj.Bev.Műv.'!G10</f>
        <v>113781164</v>
      </c>
    </row>
    <row r="63" spans="2:5" ht="15.95" customHeight="1" thickBot="1" x14ac:dyDescent="0.3">
      <c r="B63" s="441" t="s">
        <v>280</v>
      </c>
      <c r="C63" s="442">
        <v>0</v>
      </c>
      <c r="D63" s="442">
        <v>6721874</v>
      </c>
      <c r="E63" s="442">
        <v>6721874</v>
      </c>
    </row>
    <row r="64" spans="2:5" ht="24.75" customHeight="1" thickBot="1" x14ac:dyDescent="0.3">
      <c r="B64" s="447" t="s">
        <v>79</v>
      </c>
      <c r="C64" s="448">
        <f>C18+C26+C30+C36+C49+C54+C60+C62+C63</f>
        <v>432232438</v>
      </c>
      <c r="D64" s="448">
        <f t="shared" ref="D64:E64" si="5">D18+D26+D30+D36+D49+D54+D60+D62+D63</f>
        <v>625572947</v>
      </c>
      <c r="E64" s="448">
        <f t="shared" si="5"/>
        <v>581428608</v>
      </c>
    </row>
    <row r="65" spans="2:5" ht="15" x14ac:dyDescent="0.25">
      <c r="B65" s="114"/>
      <c r="C65" s="114"/>
      <c r="D65" s="114"/>
      <c r="E65" s="115"/>
    </row>
    <row r="66" spans="2:5" ht="15" x14ac:dyDescent="0.25">
      <c r="B66" s="115"/>
      <c r="C66" s="115"/>
      <c r="D66" s="115"/>
      <c r="E66" s="115"/>
    </row>
    <row r="67" spans="2:5" ht="15" x14ac:dyDescent="0.25">
      <c r="B67" s="115"/>
      <c r="C67" s="115"/>
      <c r="D67" s="115"/>
      <c r="E67" s="115"/>
    </row>
    <row r="68" spans="2:5" ht="15" x14ac:dyDescent="0.25">
      <c r="B68" s="115"/>
      <c r="C68" s="115"/>
      <c r="D68" s="115"/>
      <c r="E68" s="115"/>
    </row>
    <row r="69" spans="2:5" ht="15" x14ac:dyDescent="0.25">
      <c r="B69" s="115"/>
      <c r="C69" s="115"/>
      <c r="D69" s="115"/>
      <c r="E69" s="115"/>
    </row>
    <row r="70" spans="2:5" ht="18" x14ac:dyDescent="0.25">
      <c r="B70" s="7"/>
      <c r="C70" s="7"/>
      <c r="D70" s="7"/>
    </row>
    <row r="71" spans="2:5" ht="18" x14ac:dyDescent="0.25">
      <c r="B71" s="7"/>
      <c r="C71" s="7"/>
      <c r="D71" s="7"/>
    </row>
    <row r="72" spans="2:5" ht="18" x14ac:dyDescent="0.25">
      <c r="B72" s="8"/>
      <c r="C72" s="8"/>
      <c r="D72" s="8"/>
    </row>
    <row r="73" spans="2:5" x14ac:dyDescent="0.2">
      <c r="B73" s="3"/>
      <c r="C73" s="3"/>
      <c r="D73" s="3"/>
    </row>
    <row r="74" spans="2:5" ht="18" x14ac:dyDescent="0.25">
      <c r="B74" s="8"/>
      <c r="C74" s="8"/>
      <c r="D74" s="8"/>
    </row>
    <row r="75" spans="2:5" x14ac:dyDescent="0.2">
      <c r="B75" s="3"/>
      <c r="C75" s="3"/>
      <c r="D75" s="3"/>
    </row>
    <row r="76" spans="2:5" ht="18" x14ac:dyDescent="0.25">
      <c r="B76" s="8"/>
      <c r="C76" s="8"/>
      <c r="D76" s="8"/>
    </row>
    <row r="77" spans="2:5" ht="18" x14ac:dyDescent="0.25">
      <c r="B77" s="7"/>
      <c r="C77" s="7"/>
      <c r="D77" s="7"/>
    </row>
    <row r="78" spans="2:5" ht="18" x14ac:dyDescent="0.25">
      <c r="B78" s="7"/>
      <c r="C78" s="7"/>
      <c r="D78" s="7"/>
    </row>
    <row r="79" spans="2:5" ht="18" x14ac:dyDescent="0.25">
      <c r="B79" s="7"/>
      <c r="C79" s="7"/>
      <c r="D79" s="7"/>
    </row>
    <row r="80" spans="2:5" ht="18" x14ac:dyDescent="0.25">
      <c r="B80" s="7"/>
      <c r="C80" s="7"/>
      <c r="D80" s="7"/>
    </row>
    <row r="81" spans="2:5" ht="18" x14ac:dyDescent="0.25">
      <c r="B81" s="7"/>
      <c r="C81" s="7"/>
      <c r="D81" s="7"/>
    </row>
    <row r="82" spans="2:5" ht="18" x14ac:dyDescent="0.25">
      <c r="B82" s="7"/>
      <c r="C82" s="7"/>
      <c r="D82" s="7"/>
    </row>
    <row r="83" spans="2:5" ht="18" x14ac:dyDescent="0.25">
      <c r="B83" s="8"/>
      <c r="C83" s="8"/>
      <c r="D83" s="8"/>
    </row>
    <row r="85" spans="2:5" x14ac:dyDescent="0.2">
      <c r="E85" s="43"/>
    </row>
  </sheetData>
  <mergeCells count="12">
    <mergeCell ref="B51:E51"/>
    <mergeCell ref="B56:E56"/>
    <mergeCell ref="B58:E58"/>
    <mergeCell ref="A1:F1"/>
    <mergeCell ref="A2:F2"/>
    <mergeCell ref="B9:E9"/>
    <mergeCell ref="B38:E38"/>
    <mergeCell ref="B32:E32"/>
    <mergeCell ref="B28:E28"/>
    <mergeCell ref="B20:E20"/>
    <mergeCell ref="B3:E3"/>
    <mergeCell ref="B4:E4"/>
  </mergeCells>
  <phoneticPr fontId="0" type="noConversion"/>
  <pageMargins left="0.78740157480314965" right="0.78740157480314965" top="0.59055118110236227" bottom="0.59055118110236227" header="0.51181102362204722" footer="0.51181102362204722"/>
  <pageSetup paperSize="9" scale="75" orientation="portrait" r:id="rId1"/>
  <headerFooter alignWithMargins="0">
    <oddHeader>&amp;R2019.12.31.</oddHeader>
    <oddFooter>&amp;C&amp;P/&amp;N</oddFooter>
  </headerFooter>
  <colBreaks count="1" manualBreakCount="1">
    <brk id="5" max="4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0"/>
  <sheetViews>
    <sheetView zoomScaleNormal="100" workbookViewId="0">
      <selection activeCell="A2" sqref="A2:D3"/>
    </sheetView>
  </sheetViews>
  <sheetFormatPr defaultRowHeight="12.75" x14ac:dyDescent="0.2"/>
  <cols>
    <col min="1" max="1" width="66.140625" customWidth="1"/>
    <col min="2" max="2" width="17" customWidth="1"/>
    <col min="3" max="3" width="18" customWidth="1"/>
    <col min="4" max="4" width="15.7109375" customWidth="1"/>
    <col min="6" max="6" width="24.85546875" customWidth="1"/>
    <col min="7" max="7" width="8.28515625" customWidth="1"/>
    <col min="10" max="10" width="9" customWidth="1"/>
    <col min="13" max="13" width="6" bestFit="1" customWidth="1"/>
    <col min="18" max="18" width="6" bestFit="1" customWidth="1"/>
    <col min="19" max="19" width="10" bestFit="1" customWidth="1"/>
  </cols>
  <sheetData>
    <row r="1" spans="1:9" ht="18.75" customHeight="1" x14ac:dyDescent="0.2">
      <c r="A1" s="1121" t="s">
        <v>635</v>
      </c>
      <c r="B1" s="1121"/>
      <c r="C1" s="1121"/>
      <c r="D1" s="1121"/>
      <c r="E1" s="16"/>
      <c r="F1" s="1148"/>
      <c r="G1" s="1148"/>
      <c r="H1" s="1148"/>
    </row>
    <row r="2" spans="1:9" ht="18.75" customHeight="1" x14ac:dyDescent="0.2">
      <c r="A2" s="1147" t="s">
        <v>303</v>
      </c>
      <c r="B2" s="1147"/>
      <c r="C2" s="1147"/>
      <c r="D2" s="1147"/>
      <c r="E2" s="32"/>
      <c r="F2" s="1149"/>
      <c r="G2" s="1121"/>
      <c r="H2" s="1121"/>
    </row>
    <row r="3" spans="1:9" ht="37.5" customHeight="1" x14ac:dyDescent="0.2">
      <c r="A3" s="1147"/>
      <c r="B3" s="1147"/>
      <c r="C3" s="1147"/>
      <c r="D3" s="1147"/>
    </row>
    <row r="4" spans="1:9" x14ac:dyDescent="0.2">
      <c r="A4" s="1147" t="s">
        <v>277</v>
      </c>
      <c r="B4" s="1147"/>
      <c r="C4" s="1147"/>
      <c r="D4" s="1147"/>
    </row>
    <row r="5" spans="1:9" ht="26.25" customHeight="1" x14ac:dyDescent="0.2">
      <c r="A5" s="1147"/>
      <c r="B5" s="1147"/>
      <c r="C5" s="1147"/>
      <c r="D5" s="1147"/>
    </row>
    <row r="6" spans="1:9" x14ac:dyDescent="0.2">
      <c r="A6" s="33"/>
      <c r="B6" s="33"/>
      <c r="C6" s="33"/>
      <c r="D6" s="33"/>
    </row>
    <row r="7" spans="1:9" ht="20.25" customHeight="1" thickBot="1" x14ac:dyDescent="0.25">
      <c r="D7" s="61" t="s">
        <v>59</v>
      </c>
    </row>
    <row r="8" spans="1:9" ht="30" customHeight="1" thickBot="1" x14ac:dyDescent="0.25">
      <c r="A8" s="331" t="s">
        <v>8</v>
      </c>
      <c r="B8" s="327" t="s">
        <v>82</v>
      </c>
      <c r="C8" s="331" t="s">
        <v>83</v>
      </c>
      <c r="D8" s="332" t="s">
        <v>84</v>
      </c>
    </row>
    <row r="9" spans="1:9" ht="30" customHeight="1" x14ac:dyDescent="0.2">
      <c r="A9" s="202" t="s">
        <v>49</v>
      </c>
      <c r="B9" s="206">
        <f>'2019.telj.-Bev-Önk'!C8</f>
        <v>68882406</v>
      </c>
      <c r="C9" s="207">
        <f>'2019.telj.-Bev-Önk'!D8</f>
        <v>70984882</v>
      </c>
      <c r="D9" s="203">
        <f>'2019.telj.-Bev-Önk'!G8</f>
        <v>70984882</v>
      </c>
      <c r="G9" s="38"/>
    </row>
    <row r="10" spans="1:9" ht="30" customHeight="1" x14ac:dyDescent="0.2">
      <c r="A10" s="200" t="s">
        <v>50</v>
      </c>
      <c r="B10" s="208">
        <f>'2019.telj.-Bev-Önk'!C9</f>
        <v>43424600</v>
      </c>
      <c r="C10" s="209">
        <f>'2019.telj.-Bev-Önk'!D9</f>
        <v>45338634</v>
      </c>
      <c r="D10" s="204">
        <f>'2019.telj.-Bev-Önk'!G9</f>
        <v>45338634</v>
      </c>
    </row>
    <row r="11" spans="1:9" ht="30" customHeight="1" x14ac:dyDescent="0.2">
      <c r="A11" s="200" t="s">
        <v>51</v>
      </c>
      <c r="B11" s="208">
        <f>'2019.telj.-Bev-Önk'!C10</f>
        <v>32311987</v>
      </c>
      <c r="C11" s="209">
        <f>'2019.telj.-Bev-Önk'!D10</f>
        <v>36120986</v>
      </c>
      <c r="D11" s="204">
        <f>'2019.telj.-Bev-Önk'!G10</f>
        <v>36120986</v>
      </c>
      <c r="I11" s="42"/>
    </row>
    <row r="12" spans="1:9" ht="30" customHeight="1" x14ac:dyDescent="0.2">
      <c r="A12" s="200" t="s">
        <v>52</v>
      </c>
      <c r="B12" s="208">
        <f>'2019.telj.-Bev-Önk'!C11</f>
        <v>3017740</v>
      </c>
      <c r="C12" s="209">
        <f>'2019.telj.-Bev-Önk'!D11</f>
        <v>3488069</v>
      </c>
      <c r="D12" s="204">
        <f>'2019.telj.-Bev-Önk'!G11</f>
        <v>3488069</v>
      </c>
    </row>
    <row r="13" spans="1:9" ht="30" customHeight="1" x14ac:dyDescent="0.2">
      <c r="A13" s="200" t="s">
        <v>281</v>
      </c>
      <c r="B13" s="208">
        <v>0</v>
      </c>
      <c r="C13" s="209">
        <f>C14+C15</f>
        <v>11321160</v>
      </c>
      <c r="D13" s="209">
        <f>D14+D15</f>
        <v>11321160</v>
      </c>
    </row>
    <row r="14" spans="1:9" ht="30" customHeight="1" x14ac:dyDescent="0.2">
      <c r="A14" s="201" t="s">
        <v>260</v>
      </c>
      <c r="B14" s="210">
        <v>0</v>
      </c>
      <c r="C14" s="211">
        <v>1813560</v>
      </c>
      <c r="D14" s="205">
        <v>1813560</v>
      </c>
    </row>
    <row r="15" spans="1:9" ht="30" customHeight="1" x14ac:dyDescent="0.2">
      <c r="A15" s="201" t="s">
        <v>562</v>
      </c>
      <c r="B15" s="210">
        <v>0</v>
      </c>
      <c r="C15" s="211">
        <v>9507600</v>
      </c>
      <c r="D15" s="205">
        <v>9507600</v>
      </c>
    </row>
    <row r="16" spans="1:9" ht="30" customHeight="1" thickBot="1" x14ac:dyDescent="0.25">
      <c r="A16" s="449" t="s">
        <v>563</v>
      </c>
      <c r="B16" s="210">
        <v>0</v>
      </c>
      <c r="C16" s="211">
        <v>329091</v>
      </c>
      <c r="D16" s="205">
        <v>329091</v>
      </c>
    </row>
    <row r="17" spans="1:4" ht="30" customHeight="1" thickBot="1" x14ac:dyDescent="0.25">
      <c r="A17" s="333" t="s">
        <v>42</v>
      </c>
      <c r="B17" s="334">
        <f>B9+B10+B11+B12+B13+B16</f>
        <v>147636733</v>
      </c>
      <c r="C17" s="334">
        <f t="shared" ref="C17:D17" si="0">C9+C10+C11+C12+C13+C16</f>
        <v>167582822</v>
      </c>
      <c r="D17" s="334">
        <f t="shared" si="0"/>
        <v>167582822</v>
      </c>
    </row>
    <row r="22" spans="1:4" ht="15" x14ac:dyDescent="0.3">
      <c r="A22" s="14"/>
      <c r="B22" s="14"/>
      <c r="C22" s="14"/>
      <c r="D22" s="4"/>
    </row>
    <row r="60" spans="5:5" x14ac:dyDescent="0.2">
      <c r="E60" s="43"/>
    </row>
  </sheetData>
  <mergeCells count="5">
    <mergeCell ref="A4:D5"/>
    <mergeCell ref="F1:H1"/>
    <mergeCell ref="F2:H2"/>
    <mergeCell ref="A1:D1"/>
    <mergeCell ref="A2:D3"/>
  </mergeCells>
  <phoneticPr fontId="0" type="noConversion"/>
  <pageMargins left="0.70866141732283461" right="0.70866141732283461" top="0.74803149606299213" bottom="0.74803149606299213" header="0.31496062992125984" footer="0.31496062992125984"/>
  <pageSetup paperSize="9" scale="71" orientation="portrait" r:id="rId1"/>
  <headerFooter alignWithMargins="0">
    <oddHeader>&amp;R2019.12.31.</oddHeader>
    <oddFooter>&amp;C&amp;P/&amp;N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O20"/>
  <sheetViews>
    <sheetView zoomScaleNormal="100" workbookViewId="0">
      <selection activeCell="A3" sqref="A3"/>
    </sheetView>
  </sheetViews>
  <sheetFormatPr defaultRowHeight="12.75" x14ac:dyDescent="0.2"/>
  <cols>
    <col min="1" max="1" width="7.42578125" customWidth="1"/>
    <col min="2" max="2" width="50.140625" customWidth="1"/>
    <col min="3" max="3" width="15.7109375" style="179" customWidth="1"/>
    <col min="4" max="4" width="15.7109375" style="518" customWidth="1"/>
    <col min="5" max="6" width="15.7109375" style="179" customWidth="1"/>
    <col min="7" max="7" width="15.7109375" style="518" customWidth="1"/>
    <col min="8" max="9" width="15.7109375" style="179" customWidth="1"/>
    <col min="10" max="12" width="15.7109375" style="518" customWidth="1"/>
    <col min="13" max="13" width="15.7109375" style="179" customWidth="1"/>
    <col min="16" max="16" width="9" customWidth="1"/>
    <col min="19" max="19" width="6" bestFit="1" customWidth="1"/>
    <col min="24" max="24" width="6" bestFit="1" customWidth="1"/>
    <col min="25" max="25" width="10" bestFit="1" customWidth="1"/>
  </cols>
  <sheetData>
    <row r="1" spans="1:15" ht="15" customHeight="1" x14ac:dyDescent="0.2">
      <c r="A1" s="1152"/>
      <c r="B1" s="1152"/>
      <c r="C1" s="1152"/>
      <c r="D1" s="1152"/>
      <c r="E1" s="1152"/>
      <c r="F1" s="1152"/>
      <c r="G1" s="1152"/>
      <c r="H1" s="1152"/>
      <c r="I1" s="1152"/>
      <c r="J1" s="1152"/>
      <c r="K1" s="1152"/>
      <c r="L1" s="1152"/>
      <c r="M1" s="1152"/>
    </row>
    <row r="2" spans="1:15" ht="15" customHeight="1" x14ac:dyDescent="0.2">
      <c r="A2" s="1156" t="s">
        <v>636</v>
      </c>
      <c r="B2" s="1157"/>
      <c r="C2" s="1157"/>
      <c r="D2" s="1157"/>
      <c r="E2" s="1157"/>
      <c r="F2" s="1157"/>
      <c r="G2" s="1157"/>
      <c r="H2" s="1157"/>
      <c r="I2" s="1157"/>
      <c r="J2" s="1157"/>
      <c r="K2" s="1157"/>
      <c r="L2" s="1157"/>
      <c r="M2" s="1157"/>
    </row>
    <row r="3" spans="1:15" ht="15" x14ac:dyDescent="0.2">
      <c r="A3" s="18"/>
      <c r="B3" s="18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5" ht="15.75" x14ac:dyDescent="0.25">
      <c r="A4" s="1153" t="s">
        <v>303</v>
      </c>
      <c r="B4" s="1153"/>
      <c r="C4" s="1153"/>
      <c r="D4" s="1153"/>
      <c r="E4" s="1153"/>
      <c r="F4" s="1153"/>
      <c r="G4" s="1153"/>
      <c r="H4" s="1153"/>
      <c r="I4" s="1153"/>
      <c r="J4" s="1153"/>
      <c r="K4" s="1153"/>
      <c r="L4" s="1153"/>
      <c r="M4" s="1153"/>
    </row>
    <row r="5" spans="1:15" ht="15.75" x14ac:dyDescent="0.25">
      <c r="A5" s="1154" t="s">
        <v>282</v>
      </c>
      <c r="B5" s="1154"/>
      <c r="C5" s="1154"/>
      <c r="D5" s="1154"/>
      <c r="E5" s="1154"/>
      <c r="F5" s="1154"/>
      <c r="G5" s="1154"/>
      <c r="H5" s="1154"/>
      <c r="I5" s="1154"/>
      <c r="J5" s="1154"/>
      <c r="K5" s="1154"/>
      <c r="L5" s="1154"/>
      <c r="M5" s="1154"/>
    </row>
    <row r="6" spans="1:15" ht="15.75" x14ac:dyDescent="0.25">
      <c r="A6" s="1154"/>
      <c r="B6" s="1154"/>
      <c r="C6" s="1154"/>
      <c r="D6" s="1154"/>
      <c r="E6" s="1154"/>
      <c r="F6" s="1154"/>
      <c r="G6" s="1154"/>
      <c r="H6" s="1154"/>
      <c r="I6" s="1154"/>
      <c r="J6" s="1154"/>
      <c r="K6" s="1154"/>
      <c r="L6" s="1154"/>
      <c r="M6" s="1154"/>
    </row>
    <row r="7" spans="1:15" ht="18.75" customHeight="1" x14ac:dyDescent="0.25">
      <c r="A7" s="1154"/>
      <c r="B7" s="1154"/>
      <c r="C7" s="1154"/>
      <c r="D7" s="1154"/>
      <c r="E7" s="1154"/>
      <c r="F7" s="1154"/>
      <c r="G7" s="1154"/>
      <c r="H7" s="1154"/>
      <c r="I7" s="1154"/>
      <c r="J7" s="1154"/>
      <c r="K7" s="1154"/>
      <c r="L7" s="1154"/>
      <c r="M7" s="1154"/>
    </row>
    <row r="8" spans="1:15" ht="15" x14ac:dyDescent="0.25">
      <c r="A8" s="28"/>
      <c r="B8" s="28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</row>
    <row r="9" spans="1:15" ht="15.75" thickBot="1" x14ac:dyDescent="0.3">
      <c r="A9" s="24"/>
      <c r="B9" s="25"/>
      <c r="C9" s="230"/>
      <c r="D9" s="230"/>
      <c r="E9" s="230"/>
      <c r="F9" s="1158" t="s">
        <v>59</v>
      </c>
      <c r="G9" s="1158"/>
      <c r="H9" s="1159"/>
      <c r="I9" s="1159"/>
      <c r="J9" s="1159"/>
      <c r="K9" s="1159"/>
      <c r="L9" s="1159"/>
      <c r="M9" s="1159"/>
    </row>
    <row r="10" spans="1:15" ht="18.75" customHeight="1" x14ac:dyDescent="0.2">
      <c r="A10" s="1155" t="s">
        <v>111</v>
      </c>
      <c r="B10" s="1155"/>
      <c r="C10" s="1155"/>
      <c r="D10" s="1155"/>
      <c r="E10" s="1155"/>
      <c r="F10" s="1155"/>
      <c r="G10" s="1155"/>
      <c r="H10" s="1155"/>
      <c r="I10" s="1155"/>
      <c r="J10" s="1155"/>
      <c r="K10" s="1155"/>
      <c r="L10" s="1155"/>
      <c r="M10" s="1155"/>
    </row>
    <row r="11" spans="1:15" ht="39.75" customHeight="1" thickBot="1" x14ac:dyDescent="0.25">
      <c r="A11" s="226" t="s">
        <v>110</v>
      </c>
      <c r="B11" s="226" t="s">
        <v>1</v>
      </c>
      <c r="C11" s="227" t="s">
        <v>123</v>
      </c>
      <c r="D11" s="227" t="s">
        <v>564</v>
      </c>
      <c r="E11" s="227" t="s">
        <v>121</v>
      </c>
      <c r="F11" s="227" t="s">
        <v>565</v>
      </c>
      <c r="G11" s="227" t="s">
        <v>566</v>
      </c>
      <c r="H11" s="228" t="s">
        <v>124</v>
      </c>
      <c r="I11" s="228" t="s">
        <v>125</v>
      </c>
      <c r="J11" s="823" t="s">
        <v>567</v>
      </c>
      <c r="K11" s="823" t="s">
        <v>568</v>
      </c>
      <c r="L11" s="823" t="s">
        <v>122</v>
      </c>
      <c r="M11" s="329" t="s">
        <v>126</v>
      </c>
    </row>
    <row r="12" spans="1:15" ht="24.95" customHeight="1" x14ac:dyDescent="0.3">
      <c r="A12" s="222" t="s">
        <v>112</v>
      </c>
      <c r="B12" s="223" t="s">
        <v>46</v>
      </c>
      <c r="C12" s="451">
        <v>80000</v>
      </c>
      <c r="D12" s="451">
        <v>0</v>
      </c>
      <c r="E12" s="451">
        <v>0</v>
      </c>
      <c r="F12" s="452">
        <v>0</v>
      </c>
      <c r="G12" s="452">
        <v>0</v>
      </c>
      <c r="H12" s="452">
        <v>0</v>
      </c>
      <c r="I12" s="453">
        <v>0</v>
      </c>
      <c r="J12" s="453">
        <v>0</v>
      </c>
      <c r="K12" s="453">
        <v>0</v>
      </c>
      <c r="L12" s="453">
        <v>0</v>
      </c>
      <c r="M12" s="330">
        <f>SUM(C12:L12)</f>
        <v>80000</v>
      </c>
    </row>
    <row r="13" spans="1:15" ht="24.95" customHeight="1" x14ac:dyDescent="0.3">
      <c r="A13" s="26" t="s">
        <v>283</v>
      </c>
      <c r="B13" s="76" t="s">
        <v>268</v>
      </c>
      <c r="C13" s="454">
        <v>184620</v>
      </c>
      <c r="D13" s="454">
        <v>0</v>
      </c>
      <c r="E13" s="454">
        <v>0</v>
      </c>
      <c r="F13" s="455">
        <v>0</v>
      </c>
      <c r="G13" s="455">
        <v>0</v>
      </c>
      <c r="H13" s="455">
        <v>0</v>
      </c>
      <c r="I13" s="456">
        <v>0</v>
      </c>
      <c r="J13" s="456">
        <v>0</v>
      </c>
      <c r="K13" s="456">
        <v>0</v>
      </c>
      <c r="L13" s="456">
        <v>0</v>
      </c>
      <c r="M13" s="450">
        <f>SUM(C13:L13)</f>
        <v>184620</v>
      </c>
    </row>
    <row r="14" spans="1:15" ht="24.95" customHeight="1" x14ac:dyDescent="0.3">
      <c r="A14" s="27" t="s">
        <v>113</v>
      </c>
      <c r="B14" s="75" t="s">
        <v>47</v>
      </c>
      <c r="C14" s="457">
        <v>454349</v>
      </c>
      <c r="D14" s="457">
        <v>925000</v>
      </c>
      <c r="E14" s="457">
        <v>14407420</v>
      </c>
      <c r="F14" s="458">
        <v>0</v>
      </c>
      <c r="G14" s="458">
        <v>0</v>
      </c>
      <c r="H14" s="459">
        <v>0</v>
      </c>
      <c r="I14" s="460">
        <v>0</v>
      </c>
      <c r="J14" s="460">
        <v>28000</v>
      </c>
      <c r="K14" s="460">
        <v>0</v>
      </c>
      <c r="L14" s="460">
        <v>120000</v>
      </c>
      <c r="M14" s="450">
        <f t="shared" ref="M14:M19" si="0">SUM(C14:L14)</f>
        <v>15934769</v>
      </c>
    </row>
    <row r="15" spans="1:15" ht="24.95" customHeight="1" x14ac:dyDescent="0.3">
      <c r="A15" s="27" t="s">
        <v>114</v>
      </c>
      <c r="B15" s="76" t="s">
        <v>33</v>
      </c>
      <c r="C15" s="454">
        <v>0</v>
      </c>
      <c r="D15" s="454">
        <v>0</v>
      </c>
      <c r="E15" s="454">
        <v>0</v>
      </c>
      <c r="F15" s="461">
        <v>238820</v>
      </c>
      <c r="G15" s="461">
        <v>279470</v>
      </c>
      <c r="H15" s="459">
        <v>1461813</v>
      </c>
      <c r="I15" s="460">
        <v>1828080</v>
      </c>
      <c r="J15" s="460">
        <v>0</v>
      </c>
      <c r="K15" s="460">
        <v>0</v>
      </c>
      <c r="L15" s="460">
        <v>0</v>
      </c>
      <c r="M15" s="450">
        <f t="shared" si="0"/>
        <v>3808183</v>
      </c>
    </row>
    <row r="16" spans="1:15" ht="24.95" customHeight="1" x14ac:dyDescent="0.3">
      <c r="A16" s="26" t="s">
        <v>115</v>
      </c>
      <c r="B16" s="77" t="s">
        <v>48</v>
      </c>
      <c r="C16" s="459">
        <v>0</v>
      </c>
      <c r="D16" s="459">
        <v>0</v>
      </c>
      <c r="E16" s="459">
        <v>3890004</v>
      </c>
      <c r="F16" s="459">
        <v>64476</v>
      </c>
      <c r="G16" s="459">
        <v>75458</v>
      </c>
      <c r="H16" s="459">
        <v>394690</v>
      </c>
      <c r="I16" s="460">
        <v>493578</v>
      </c>
      <c r="J16" s="460">
        <v>0</v>
      </c>
      <c r="K16" s="460">
        <v>0</v>
      </c>
      <c r="L16" s="460">
        <v>0</v>
      </c>
      <c r="M16" s="450">
        <f t="shared" si="0"/>
        <v>4918206</v>
      </c>
      <c r="O16" s="42"/>
    </row>
    <row r="17" spans="1:13" ht="24.95" customHeight="1" x14ac:dyDescent="0.3">
      <c r="A17" s="27" t="s">
        <v>116</v>
      </c>
      <c r="B17" s="77" t="s">
        <v>57</v>
      </c>
      <c r="C17" s="459">
        <v>0</v>
      </c>
      <c r="D17" s="459">
        <v>0</v>
      </c>
      <c r="E17" s="459">
        <v>0</v>
      </c>
      <c r="F17" s="462">
        <v>0</v>
      </c>
      <c r="G17" s="462">
        <v>0</v>
      </c>
      <c r="H17" s="459">
        <v>0</v>
      </c>
      <c r="I17" s="460">
        <v>0</v>
      </c>
      <c r="J17" s="460">
        <v>0</v>
      </c>
      <c r="K17" s="460">
        <v>0</v>
      </c>
      <c r="L17" s="460">
        <v>0</v>
      </c>
      <c r="M17" s="450">
        <f t="shared" si="0"/>
        <v>0</v>
      </c>
    </row>
    <row r="18" spans="1:13" ht="24.95" customHeight="1" x14ac:dyDescent="0.3">
      <c r="A18" s="27" t="s">
        <v>117</v>
      </c>
      <c r="B18" s="77" t="s">
        <v>118</v>
      </c>
      <c r="C18" s="459">
        <v>0</v>
      </c>
      <c r="D18" s="459">
        <v>0</v>
      </c>
      <c r="E18" s="459">
        <v>0</v>
      </c>
      <c r="F18" s="459">
        <v>0</v>
      </c>
      <c r="G18" s="459">
        <v>0</v>
      </c>
      <c r="H18" s="459">
        <v>0</v>
      </c>
      <c r="I18" s="460">
        <v>0</v>
      </c>
      <c r="J18" s="460">
        <v>0</v>
      </c>
      <c r="K18" s="460">
        <v>97549</v>
      </c>
      <c r="L18" s="460">
        <v>0</v>
      </c>
      <c r="M18" s="450">
        <f t="shared" si="0"/>
        <v>97549</v>
      </c>
    </row>
    <row r="19" spans="1:13" ht="24" customHeight="1" thickBot="1" x14ac:dyDescent="0.35">
      <c r="A19" s="224" t="s">
        <v>119</v>
      </c>
      <c r="B19" s="225" t="s">
        <v>65</v>
      </c>
      <c r="C19" s="463">
        <v>9894</v>
      </c>
      <c r="D19" s="463">
        <v>1440000</v>
      </c>
      <c r="E19" s="463">
        <v>0</v>
      </c>
      <c r="F19" s="463">
        <v>0</v>
      </c>
      <c r="G19" s="463">
        <v>0</v>
      </c>
      <c r="H19" s="463">
        <v>0</v>
      </c>
      <c r="I19" s="464">
        <v>0</v>
      </c>
      <c r="J19" s="464">
        <v>1363999</v>
      </c>
      <c r="K19" s="464">
        <v>3838</v>
      </c>
      <c r="L19" s="464">
        <v>4608</v>
      </c>
      <c r="M19" s="824">
        <f t="shared" si="0"/>
        <v>2822339</v>
      </c>
    </row>
    <row r="20" spans="1:13" ht="30" customHeight="1" thickBot="1" x14ac:dyDescent="0.3">
      <c r="A20" s="1150" t="s">
        <v>120</v>
      </c>
      <c r="B20" s="1151"/>
      <c r="C20" s="328">
        <f>SUM(C12:C19)</f>
        <v>728863</v>
      </c>
      <c r="D20" s="328">
        <f t="shared" ref="D20:L20" si="1">SUM(D12:D19)</f>
        <v>2365000</v>
      </c>
      <c r="E20" s="328">
        <f t="shared" si="1"/>
        <v>18297424</v>
      </c>
      <c r="F20" s="328">
        <f t="shared" si="1"/>
        <v>303296</v>
      </c>
      <c r="G20" s="328">
        <f t="shared" si="1"/>
        <v>354928</v>
      </c>
      <c r="H20" s="328">
        <f t="shared" si="1"/>
        <v>1856503</v>
      </c>
      <c r="I20" s="328">
        <f t="shared" si="1"/>
        <v>2321658</v>
      </c>
      <c r="J20" s="328">
        <f t="shared" si="1"/>
        <v>1391999</v>
      </c>
      <c r="K20" s="328">
        <f t="shared" si="1"/>
        <v>101387</v>
      </c>
      <c r="L20" s="328">
        <f t="shared" si="1"/>
        <v>124608</v>
      </c>
      <c r="M20" s="822">
        <f>SUM(M12:M19)</f>
        <v>27845666</v>
      </c>
    </row>
  </sheetData>
  <mergeCells count="9">
    <mergeCell ref="A20:B20"/>
    <mergeCell ref="A1:M1"/>
    <mergeCell ref="A4:M4"/>
    <mergeCell ref="A5:M5"/>
    <mergeCell ref="A10:M10"/>
    <mergeCell ref="A2:M2"/>
    <mergeCell ref="F9:M9"/>
    <mergeCell ref="A6:M6"/>
    <mergeCell ref="A7:M7"/>
  </mergeCells>
  <phoneticPr fontId="14" type="noConversion"/>
  <pageMargins left="0.75" right="0.75" top="1" bottom="1" header="0.5" footer="0.5"/>
  <pageSetup paperSize="9" scale="57" orientation="landscape" r:id="rId1"/>
  <headerFooter alignWithMargins="0">
    <oddHeader>&amp;R2019.12.31.</oddHeader>
    <oddFooter>&amp;C&amp;P/&amp;N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2:P45"/>
  <sheetViews>
    <sheetView view="pageBreakPreview" zoomScaleNormal="100" zoomScaleSheetLayoutView="100" workbookViewId="0">
      <selection activeCell="A3" sqref="A3"/>
    </sheetView>
  </sheetViews>
  <sheetFormatPr defaultRowHeight="12.75" x14ac:dyDescent="0.2"/>
  <cols>
    <col min="6" max="6" width="9.140625" style="233"/>
    <col min="7" max="7" width="11.28515625" customWidth="1"/>
    <col min="8" max="8" width="12.5703125" bestFit="1" customWidth="1"/>
    <col min="9" max="9" width="10.85546875" customWidth="1"/>
    <col min="10" max="10" width="9.28515625" customWidth="1"/>
    <col min="11" max="11" width="11.28515625" bestFit="1" customWidth="1"/>
    <col min="12" max="12" width="11.28515625" customWidth="1"/>
    <col min="13" max="13" width="10.7109375" customWidth="1"/>
    <col min="14" max="14" width="11.5703125" customWidth="1"/>
    <col min="15" max="15" width="10.85546875" customWidth="1"/>
  </cols>
  <sheetData>
    <row r="2" spans="1:15" ht="24.75" customHeight="1" x14ac:dyDescent="0.2">
      <c r="A2" s="1160" t="s">
        <v>637</v>
      </c>
      <c r="B2" s="1160"/>
      <c r="C2" s="1160"/>
      <c r="D2" s="1160"/>
      <c r="E2" s="1160"/>
      <c r="F2" s="1160"/>
      <c r="G2" s="1160"/>
      <c r="H2" s="1160"/>
      <c r="I2" s="1160"/>
      <c r="J2" s="1160"/>
      <c r="K2" s="1160"/>
      <c r="L2" s="1160"/>
      <c r="M2" s="1160"/>
      <c r="N2" s="1160"/>
      <c r="O2" s="1160"/>
    </row>
    <row r="3" spans="1:15" x14ac:dyDescent="0.2">
      <c r="E3" s="236"/>
      <c r="F3" s="231"/>
      <c r="G3" s="231"/>
      <c r="H3" s="231"/>
      <c r="I3" s="231"/>
      <c r="J3" s="231"/>
      <c r="K3" s="231"/>
      <c r="L3" s="231"/>
      <c r="O3" s="232"/>
    </row>
    <row r="4" spans="1:15" ht="15.75" x14ac:dyDescent="0.25">
      <c r="A4" s="1169" t="s">
        <v>284</v>
      </c>
      <c r="B4" s="1169"/>
      <c r="C4" s="1169"/>
      <c r="D4" s="1169"/>
      <c r="E4" s="1169"/>
      <c r="F4" s="1169"/>
      <c r="G4" s="1169"/>
      <c r="H4" s="1169"/>
      <c r="I4" s="1169"/>
      <c r="J4" s="1169"/>
      <c r="K4" s="1169"/>
      <c r="L4" s="1169"/>
      <c r="M4" s="1169"/>
      <c r="N4" s="1169"/>
      <c r="O4" s="1169"/>
    </row>
    <row r="5" spans="1:15" ht="15.75" x14ac:dyDescent="0.25">
      <c r="A5" s="1169" t="s">
        <v>303</v>
      </c>
      <c r="B5" s="1169"/>
      <c r="C5" s="1169"/>
      <c r="D5" s="1169"/>
      <c r="E5" s="1169"/>
      <c r="F5" s="1169"/>
      <c r="G5" s="1169"/>
      <c r="H5" s="1169"/>
      <c r="I5" s="1169"/>
      <c r="J5" s="1169"/>
      <c r="K5" s="1169"/>
      <c r="L5" s="1169"/>
      <c r="M5" s="1169"/>
      <c r="N5" s="1169"/>
      <c r="O5" s="1169"/>
    </row>
    <row r="6" spans="1:15" ht="18.75" customHeight="1" x14ac:dyDescent="0.2">
      <c r="A6" s="1170" t="s">
        <v>127</v>
      </c>
      <c r="B6" s="1170"/>
      <c r="C6" s="1170"/>
      <c r="D6" s="1170"/>
      <c r="E6" s="1170"/>
      <c r="F6" s="1170"/>
      <c r="G6" s="1170"/>
      <c r="H6" s="1170"/>
      <c r="I6" s="1170"/>
      <c r="J6" s="1170"/>
      <c r="K6" s="1170"/>
      <c r="L6" s="1170"/>
      <c r="M6" s="1170"/>
      <c r="N6" s="1170"/>
      <c r="O6" s="1170"/>
    </row>
    <row r="7" spans="1:15" ht="15.75" x14ac:dyDescent="0.25">
      <c r="A7" s="237"/>
      <c r="B7" s="237"/>
      <c r="C7" s="237"/>
      <c r="D7" s="237"/>
      <c r="E7" s="237"/>
      <c r="F7" s="237"/>
      <c r="G7" s="238"/>
      <c r="H7" s="238"/>
      <c r="I7" s="238"/>
      <c r="J7" s="238"/>
      <c r="K7" s="238"/>
      <c r="L7" s="238"/>
      <c r="M7" s="238"/>
      <c r="N7" s="238"/>
      <c r="O7" s="239"/>
    </row>
    <row r="8" spans="1:15" ht="16.5" thickBot="1" x14ac:dyDescent="0.3">
      <c r="A8" s="237"/>
      <c r="B8" s="237"/>
      <c r="C8" s="237"/>
      <c r="D8" s="237"/>
      <c r="E8" s="237"/>
      <c r="F8" s="237"/>
      <c r="G8" s="238"/>
      <c r="H8" s="238"/>
      <c r="I8" s="238"/>
      <c r="J8" s="238"/>
      <c r="K8" s="238"/>
      <c r="L8" s="238"/>
      <c r="M8" s="238"/>
      <c r="N8" s="370" t="s">
        <v>59</v>
      </c>
      <c r="O8" s="239"/>
    </row>
    <row r="9" spans="1:15" ht="22.5" customHeight="1" thickBot="1" x14ac:dyDescent="0.25">
      <c r="A9" s="1171" t="s">
        <v>129</v>
      </c>
      <c r="B9" s="1171"/>
      <c r="C9" s="1171"/>
      <c r="D9" s="1171"/>
      <c r="E9" s="1171"/>
      <c r="F9" s="1171"/>
      <c r="G9" s="1172" t="s">
        <v>249</v>
      </c>
      <c r="H9" s="1172"/>
      <c r="I9" s="1172"/>
      <c r="J9" s="1173" t="s">
        <v>250</v>
      </c>
      <c r="K9" s="1173"/>
      <c r="L9" s="1173"/>
      <c r="M9" s="1172" t="s">
        <v>251</v>
      </c>
      <c r="N9" s="1172"/>
      <c r="O9" s="1172"/>
    </row>
    <row r="10" spans="1:15" ht="24.95" customHeight="1" thickBot="1" x14ac:dyDescent="0.25">
      <c r="A10" s="1171"/>
      <c r="B10" s="1171"/>
      <c r="C10" s="1171"/>
      <c r="D10" s="1171"/>
      <c r="E10" s="1171"/>
      <c r="F10" s="1171"/>
      <c r="G10" s="315" t="s">
        <v>82</v>
      </c>
      <c r="H10" s="316" t="s">
        <v>252</v>
      </c>
      <c r="I10" s="317" t="s">
        <v>84</v>
      </c>
      <c r="J10" s="318" t="s">
        <v>82</v>
      </c>
      <c r="K10" s="316" t="s">
        <v>252</v>
      </c>
      <c r="L10" s="319" t="s">
        <v>84</v>
      </c>
      <c r="M10" s="315" t="s">
        <v>82</v>
      </c>
      <c r="N10" s="316" t="s">
        <v>252</v>
      </c>
      <c r="O10" s="317" t="s">
        <v>84</v>
      </c>
    </row>
    <row r="11" spans="1:15" ht="24.95" customHeight="1" x14ac:dyDescent="0.2">
      <c r="A11" s="1167" t="s">
        <v>130</v>
      </c>
      <c r="B11" s="1167"/>
      <c r="C11" s="1167"/>
      <c r="D11" s="1167"/>
      <c r="E11" s="1167"/>
      <c r="F11" s="1167"/>
      <c r="G11" s="304">
        <v>16860200</v>
      </c>
      <c r="H11" s="305">
        <v>19772450</v>
      </c>
      <c r="I11" s="306">
        <v>19764751</v>
      </c>
      <c r="J11" s="307">
        <v>3287739</v>
      </c>
      <c r="K11" s="305">
        <v>3740000</v>
      </c>
      <c r="L11" s="295">
        <v>3368305</v>
      </c>
      <c r="M11" s="304">
        <v>18378200</v>
      </c>
      <c r="N11" s="305">
        <v>30458832</v>
      </c>
      <c r="O11" s="306">
        <v>28162471</v>
      </c>
    </row>
    <row r="12" spans="1:15" ht="24.95" customHeight="1" x14ac:dyDescent="0.2">
      <c r="A12" s="1168" t="s">
        <v>131</v>
      </c>
      <c r="B12" s="1168"/>
      <c r="C12" s="1168"/>
      <c r="D12" s="1168"/>
      <c r="E12" s="1168"/>
      <c r="F12" s="1168"/>
      <c r="G12" s="308">
        <v>0</v>
      </c>
      <c r="H12" s="309">
        <v>0</v>
      </c>
      <c r="I12" s="288">
        <v>0</v>
      </c>
      <c r="J12" s="310">
        <v>0</v>
      </c>
      <c r="K12" s="309">
        <v>0</v>
      </c>
      <c r="L12" s="299">
        <v>0</v>
      </c>
      <c r="M12" s="308">
        <v>720000</v>
      </c>
      <c r="N12" s="309">
        <v>756000</v>
      </c>
      <c r="O12" s="288">
        <v>754623</v>
      </c>
    </row>
    <row r="13" spans="1:15" ht="24.95" customHeight="1" x14ac:dyDescent="0.2">
      <c r="A13" s="1168" t="s">
        <v>572</v>
      </c>
      <c r="B13" s="1168"/>
      <c r="C13" s="1168"/>
      <c r="D13" s="1168"/>
      <c r="E13" s="1168"/>
      <c r="F13" s="1168"/>
      <c r="G13" s="308">
        <v>0</v>
      </c>
      <c r="H13" s="309">
        <v>0</v>
      </c>
      <c r="I13" s="288">
        <v>0</v>
      </c>
      <c r="J13" s="310">
        <v>0</v>
      </c>
      <c r="K13" s="309">
        <v>0</v>
      </c>
      <c r="L13" s="299">
        <v>0</v>
      </c>
      <c r="M13" s="308">
        <v>2540000</v>
      </c>
      <c r="N13" s="309">
        <v>1451000</v>
      </c>
      <c r="O13" s="288">
        <v>1159042</v>
      </c>
    </row>
    <row r="14" spans="1:15" ht="24.95" customHeight="1" x14ac:dyDescent="0.2">
      <c r="A14" s="1168" t="s">
        <v>132</v>
      </c>
      <c r="B14" s="1168"/>
      <c r="C14" s="1168"/>
      <c r="D14" s="1168"/>
      <c r="E14" s="1168"/>
      <c r="F14" s="1168"/>
      <c r="G14" s="308">
        <v>0</v>
      </c>
      <c r="H14" s="309">
        <v>314000</v>
      </c>
      <c r="I14" s="288">
        <v>306202</v>
      </c>
      <c r="J14" s="310">
        <v>0</v>
      </c>
      <c r="K14" s="309">
        <v>0</v>
      </c>
      <c r="L14" s="299">
        <v>0</v>
      </c>
      <c r="M14" s="308">
        <v>2000000</v>
      </c>
      <c r="N14" s="309">
        <v>2400000</v>
      </c>
      <c r="O14" s="288">
        <v>2221811</v>
      </c>
    </row>
    <row r="15" spans="1:15" ht="24.95" customHeight="1" x14ac:dyDescent="0.2">
      <c r="A15" s="1168" t="s">
        <v>133</v>
      </c>
      <c r="B15" s="1168"/>
      <c r="C15" s="1168"/>
      <c r="D15" s="1168"/>
      <c r="E15" s="1168"/>
      <c r="F15" s="1168"/>
      <c r="G15" s="308">
        <v>0</v>
      </c>
      <c r="H15" s="309">
        <v>0</v>
      </c>
      <c r="I15" s="288">
        <v>0</v>
      </c>
      <c r="J15" s="310">
        <v>0</v>
      </c>
      <c r="K15" s="309">
        <v>0</v>
      </c>
      <c r="L15" s="299">
        <v>0</v>
      </c>
      <c r="M15" s="308">
        <v>3285000</v>
      </c>
      <c r="N15" s="309">
        <v>3315000</v>
      </c>
      <c r="O15" s="288">
        <v>3249450</v>
      </c>
    </row>
    <row r="16" spans="1:15" ht="24.95" customHeight="1" x14ac:dyDescent="0.2">
      <c r="A16" s="1168" t="s">
        <v>285</v>
      </c>
      <c r="B16" s="1168"/>
      <c r="C16" s="1168"/>
      <c r="D16" s="1168"/>
      <c r="E16" s="1168"/>
      <c r="F16" s="1168"/>
      <c r="G16" s="308">
        <v>0</v>
      </c>
      <c r="H16" s="309">
        <v>2990000</v>
      </c>
      <c r="I16" s="288">
        <v>2986963</v>
      </c>
      <c r="J16" s="310">
        <v>0</v>
      </c>
      <c r="K16" s="309">
        <v>307000</v>
      </c>
      <c r="L16" s="299">
        <v>306499</v>
      </c>
      <c r="M16" s="308">
        <v>0</v>
      </c>
      <c r="N16" s="309">
        <v>209633</v>
      </c>
      <c r="O16" s="288">
        <v>209100</v>
      </c>
    </row>
    <row r="17" spans="1:15" ht="24.95" customHeight="1" x14ac:dyDescent="0.2">
      <c r="A17" s="1168" t="s">
        <v>573</v>
      </c>
      <c r="B17" s="1168"/>
      <c r="C17" s="1168"/>
      <c r="D17" s="1168"/>
      <c r="E17" s="1168"/>
      <c r="F17" s="1168"/>
      <c r="G17" s="308">
        <v>1000000</v>
      </c>
      <c r="H17" s="309">
        <v>3258000</v>
      </c>
      <c r="I17" s="288">
        <v>3254812</v>
      </c>
      <c r="J17" s="310">
        <v>200000</v>
      </c>
      <c r="K17" s="309">
        <v>321000</v>
      </c>
      <c r="L17" s="299">
        <v>320971</v>
      </c>
      <c r="M17" s="308">
        <v>0</v>
      </c>
      <c r="N17" s="309">
        <v>71567</v>
      </c>
      <c r="O17" s="288">
        <v>71567</v>
      </c>
    </row>
    <row r="18" spans="1:15" ht="24.95" customHeight="1" x14ac:dyDescent="0.2">
      <c r="A18" s="1168" t="s">
        <v>134</v>
      </c>
      <c r="B18" s="1168"/>
      <c r="C18" s="1168"/>
      <c r="D18" s="1168"/>
      <c r="E18" s="1168"/>
      <c r="F18" s="1168"/>
      <c r="G18" s="308">
        <v>0</v>
      </c>
      <c r="H18" s="309">
        <v>0</v>
      </c>
      <c r="I18" s="288">
        <v>0</v>
      </c>
      <c r="J18" s="310">
        <v>0</v>
      </c>
      <c r="K18" s="309">
        <v>0</v>
      </c>
      <c r="L18" s="299">
        <v>0</v>
      </c>
      <c r="M18" s="308">
        <v>0</v>
      </c>
      <c r="N18" s="309">
        <v>0</v>
      </c>
      <c r="O18" s="288">
        <v>0</v>
      </c>
    </row>
    <row r="19" spans="1:15" ht="24.95" customHeight="1" x14ac:dyDescent="0.2">
      <c r="A19" s="1168" t="s">
        <v>135</v>
      </c>
      <c r="B19" s="1168"/>
      <c r="C19" s="1168"/>
      <c r="D19" s="1168"/>
      <c r="E19" s="1168"/>
      <c r="F19" s="1168"/>
      <c r="G19" s="308">
        <v>0</v>
      </c>
      <c r="H19" s="309">
        <v>0</v>
      </c>
      <c r="I19" s="288">
        <v>0</v>
      </c>
      <c r="J19" s="310">
        <v>0</v>
      </c>
      <c r="K19" s="309">
        <v>0</v>
      </c>
      <c r="L19" s="299">
        <v>0</v>
      </c>
      <c r="M19" s="308">
        <v>5066147</v>
      </c>
      <c r="N19" s="309">
        <v>5066147</v>
      </c>
      <c r="O19" s="288">
        <v>3035485</v>
      </c>
    </row>
    <row r="20" spans="1:15" ht="24.95" customHeight="1" x14ac:dyDescent="0.2">
      <c r="A20" s="1168" t="s">
        <v>136</v>
      </c>
      <c r="B20" s="1168"/>
      <c r="C20" s="1168"/>
      <c r="D20" s="1168"/>
      <c r="E20" s="1168"/>
      <c r="F20" s="1168"/>
      <c r="G20" s="308">
        <v>4675000</v>
      </c>
      <c r="H20" s="309">
        <v>4692800</v>
      </c>
      <c r="I20" s="288">
        <v>3457870</v>
      </c>
      <c r="J20" s="310">
        <v>935000</v>
      </c>
      <c r="K20" s="309">
        <v>938000</v>
      </c>
      <c r="L20" s="299">
        <v>749412</v>
      </c>
      <c r="M20" s="308">
        <v>3581400</v>
      </c>
      <c r="N20" s="309">
        <v>7350833</v>
      </c>
      <c r="O20" s="288">
        <v>6942544</v>
      </c>
    </row>
    <row r="21" spans="1:15" ht="24.95" customHeight="1" x14ac:dyDescent="0.2">
      <c r="A21" s="1168" t="s">
        <v>137</v>
      </c>
      <c r="B21" s="1168"/>
      <c r="C21" s="1168"/>
      <c r="D21" s="1168"/>
      <c r="E21" s="1168"/>
      <c r="F21" s="1168"/>
      <c r="G21" s="308">
        <v>5204860</v>
      </c>
      <c r="H21" s="309">
        <v>5717760</v>
      </c>
      <c r="I21" s="288">
        <v>5596863</v>
      </c>
      <c r="J21" s="310">
        <v>1070972</v>
      </c>
      <c r="K21" s="309">
        <v>1031000</v>
      </c>
      <c r="L21" s="299">
        <v>1030212</v>
      </c>
      <c r="M21" s="308">
        <v>600000</v>
      </c>
      <c r="N21" s="309">
        <v>740000</v>
      </c>
      <c r="O21" s="288">
        <v>598791</v>
      </c>
    </row>
    <row r="22" spans="1:15" ht="24.95" customHeight="1" x14ac:dyDescent="0.2">
      <c r="A22" s="1168" t="s">
        <v>574</v>
      </c>
      <c r="B22" s="1168"/>
      <c r="C22" s="1168"/>
      <c r="D22" s="1168"/>
      <c r="E22" s="1168"/>
      <c r="F22" s="1168"/>
      <c r="G22" s="308">
        <v>0</v>
      </c>
      <c r="H22" s="309">
        <v>0</v>
      </c>
      <c r="I22" s="288">
        <v>0</v>
      </c>
      <c r="J22" s="310">
        <v>0</v>
      </c>
      <c r="K22" s="309">
        <v>0</v>
      </c>
      <c r="L22" s="299">
        <v>0</v>
      </c>
      <c r="M22" s="308">
        <v>0</v>
      </c>
      <c r="N22" s="309">
        <v>90000</v>
      </c>
      <c r="O22" s="288">
        <v>66600</v>
      </c>
    </row>
    <row r="23" spans="1:15" ht="24.95" customHeight="1" x14ac:dyDescent="0.2">
      <c r="A23" s="1168" t="s">
        <v>575</v>
      </c>
      <c r="B23" s="1168"/>
      <c r="C23" s="1168"/>
      <c r="D23" s="1168"/>
      <c r="E23" s="1168"/>
      <c r="F23" s="1168"/>
      <c r="G23" s="308">
        <v>0</v>
      </c>
      <c r="H23" s="309">
        <v>1000000</v>
      </c>
      <c r="I23" s="288">
        <v>313270</v>
      </c>
      <c r="J23" s="310">
        <v>0</v>
      </c>
      <c r="K23" s="309">
        <v>195000</v>
      </c>
      <c r="L23" s="299">
        <v>69308</v>
      </c>
      <c r="M23" s="308">
        <v>0</v>
      </c>
      <c r="N23" s="309">
        <v>2184997</v>
      </c>
      <c r="O23" s="288">
        <v>583618</v>
      </c>
    </row>
    <row r="24" spans="1:15" ht="24.95" customHeight="1" x14ac:dyDescent="0.2">
      <c r="A24" s="1168" t="s">
        <v>138</v>
      </c>
      <c r="B24" s="1168"/>
      <c r="C24" s="1168"/>
      <c r="D24" s="1168"/>
      <c r="E24" s="1168"/>
      <c r="F24" s="1168"/>
      <c r="G24" s="308">
        <v>2567420</v>
      </c>
      <c r="H24" s="309">
        <v>2567420</v>
      </c>
      <c r="I24" s="288">
        <v>2567407</v>
      </c>
      <c r="J24" s="310">
        <v>513484</v>
      </c>
      <c r="K24" s="309">
        <v>513484</v>
      </c>
      <c r="L24" s="299">
        <v>437892</v>
      </c>
      <c r="M24" s="308">
        <v>15801155</v>
      </c>
      <c r="N24" s="309">
        <v>14385155</v>
      </c>
      <c r="O24" s="288">
        <v>13449140</v>
      </c>
    </row>
    <row r="25" spans="1:15" ht="24.95" customHeight="1" x14ac:dyDescent="0.2">
      <c r="A25" s="1168" t="s">
        <v>576</v>
      </c>
      <c r="B25" s="1168"/>
      <c r="C25" s="1168"/>
      <c r="D25" s="1168"/>
      <c r="E25" s="1168"/>
      <c r="F25" s="1168"/>
      <c r="G25" s="311">
        <v>0</v>
      </c>
      <c r="H25" s="312">
        <v>0</v>
      </c>
      <c r="I25" s="293">
        <v>0</v>
      </c>
      <c r="J25" s="313">
        <v>0</v>
      </c>
      <c r="K25" s="312">
        <v>0</v>
      </c>
      <c r="L25" s="302">
        <v>0</v>
      </c>
      <c r="M25" s="311">
        <v>0</v>
      </c>
      <c r="N25" s="312">
        <v>2059500</v>
      </c>
      <c r="O25" s="293">
        <v>2058994</v>
      </c>
    </row>
    <row r="26" spans="1:15" ht="24.95" customHeight="1" x14ac:dyDescent="0.2">
      <c r="A26" s="1168" t="s">
        <v>253</v>
      </c>
      <c r="B26" s="1168"/>
      <c r="C26" s="1168"/>
      <c r="D26" s="1168"/>
      <c r="E26" s="1168"/>
      <c r="F26" s="1168"/>
      <c r="G26" s="311">
        <v>0</v>
      </c>
      <c r="H26" s="312">
        <v>0</v>
      </c>
      <c r="I26" s="293">
        <v>0</v>
      </c>
      <c r="J26" s="313">
        <v>0</v>
      </c>
      <c r="K26" s="312">
        <v>0</v>
      </c>
      <c r="L26" s="302">
        <v>0</v>
      </c>
      <c r="M26" s="311">
        <v>35000</v>
      </c>
      <c r="N26" s="312">
        <v>35000</v>
      </c>
      <c r="O26" s="293">
        <v>1284</v>
      </c>
    </row>
    <row r="27" spans="1:15" ht="24.95" customHeight="1" x14ac:dyDescent="0.2">
      <c r="A27" s="1168" t="s">
        <v>577</v>
      </c>
      <c r="B27" s="1168"/>
      <c r="C27" s="1168"/>
      <c r="D27" s="1168"/>
      <c r="E27" s="1168"/>
      <c r="F27" s="1168"/>
      <c r="G27" s="311">
        <v>0</v>
      </c>
      <c r="H27" s="312">
        <v>440000</v>
      </c>
      <c r="I27" s="293">
        <v>439159</v>
      </c>
      <c r="J27" s="313">
        <v>0</v>
      </c>
      <c r="K27" s="312">
        <v>77000</v>
      </c>
      <c r="L27" s="302">
        <v>50603</v>
      </c>
      <c r="M27" s="311">
        <v>25500</v>
      </c>
      <c r="N27" s="312">
        <v>25500</v>
      </c>
      <c r="O27" s="293">
        <v>0</v>
      </c>
    </row>
    <row r="28" spans="1:15" ht="24.95" customHeight="1" thickBot="1" x14ac:dyDescent="0.25">
      <c r="A28" s="1180" t="s">
        <v>139</v>
      </c>
      <c r="B28" s="1180"/>
      <c r="C28" s="1180"/>
      <c r="D28" s="1180"/>
      <c r="E28" s="1180"/>
      <c r="F28" s="1180"/>
      <c r="G28" s="311">
        <v>0</v>
      </c>
      <c r="H28" s="312">
        <v>0</v>
      </c>
      <c r="I28" s="293">
        <v>0</v>
      </c>
      <c r="J28" s="313">
        <v>0</v>
      </c>
      <c r="K28" s="312">
        <v>0</v>
      </c>
      <c r="L28" s="302">
        <v>0</v>
      </c>
      <c r="M28" s="311">
        <v>0</v>
      </c>
      <c r="N28" s="312">
        <v>4459000</v>
      </c>
      <c r="O28" s="293">
        <v>4456624</v>
      </c>
    </row>
    <row r="29" spans="1:15" ht="24.95" customHeight="1" thickBot="1" x14ac:dyDescent="0.25">
      <c r="A29" s="1181" t="s">
        <v>140</v>
      </c>
      <c r="B29" s="1181"/>
      <c r="C29" s="1181"/>
      <c r="D29" s="1181"/>
      <c r="E29" s="1181"/>
      <c r="F29" s="1181"/>
      <c r="G29" s="314">
        <f t="shared" ref="G29:O29" si="0">SUM(G11:G28)</f>
        <v>30307480</v>
      </c>
      <c r="H29" s="314">
        <f t="shared" si="0"/>
        <v>40752430</v>
      </c>
      <c r="I29" s="314">
        <f t="shared" si="0"/>
        <v>38687297</v>
      </c>
      <c r="J29" s="314">
        <f t="shared" si="0"/>
        <v>6007195</v>
      </c>
      <c r="K29" s="314">
        <f t="shared" si="0"/>
        <v>7122484</v>
      </c>
      <c r="L29" s="314">
        <f t="shared" si="0"/>
        <v>6333202</v>
      </c>
      <c r="M29" s="314">
        <f t="shared" si="0"/>
        <v>52032402</v>
      </c>
      <c r="N29" s="314">
        <f t="shared" si="0"/>
        <v>75058164</v>
      </c>
      <c r="O29" s="314">
        <f t="shared" si="0"/>
        <v>67021144</v>
      </c>
    </row>
    <row r="30" spans="1:15" ht="24.95" customHeight="1" x14ac:dyDescent="0.2">
      <c r="A30" s="1174" t="s">
        <v>569</v>
      </c>
      <c r="B30" s="1175"/>
      <c r="C30" s="1175"/>
      <c r="D30" s="1175"/>
      <c r="E30" s="1175"/>
      <c r="F30" s="1176"/>
      <c r="G30" s="828">
        <f>'2019.telj.Kiad.Hiv.'!C21</f>
        <v>56493693</v>
      </c>
      <c r="H30" s="829">
        <f>'2019.telj.Kiad.Hiv.'!D21</f>
        <v>64140280</v>
      </c>
      <c r="I30" s="830">
        <f>'2019.telj.Kiad.Hiv.'!G21</f>
        <v>63607914</v>
      </c>
      <c r="J30" s="837">
        <f>'2019.telj.Kiad.Hiv.'!C24</f>
        <v>11579939</v>
      </c>
      <c r="K30" s="829">
        <f>'2019.telj.Kiad.Hiv.'!D24</f>
        <v>12089552</v>
      </c>
      <c r="L30" s="834">
        <f>'2019.telj.Kiad.Hiv.'!G24</f>
        <v>11992343</v>
      </c>
      <c r="M30" s="828">
        <f>'2019.telj.Kiad.Hiv.'!C34</f>
        <v>2500000</v>
      </c>
      <c r="N30" s="829">
        <f>'2019.telj.Kiad.Hiv.'!D34</f>
        <v>3710244</v>
      </c>
      <c r="O30" s="830">
        <f>'2019.telj.Kiad.Hiv.'!G34</f>
        <v>3253390</v>
      </c>
    </row>
    <row r="31" spans="1:15" ht="24.95" customHeight="1" x14ac:dyDescent="0.2">
      <c r="A31" s="1177" t="s">
        <v>570</v>
      </c>
      <c r="B31" s="1178"/>
      <c r="C31" s="1178"/>
      <c r="D31" s="1178"/>
      <c r="E31" s="1178"/>
      <c r="F31" s="1179"/>
      <c r="G31" s="831">
        <f>'2019.telj.Kiad.Ovi'!C16</f>
        <v>47033020</v>
      </c>
      <c r="H31" s="832">
        <f>'2019.telj.Kiad.Ovi'!D16</f>
        <v>47667351</v>
      </c>
      <c r="I31" s="833">
        <f>'2019.telj.Kiad.Ovi'!G16</f>
        <v>47334721</v>
      </c>
      <c r="J31" s="838">
        <f>'2019.telj.Kiad.Ovi'!C19</f>
        <v>9222381</v>
      </c>
      <c r="K31" s="832">
        <f>'2019.telj.Kiad.Ovi'!D19</f>
        <v>9168050</v>
      </c>
      <c r="L31" s="835">
        <f>'2019.telj.Kiad.Ovi'!G19</f>
        <v>8979240</v>
      </c>
      <c r="M31" s="831">
        <f>'2019.telj.Kiad.Ovi'!C31</f>
        <v>7454900</v>
      </c>
      <c r="N31" s="832">
        <f>'2019.telj.Kiad.Ovi'!D31</f>
        <v>6699599</v>
      </c>
      <c r="O31" s="833">
        <f>'2019.telj.Kiad.Ovi'!G31</f>
        <v>5885901</v>
      </c>
    </row>
    <row r="32" spans="1:15" ht="24.95" customHeight="1" thickBot="1" x14ac:dyDescent="0.25">
      <c r="A32" s="1161" t="s">
        <v>571</v>
      </c>
      <c r="B32" s="1162"/>
      <c r="C32" s="1162"/>
      <c r="D32" s="1162"/>
      <c r="E32" s="1162"/>
      <c r="F32" s="1163"/>
      <c r="G32" s="825">
        <f>'2019.telj.Kiad.Műv.'!C15</f>
        <v>7296000</v>
      </c>
      <c r="H32" s="826">
        <f>'2019.telj.Kiad.Műv.'!D15</f>
        <v>7123000</v>
      </c>
      <c r="I32" s="827">
        <f>'2019.telj.Kiad.Műv.'!G15</f>
        <v>7122600</v>
      </c>
      <c r="J32" s="839">
        <f>'2019.telj.Kiad.Műv.'!C18</f>
        <v>1367900</v>
      </c>
      <c r="K32" s="826">
        <f>'2019.telj.Kiad.Műv.'!D18</f>
        <v>1334900</v>
      </c>
      <c r="L32" s="836">
        <f>'2019.telj.Kiad.Műv.'!G18</f>
        <v>1315300</v>
      </c>
      <c r="M32" s="825">
        <f>'2019.telj.Kiad.Műv.'!C29</f>
        <v>4723500</v>
      </c>
      <c r="N32" s="826">
        <f>'2019.telj.Kiad.Műv.'!D29</f>
        <v>4294500</v>
      </c>
      <c r="O32" s="827">
        <f>'2019.telj.Kiad.Műv.'!G29</f>
        <v>2111338</v>
      </c>
    </row>
    <row r="33" spans="1:16" ht="29.25" customHeight="1" thickBot="1" x14ac:dyDescent="0.25">
      <c r="A33" s="1164" t="s">
        <v>74</v>
      </c>
      <c r="B33" s="1165"/>
      <c r="C33" s="1165"/>
      <c r="D33" s="1165"/>
      <c r="E33" s="1165"/>
      <c r="F33" s="1166"/>
      <c r="G33" s="364">
        <f>SUM(G29:G32)</f>
        <v>141130193</v>
      </c>
      <c r="H33" s="364">
        <f t="shared" ref="H33:O33" si="1">SUM(H29:H32)</f>
        <v>159683061</v>
      </c>
      <c r="I33" s="364">
        <f t="shared" si="1"/>
        <v>156752532</v>
      </c>
      <c r="J33" s="364">
        <f t="shared" si="1"/>
        <v>28177415</v>
      </c>
      <c r="K33" s="364">
        <f t="shared" si="1"/>
        <v>29714986</v>
      </c>
      <c r="L33" s="364">
        <f t="shared" si="1"/>
        <v>28620085</v>
      </c>
      <c r="M33" s="364">
        <f t="shared" si="1"/>
        <v>66710802</v>
      </c>
      <c r="N33" s="364">
        <f t="shared" si="1"/>
        <v>89762507</v>
      </c>
      <c r="O33" s="366">
        <f t="shared" si="1"/>
        <v>78271773</v>
      </c>
    </row>
    <row r="34" spans="1:16" ht="24.95" customHeight="1" x14ac:dyDescent="0.2">
      <c r="G34" s="234"/>
      <c r="H34" s="234"/>
      <c r="I34" s="234"/>
      <c r="J34" s="234"/>
      <c r="K34" s="234"/>
      <c r="L34" s="234"/>
      <c r="M34" s="234"/>
      <c r="N34" s="234"/>
      <c r="O34" s="234"/>
      <c r="P34" s="127"/>
    </row>
    <row r="35" spans="1:16" ht="24.95" customHeight="1" x14ac:dyDescent="0.2">
      <c r="G35" s="234"/>
      <c r="H35" s="234"/>
      <c r="I35" s="234"/>
      <c r="J35" s="234"/>
      <c r="K35" s="234"/>
      <c r="L35" s="234"/>
      <c r="M35" s="234"/>
      <c r="N35" s="234"/>
      <c r="O35" s="234"/>
      <c r="P35" s="127"/>
    </row>
    <row r="36" spans="1:16" ht="24.95" customHeight="1" x14ac:dyDescent="0.2">
      <c r="G36" s="234"/>
      <c r="H36" s="234"/>
      <c r="I36" s="234"/>
      <c r="J36" s="234"/>
      <c r="K36" s="234"/>
      <c r="L36" s="234"/>
      <c r="M36" s="234"/>
      <c r="N36" s="234"/>
      <c r="O36" s="234"/>
      <c r="P36" s="127"/>
    </row>
    <row r="37" spans="1:16" x14ac:dyDescent="0.2">
      <c r="G37" s="234"/>
      <c r="H37" s="234"/>
      <c r="I37" s="234"/>
      <c r="J37" s="234"/>
      <c r="K37" s="234"/>
      <c r="L37" s="234"/>
      <c r="M37" s="234"/>
      <c r="N37" s="234"/>
      <c r="O37" s="234"/>
      <c r="P37" s="127"/>
    </row>
    <row r="38" spans="1:16" x14ac:dyDescent="0.2">
      <c r="G38" s="234"/>
      <c r="H38" s="234"/>
      <c r="I38" s="234"/>
      <c r="J38" s="234"/>
      <c r="K38" s="234"/>
      <c r="L38" s="234"/>
      <c r="M38" s="234"/>
      <c r="N38" s="234"/>
      <c r="O38" s="234"/>
      <c r="P38" s="127"/>
    </row>
    <row r="39" spans="1:16" x14ac:dyDescent="0.2">
      <c r="G39" s="234"/>
      <c r="H39" s="234"/>
      <c r="I39" s="234"/>
      <c r="J39" s="234"/>
      <c r="K39" s="234"/>
      <c r="L39" s="234"/>
      <c r="M39" s="234"/>
      <c r="N39" s="234"/>
      <c r="O39" s="234"/>
      <c r="P39" s="127"/>
    </row>
    <row r="40" spans="1:16" x14ac:dyDescent="0.2">
      <c r="G40" s="234"/>
      <c r="H40" s="234"/>
      <c r="I40" s="234"/>
      <c r="J40" s="234"/>
      <c r="K40" s="234"/>
      <c r="L40" s="234"/>
      <c r="M40" s="234"/>
      <c r="N40" s="234"/>
      <c r="O40" s="234"/>
      <c r="P40" s="127"/>
    </row>
    <row r="41" spans="1:16" x14ac:dyDescent="0.2">
      <c r="G41" s="234"/>
      <c r="H41" s="234"/>
      <c r="I41" s="234"/>
      <c r="J41" s="234"/>
      <c r="K41" s="234"/>
      <c r="L41" s="234"/>
      <c r="M41" s="234"/>
      <c r="N41" s="234"/>
      <c r="O41" s="234"/>
      <c r="P41" s="127"/>
    </row>
    <row r="42" spans="1:16" x14ac:dyDescent="0.2">
      <c r="G42" s="234"/>
      <c r="H42" s="234"/>
      <c r="I42" s="234"/>
      <c r="J42" s="234"/>
      <c r="K42" s="234"/>
      <c r="L42" s="234"/>
      <c r="M42" s="234"/>
      <c r="N42" s="234"/>
      <c r="O42" s="234"/>
      <c r="P42" s="127"/>
    </row>
    <row r="43" spans="1:16" x14ac:dyDescent="0.2">
      <c r="G43" s="234"/>
      <c r="H43" s="234"/>
      <c r="I43" s="234"/>
      <c r="J43" s="234"/>
      <c r="K43" s="234"/>
      <c r="L43" s="234"/>
      <c r="M43" s="234"/>
      <c r="N43" s="234"/>
      <c r="O43" s="234"/>
      <c r="P43" s="127"/>
    </row>
    <row r="44" spans="1:16" x14ac:dyDescent="0.2">
      <c r="G44" s="235"/>
      <c r="H44" s="235"/>
      <c r="I44" s="235"/>
      <c r="J44" s="235"/>
      <c r="K44" s="235"/>
      <c r="L44" s="235"/>
      <c r="M44" s="235"/>
      <c r="N44" s="235"/>
      <c r="O44" s="235"/>
      <c r="P44" s="127"/>
    </row>
    <row r="45" spans="1:16" x14ac:dyDescent="0.2">
      <c r="G45" s="127"/>
      <c r="H45" s="127"/>
      <c r="I45" s="127"/>
      <c r="J45" s="127"/>
      <c r="K45" s="127"/>
      <c r="L45" s="127"/>
      <c r="M45" s="127"/>
      <c r="N45" s="127"/>
      <c r="O45" s="127"/>
      <c r="P45" s="127"/>
    </row>
  </sheetData>
  <mergeCells count="31">
    <mergeCell ref="A30:F30"/>
    <mergeCell ref="A31:F31"/>
    <mergeCell ref="A13:F13"/>
    <mergeCell ref="A17:F17"/>
    <mergeCell ref="A22:F22"/>
    <mergeCell ref="A25:F25"/>
    <mergeCell ref="A27:F27"/>
    <mergeCell ref="A28:F28"/>
    <mergeCell ref="A29:F29"/>
    <mergeCell ref="A23:F23"/>
    <mergeCell ref="A19:F19"/>
    <mergeCell ref="A20:F20"/>
    <mergeCell ref="A21:F21"/>
    <mergeCell ref="A24:F24"/>
    <mergeCell ref="A26:F26"/>
    <mergeCell ref="A2:O2"/>
    <mergeCell ref="A32:F32"/>
    <mergeCell ref="A33:F33"/>
    <mergeCell ref="A11:F11"/>
    <mergeCell ref="A12:F12"/>
    <mergeCell ref="A14:F14"/>
    <mergeCell ref="A15:F15"/>
    <mergeCell ref="A4:O4"/>
    <mergeCell ref="A5:O5"/>
    <mergeCell ref="A6:O6"/>
    <mergeCell ref="A9:F10"/>
    <mergeCell ref="G9:I9"/>
    <mergeCell ref="J9:L9"/>
    <mergeCell ref="M9:O9"/>
    <mergeCell ref="A16:F16"/>
    <mergeCell ref="A18:F18"/>
  </mergeCells>
  <phoneticPr fontId="14" type="noConversion"/>
  <pageMargins left="0.78740157480314965" right="0.19685039370078741" top="0.59055118110236227" bottom="0.59055118110236227" header="0.51181102362204722" footer="0.51181102362204722"/>
  <pageSetup paperSize="9" scale="73" orientation="landscape" r:id="rId1"/>
  <headerFooter alignWithMargins="0">
    <oddHeader>&amp;R2019.12.31.</oddHeader>
    <oddFooter>&amp;C&amp;P/&amp;N</oddFooter>
  </headerFooter>
  <rowBreaks count="1" manualBreakCount="1">
    <brk id="33" max="1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2"/>
  <sheetViews>
    <sheetView zoomScaleNormal="100" zoomScaleSheetLayoutView="100" workbookViewId="0">
      <selection activeCell="A2" sqref="A2:F2"/>
    </sheetView>
  </sheetViews>
  <sheetFormatPr defaultRowHeight="12.75" x14ac:dyDescent="0.2"/>
  <cols>
    <col min="1" max="1" width="5.5703125" customWidth="1"/>
    <col min="2" max="2" width="64.85546875" customWidth="1"/>
    <col min="3" max="3" width="15.7109375" customWidth="1"/>
    <col min="4" max="4" width="14.5703125" customWidth="1"/>
    <col min="5" max="5" width="17.140625" customWidth="1"/>
    <col min="6" max="6" width="6.5703125" customWidth="1"/>
    <col min="7" max="7" width="12.140625" customWidth="1"/>
    <col min="8" max="8" width="13.85546875" customWidth="1"/>
    <col min="10" max="10" width="9" customWidth="1"/>
    <col min="13" max="13" width="6" bestFit="1" customWidth="1"/>
    <col min="18" max="18" width="6" bestFit="1" customWidth="1"/>
    <col min="19" max="19" width="10" bestFit="1" customWidth="1"/>
  </cols>
  <sheetData>
    <row r="1" spans="1:9" ht="14.25" x14ac:dyDescent="0.2">
      <c r="A1" s="1157" t="s">
        <v>638</v>
      </c>
      <c r="B1" s="1157"/>
      <c r="C1" s="1157"/>
      <c r="D1" s="1157"/>
      <c r="E1" s="1157"/>
      <c r="F1" s="1157"/>
    </row>
    <row r="2" spans="1:9" ht="14.25" x14ac:dyDescent="0.2">
      <c r="A2" s="1156"/>
      <c r="B2" s="1157"/>
      <c r="C2" s="1157"/>
      <c r="D2" s="1157"/>
      <c r="E2" s="1157"/>
      <c r="F2" s="1157"/>
    </row>
    <row r="3" spans="1:9" ht="17.25" customHeight="1" x14ac:dyDescent="0.2"/>
    <row r="4" spans="1:9" ht="18" customHeight="1" x14ac:dyDescent="0.25">
      <c r="A4" s="1153" t="s">
        <v>303</v>
      </c>
      <c r="B4" s="1153"/>
      <c r="C4" s="1153"/>
      <c r="D4" s="1153"/>
      <c r="E4" s="1153"/>
      <c r="F4" s="1153"/>
    </row>
    <row r="5" spans="1:9" ht="15.75" x14ac:dyDescent="0.25">
      <c r="A5" s="1154" t="s">
        <v>286</v>
      </c>
      <c r="B5" s="1154"/>
      <c r="C5" s="1154"/>
      <c r="D5" s="1154"/>
      <c r="E5" s="1154"/>
      <c r="F5" s="1154"/>
    </row>
    <row r="6" spans="1:9" ht="15.75" x14ac:dyDescent="0.25">
      <c r="B6" s="20"/>
      <c r="C6" s="134"/>
      <c r="D6" s="134"/>
      <c r="E6" s="20"/>
    </row>
    <row r="7" spans="1:9" ht="15.75" customHeight="1" x14ac:dyDescent="0.25">
      <c r="A7" s="1188"/>
      <c r="B7" s="1188"/>
      <c r="C7" s="1188"/>
      <c r="D7" s="1188"/>
      <c r="E7" s="1188"/>
      <c r="F7" s="1188"/>
    </row>
    <row r="8" spans="1:9" ht="15.75" customHeight="1" x14ac:dyDescent="0.25">
      <c r="A8" s="37"/>
      <c r="B8" s="37"/>
      <c r="C8" s="133"/>
      <c r="D8" s="133"/>
      <c r="E8" s="37"/>
      <c r="F8" s="37"/>
    </row>
    <row r="9" spans="1:9" ht="15.75" customHeight="1" x14ac:dyDescent="0.25">
      <c r="A9" s="37"/>
      <c r="B9" s="37"/>
      <c r="C9" s="133"/>
      <c r="D9" s="133"/>
      <c r="E9" s="37"/>
      <c r="F9" s="37"/>
    </row>
    <row r="10" spans="1:9" ht="14.25" thickBot="1" x14ac:dyDescent="0.3">
      <c r="B10" s="1184" t="s">
        <v>59</v>
      </c>
      <c r="C10" s="1184"/>
      <c r="D10" s="1184"/>
      <c r="E10" s="1185"/>
    </row>
    <row r="11" spans="1:9" ht="30" customHeight="1" thickBot="1" x14ac:dyDescent="0.25">
      <c r="B11" s="345" t="s">
        <v>39</v>
      </c>
      <c r="C11" s="345" t="s">
        <v>82</v>
      </c>
      <c r="D11" s="335" t="s">
        <v>83</v>
      </c>
      <c r="E11" s="345" t="s">
        <v>84</v>
      </c>
    </row>
    <row r="12" spans="1:9" ht="30" customHeight="1" x14ac:dyDescent="0.2">
      <c r="B12" s="214" t="s">
        <v>261</v>
      </c>
      <c r="C12" s="367">
        <v>0</v>
      </c>
      <c r="D12" s="217">
        <v>103500</v>
      </c>
      <c r="E12" s="218">
        <v>0</v>
      </c>
    </row>
    <row r="13" spans="1:9" ht="30" customHeight="1" x14ac:dyDescent="0.2">
      <c r="B13" s="215" t="s">
        <v>109</v>
      </c>
      <c r="C13" s="221">
        <v>10707000</v>
      </c>
      <c r="D13" s="221">
        <f>D14+D19</f>
        <v>10207000</v>
      </c>
      <c r="E13" s="221">
        <f>E14+E19</f>
        <v>10059167</v>
      </c>
    </row>
    <row r="14" spans="1:9" ht="30" customHeight="1" x14ac:dyDescent="0.2">
      <c r="B14" s="346" t="s">
        <v>105</v>
      </c>
      <c r="C14" s="368"/>
      <c r="D14" s="465">
        <v>4540000</v>
      </c>
      <c r="E14" s="466">
        <f>E15+E16+E17+E18</f>
        <v>4151662</v>
      </c>
      <c r="I14" s="42"/>
    </row>
    <row r="15" spans="1:9" ht="30" customHeight="1" x14ac:dyDescent="0.2">
      <c r="B15" s="216" t="s">
        <v>586</v>
      </c>
      <c r="C15" s="369"/>
      <c r="D15" s="212"/>
      <c r="E15" s="220">
        <v>67911</v>
      </c>
    </row>
    <row r="16" spans="1:9" ht="30" customHeight="1" x14ac:dyDescent="0.2">
      <c r="B16" s="216" t="s">
        <v>585</v>
      </c>
      <c r="C16" s="369"/>
      <c r="D16" s="212"/>
      <c r="E16" s="220">
        <f>3629926+100000</f>
        <v>3729926</v>
      </c>
    </row>
    <row r="17" spans="1:8" ht="30" customHeight="1" x14ac:dyDescent="0.2">
      <c r="B17" s="216" t="s">
        <v>583</v>
      </c>
      <c r="C17" s="369"/>
      <c r="D17" s="212">
        <v>0</v>
      </c>
      <c r="E17" s="220">
        <v>230000</v>
      </c>
    </row>
    <row r="18" spans="1:8" ht="30" customHeight="1" x14ac:dyDescent="0.2">
      <c r="B18" s="216" t="s">
        <v>584</v>
      </c>
      <c r="C18" s="369"/>
      <c r="D18" s="212">
        <v>0</v>
      </c>
      <c r="E18" s="220">
        <f>112000+11825</f>
        <v>123825</v>
      </c>
    </row>
    <row r="19" spans="1:8" ht="30" customHeight="1" x14ac:dyDescent="0.2">
      <c r="B19" s="346" t="s">
        <v>108</v>
      </c>
      <c r="C19" s="368"/>
      <c r="D19" s="465">
        <v>5667000</v>
      </c>
      <c r="E19" s="466">
        <f>E20+E21+E22+E24</f>
        <v>5907505</v>
      </c>
    </row>
    <row r="20" spans="1:8" ht="30" customHeight="1" x14ac:dyDescent="0.2">
      <c r="B20" s="216" t="s">
        <v>585</v>
      </c>
      <c r="C20" s="369"/>
      <c r="D20" s="212">
        <v>0</v>
      </c>
      <c r="E20" s="219">
        <f>4546500+144800</f>
        <v>4691300</v>
      </c>
    </row>
    <row r="21" spans="1:8" ht="30" customHeight="1" x14ac:dyDescent="0.2">
      <c r="B21" s="216" t="s">
        <v>579</v>
      </c>
      <c r="C21" s="213"/>
      <c r="D21" s="212">
        <v>2000000</v>
      </c>
      <c r="E21" s="219">
        <v>233000</v>
      </c>
    </row>
    <row r="22" spans="1:8" ht="30" customHeight="1" x14ac:dyDescent="0.2">
      <c r="B22" s="216" t="s">
        <v>580</v>
      </c>
      <c r="C22" s="213"/>
      <c r="D22" s="212">
        <v>350000</v>
      </c>
      <c r="E22" s="219">
        <f>750000+35000</f>
        <v>785000</v>
      </c>
    </row>
    <row r="23" spans="1:8" ht="30" customHeight="1" x14ac:dyDescent="0.2">
      <c r="B23" s="216" t="s">
        <v>581</v>
      </c>
      <c r="C23" s="213"/>
      <c r="D23" s="212">
        <v>80000</v>
      </c>
      <c r="E23" s="219"/>
    </row>
    <row r="24" spans="1:8" ht="30" customHeight="1" x14ac:dyDescent="0.2">
      <c r="B24" s="216" t="s">
        <v>107</v>
      </c>
      <c r="C24" s="369"/>
      <c r="D24" s="212">
        <v>710000</v>
      </c>
      <c r="E24" s="219">
        <f>118000+30000+47205+3000</f>
        <v>198205</v>
      </c>
    </row>
    <row r="25" spans="1:8" ht="30" customHeight="1" x14ac:dyDescent="0.2">
      <c r="B25" s="216" t="s">
        <v>582</v>
      </c>
      <c r="C25" s="369"/>
      <c r="D25" s="212">
        <v>200000</v>
      </c>
      <c r="E25" s="219"/>
    </row>
    <row r="26" spans="1:8" ht="30" customHeight="1" x14ac:dyDescent="0.2">
      <c r="B26" s="216" t="s">
        <v>583</v>
      </c>
      <c r="C26" s="369"/>
      <c r="D26" s="212">
        <v>500000</v>
      </c>
      <c r="E26" s="219"/>
    </row>
    <row r="27" spans="1:8" ht="30" customHeight="1" x14ac:dyDescent="0.2">
      <c r="B27" s="216" t="s">
        <v>106</v>
      </c>
      <c r="C27" s="211"/>
      <c r="D27" s="210">
        <v>700000</v>
      </c>
      <c r="E27" s="219"/>
    </row>
    <row r="28" spans="1:8" ht="30" customHeight="1" thickBot="1" x14ac:dyDescent="0.25">
      <c r="B28" s="346" t="s">
        <v>578</v>
      </c>
      <c r="C28" s="213">
        <v>500000</v>
      </c>
      <c r="D28" s="212">
        <v>500000</v>
      </c>
      <c r="E28" s="220">
        <v>111825</v>
      </c>
    </row>
    <row r="29" spans="1:8" ht="30" customHeight="1" thickBot="1" x14ac:dyDescent="0.25">
      <c r="B29" s="333" t="s">
        <v>53</v>
      </c>
      <c r="C29" s="347">
        <f>C12+C13</f>
        <v>10707000</v>
      </c>
      <c r="D29" s="347">
        <f>D12+D13+D28</f>
        <v>10810500</v>
      </c>
      <c r="E29" s="347">
        <f>E12+E13</f>
        <v>10059167</v>
      </c>
    </row>
    <row r="31" spans="1:8" ht="17.25" customHeight="1" x14ac:dyDescent="0.2">
      <c r="A31" s="127"/>
      <c r="B31" s="127"/>
      <c r="C31" s="127"/>
      <c r="D31" s="127"/>
      <c r="E31" s="127"/>
      <c r="F31" s="127"/>
      <c r="G31" s="127"/>
      <c r="H31" s="127"/>
    </row>
    <row r="32" spans="1:8" x14ac:dyDescent="0.2">
      <c r="A32" s="127"/>
      <c r="B32" s="127"/>
      <c r="C32" s="127"/>
      <c r="D32" s="127"/>
      <c r="E32" s="127"/>
      <c r="F32" s="127"/>
      <c r="G32" s="127"/>
      <c r="H32" s="128"/>
    </row>
    <row r="33" spans="1:8" x14ac:dyDescent="0.2">
      <c r="A33" s="1186"/>
      <c r="B33" s="1182"/>
      <c r="C33" s="1182"/>
      <c r="D33" s="1182"/>
      <c r="E33" s="1182"/>
      <c r="F33" s="1182"/>
      <c r="G33" s="1182"/>
      <c r="H33" s="1182"/>
    </row>
    <row r="34" spans="1:8" x14ac:dyDescent="0.2">
      <c r="A34" s="1187"/>
      <c r="B34" s="1182"/>
      <c r="C34" s="1182"/>
      <c r="D34" s="1182"/>
      <c r="E34" s="1182"/>
      <c r="F34" s="1182"/>
      <c r="G34" s="1182"/>
      <c r="H34" s="1182"/>
    </row>
    <row r="35" spans="1:8" ht="15" customHeight="1" x14ac:dyDescent="0.2">
      <c r="A35" s="129"/>
      <c r="B35" s="1182"/>
      <c r="C35" s="1182"/>
      <c r="D35" s="1182"/>
      <c r="E35" s="1182"/>
      <c r="F35" s="1182"/>
      <c r="G35" s="130"/>
      <c r="H35" s="131"/>
    </row>
    <row r="36" spans="1:8" ht="15" customHeight="1" x14ac:dyDescent="0.2">
      <c r="A36" s="129"/>
      <c r="B36" s="1182"/>
      <c r="C36" s="1182"/>
      <c r="D36" s="1182"/>
      <c r="E36" s="1182"/>
      <c r="F36" s="1182"/>
      <c r="G36" s="130"/>
      <c r="H36" s="131"/>
    </row>
    <row r="37" spans="1:8" ht="15" customHeight="1" x14ac:dyDescent="0.2">
      <c r="A37" s="129"/>
      <c r="B37" s="1182"/>
      <c r="C37" s="1182"/>
      <c r="D37" s="1182"/>
      <c r="E37" s="1182"/>
      <c r="F37" s="1182"/>
      <c r="G37" s="130"/>
      <c r="H37" s="131"/>
    </row>
    <row r="38" spans="1:8" ht="15" customHeight="1" x14ac:dyDescent="0.2">
      <c r="A38" s="129"/>
      <c r="B38" s="1182"/>
      <c r="C38" s="1182"/>
      <c r="D38" s="1182"/>
      <c r="E38" s="1182"/>
      <c r="F38" s="1182"/>
      <c r="G38" s="130"/>
      <c r="H38" s="131"/>
    </row>
    <row r="39" spans="1:8" ht="15" customHeight="1" x14ac:dyDescent="0.2">
      <c r="A39" s="129"/>
      <c r="B39" s="113"/>
      <c r="C39" s="135"/>
      <c r="D39" s="135"/>
      <c r="E39" s="113"/>
      <c r="F39" s="113"/>
      <c r="G39" s="130"/>
      <c r="H39" s="131"/>
    </row>
    <row r="40" spans="1:8" ht="15" customHeight="1" x14ac:dyDescent="0.2">
      <c r="A40" s="129"/>
      <c r="B40" s="1182"/>
      <c r="C40" s="1182"/>
      <c r="D40" s="1182"/>
      <c r="E40" s="1182"/>
      <c r="F40" s="1182"/>
      <c r="G40" s="130"/>
      <c r="H40" s="131"/>
    </row>
    <row r="41" spans="1:8" ht="15" customHeight="1" x14ac:dyDescent="0.2">
      <c r="A41" s="129"/>
      <c r="B41" s="1182"/>
      <c r="C41" s="1182"/>
      <c r="D41" s="1182"/>
      <c r="E41" s="1182"/>
      <c r="F41" s="1182"/>
      <c r="G41" s="130"/>
      <c r="H41" s="131"/>
    </row>
    <row r="42" spans="1:8" x14ac:dyDescent="0.2">
      <c r="A42" s="1183"/>
      <c r="B42" s="1183"/>
      <c r="C42" s="1183"/>
      <c r="D42" s="1183"/>
      <c r="E42" s="1183"/>
      <c r="F42" s="1183"/>
      <c r="G42" s="1183"/>
      <c r="H42" s="69"/>
    </row>
    <row r="43" spans="1:8" x14ac:dyDescent="0.2">
      <c r="A43" s="68"/>
      <c r="B43" s="68"/>
      <c r="C43" s="136"/>
      <c r="D43" s="136"/>
      <c r="E43" s="68"/>
      <c r="F43" s="68"/>
      <c r="G43" s="68"/>
      <c r="H43" s="69"/>
    </row>
    <row r="44" spans="1:8" x14ac:dyDescent="0.2">
      <c r="A44" s="127"/>
      <c r="B44" s="1182"/>
      <c r="C44" s="1182"/>
      <c r="D44" s="1182"/>
      <c r="E44" s="1182"/>
      <c r="F44" s="1182"/>
      <c r="G44" s="127"/>
      <c r="H44" s="126"/>
    </row>
    <row r="45" spans="1:8" x14ac:dyDescent="0.2">
      <c r="A45" s="127"/>
      <c r="B45" s="127"/>
      <c r="C45" s="127"/>
      <c r="D45" s="127"/>
      <c r="E45" s="127"/>
      <c r="F45" s="127"/>
      <c r="G45" s="127"/>
      <c r="H45" s="127"/>
    </row>
    <row r="46" spans="1:8" x14ac:dyDescent="0.2">
      <c r="A46" s="127"/>
      <c r="B46" s="127"/>
      <c r="C46" s="127"/>
      <c r="D46" s="127"/>
      <c r="E46" s="127"/>
      <c r="F46" s="127"/>
      <c r="G46" s="127"/>
      <c r="H46" s="127"/>
    </row>
    <row r="72" spans="5:5" x14ac:dyDescent="0.2">
      <c r="E72" s="43"/>
    </row>
  </sheetData>
  <mergeCells count="16">
    <mergeCell ref="A7:F7"/>
    <mergeCell ref="A1:F1"/>
    <mergeCell ref="A2:F2"/>
    <mergeCell ref="A4:F4"/>
    <mergeCell ref="A5:F5"/>
    <mergeCell ref="B10:E10"/>
    <mergeCell ref="A33:H33"/>
    <mergeCell ref="A34:H34"/>
    <mergeCell ref="B35:F35"/>
    <mergeCell ref="B36:F36"/>
    <mergeCell ref="B44:F44"/>
    <mergeCell ref="B37:F37"/>
    <mergeCell ref="B38:F38"/>
    <mergeCell ref="B40:F40"/>
    <mergeCell ref="B41:F41"/>
    <mergeCell ref="A42:G42"/>
  </mergeCells>
  <phoneticPr fontId="0" type="noConversion"/>
  <printOptions horizontalCentered="1" verticalCentered="1"/>
  <pageMargins left="0.78740157480314965" right="0.78740157480314965" top="0.15748031496062992" bottom="0.98425196850393704" header="0" footer="0.51181102362204722"/>
  <pageSetup paperSize="9" scale="69" orientation="portrait" r:id="rId1"/>
  <headerFooter alignWithMargins="0">
    <oddHeader>&amp;R2019.12.31.</oddHeader>
    <oddFooter>&amp;C&amp;P/&amp;N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5:I62"/>
  <sheetViews>
    <sheetView topLeftCell="A16" zoomScaleNormal="100" zoomScaleSheetLayoutView="100" workbookViewId="0">
      <selection activeCell="A6" sqref="A6:B6"/>
    </sheetView>
  </sheetViews>
  <sheetFormatPr defaultRowHeight="12.75" x14ac:dyDescent="0.2"/>
  <cols>
    <col min="1" max="1" width="7.85546875" customWidth="1"/>
    <col min="2" max="2" width="64.5703125" customWidth="1"/>
    <col min="3" max="3" width="16.5703125" customWidth="1"/>
    <col min="4" max="4" width="15.85546875" customWidth="1"/>
    <col min="5" max="5" width="14.85546875" customWidth="1"/>
    <col min="7" max="7" width="8.28515625" customWidth="1"/>
    <col min="9" max="9" width="10.42578125" bestFit="1" customWidth="1"/>
    <col min="10" max="10" width="9" customWidth="1"/>
    <col min="13" max="13" width="6" bestFit="1" customWidth="1"/>
    <col min="18" max="18" width="6" bestFit="1" customWidth="1"/>
    <col min="19" max="19" width="10" bestFit="1" customWidth="1"/>
  </cols>
  <sheetData>
    <row r="5" spans="1:9" ht="15" customHeight="1" x14ac:dyDescent="0.2">
      <c r="B5" s="1157" t="s">
        <v>639</v>
      </c>
      <c r="C5" s="1157"/>
      <c r="D5" s="1157"/>
      <c r="E5" s="1157"/>
    </row>
    <row r="6" spans="1:9" ht="15" customHeight="1" x14ac:dyDescent="0.2">
      <c r="A6" s="1156"/>
      <c r="B6" s="1156"/>
      <c r="C6" s="132"/>
      <c r="D6" s="132"/>
    </row>
    <row r="7" spans="1:9" ht="15" customHeight="1" x14ac:dyDescent="0.2">
      <c r="A7" s="18"/>
      <c r="B7" s="18"/>
      <c r="C7" s="46"/>
      <c r="D7" s="46"/>
    </row>
    <row r="8" spans="1:9" ht="15.75" x14ac:dyDescent="0.25">
      <c r="B8" s="1153" t="s">
        <v>303</v>
      </c>
      <c r="C8" s="1153"/>
      <c r="D8" s="1153"/>
      <c r="E8" s="1153"/>
    </row>
    <row r="9" spans="1:9" ht="15.75" x14ac:dyDescent="0.25">
      <c r="B9" s="1154" t="s">
        <v>287</v>
      </c>
      <c r="C9" s="1154"/>
      <c r="D9" s="1154"/>
      <c r="E9" s="1154"/>
    </row>
    <row r="10" spans="1:9" ht="15.75" x14ac:dyDescent="0.25">
      <c r="A10" s="20"/>
      <c r="B10" s="20"/>
      <c r="C10" s="134"/>
      <c r="D10" s="134"/>
    </row>
    <row r="11" spans="1:9" ht="15.75" x14ac:dyDescent="0.25">
      <c r="B11" s="1154"/>
      <c r="C11" s="1154"/>
      <c r="D11" s="1154"/>
      <c r="E11" s="1154"/>
    </row>
    <row r="12" spans="1:9" ht="16.5" customHeight="1" x14ac:dyDescent="0.2"/>
    <row r="13" spans="1:9" ht="14.25" thickBot="1" x14ac:dyDescent="0.3">
      <c r="B13" s="70"/>
      <c r="C13" s="70"/>
      <c r="D13" s="70"/>
      <c r="E13" s="71" t="s">
        <v>59</v>
      </c>
      <c r="I13" s="42"/>
    </row>
    <row r="14" spans="1:9" ht="24.75" customHeight="1" thickBot="1" x14ac:dyDescent="0.3">
      <c r="B14" s="351" t="s">
        <v>43</v>
      </c>
      <c r="C14" s="356" t="s">
        <v>82</v>
      </c>
      <c r="D14" s="336" t="s">
        <v>83</v>
      </c>
      <c r="E14" s="336" t="s">
        <v>84</v>
      </c>
    </row>
    <row r="15" spans="1:9" ht="24.75" customHeight="1" x14ac:dyDescent="0.25">
      <c r="B15" s="352" t="s">
        <v>587</v>
      </c>
      <c r="C15" s="357"/>
      <c r="D15" s="348"/>
      <c r="E15" s="348">
        <v>0</v>
      </c>
    </row>
    <row r="16" spans="1:9" ht="24.75" customHeight="1" x14ac:dyDescent="0.25">
      <c r="B16" s="840" t="s">
        <v>588</v>
      </c>
      <c r="C16" s="357">
        <v>0</v>
      </c>
      <c r="D16" s="348">
        <v>1913000</v>
      </c>
      <c r="E16" s="348">
        <v>630000</v>
      </c>
    </row>
    <row r="17" spans="2:9" ht="24.75" customHeight="1" x14ac:dyDescent="0.25">
      <c r="B17" s="840" t="s">
        <v>589</v>
      </c>
      <c r="C17" s="357">
        <v>0</v>
      </c>
      <c r="D17" s="348">
        <v>450000</v>
      </c>
      <c r="E17" s="348">
        <v>450000</v>
      </c>
    </row>
    <row r="18" spans="2:9" ht="20.100000000000001" customHeight="1" x14ac:dyDescent="0.25">
      <c r="B18" s="352" t="s">
        <v>54</v>
      </c>
      <c r="C18" s="357"/>
      <c r="D18" s="348"/>
      <c r="E18" s="348"/>
    </row>
    <row r="19" spans="2:9" ht="20.100000000000001" customHeight="1" x14ac:dyDescent="0.25">
      <c r="B19" s="353" t="s">
        <v>590</v>
      </c>
      <c r="C19" s="357">
        <v>0</v>
      </c>
      <c r="D19" s="348">
        <v>389500</v>
      </c>
      <c r="E19" s="348">
        <v>389500</v>
      </c>
    </row>
    <row r="20" spans="2:9" ht="20.100000000000001" customHeight="1" x14ac:dyDescent="0.25">
      <c r="B20" s="354" t="s">
        <v>291</v>
      </c>
      <c r="C20" s="357">
        <v>0</v>
      </c>
      <c r="D20" s="348">
        <f>2700000-133000-2000000</f>
        <v>567000</v>
      </c>
      <c r="E20" s="348">
        <f>695808-132676</f>
        <v>563132</v>
      </c>
    </row>
    <row r="21" spans="2:9" ht="20.100000000000001" customHeight="1" x14ac:dyDescent="0.25">
      <c r="B21" s="354" t="s">
        <v>591</v>
      </c>
      <c r="C21" s="357">
        <v>0</v>
      </c>
      <c r="D21" s="348">
        <v>133000</v>
      </c>
      <c r="E21" s="348">
        <v>132676</v>
      </c>
    </row>
    <row r="22" spans="2:9" ht="20.100000000000001" customHeight="1" x14ac:dyDescent="0.25">
      <c r="B22" s="354" t="s">
        <v>592</v>
      </c>
      <c r="C22" s="357">
        <v>0</v>
      </c>
      <c r="D22" s="348">
        <v>2000000</v>
      </c>
      <c r="E22" s="348">
        <v>0</v>
      </c>
    </row>
    <row r="23" spans="2:9" ht="20.100000000000001" customHeight="1" x14ac:dyDescent="0.25">
      <c r="B23" s="354" t="s">
        <v>593</v>
      </c>
      <c r="C23" s="357">
        <v>300000</v>
      </c>
      <c r="D23" s="348">
        <v>800000</v>
      </c>
      <c r="E23" s="348">
        <v>426823</v>
      </c>
    </row>
    <row r="24" spans="2:9" ht="20.100000000000001" customHeight="1" x14ac:dyDescent="0.25">
      <c r="B24" s="354" t="s">
        <v>594</v>
      </c>
      <c r="C24" s="357">
        <v>0</v>
      </c>
      <c r="D24" s="348">
        <v>1270000</v>
      </c>
      <c r="E24" s="348">
        <v>1253622</v>
      </c>
    </row>
    <row r="25" spans="2:9" ht="20.100000000000001" customHeight="1" thickBot="1" x14ac:dyDescent="0.3">
      <c r="B25" s="841" t="s">
        <v>55</v>
      </c>
      <c r="C25" s="843">
        <v>81000</v>
      </c>
      <c r="D25" s="844">
        <f>1660000+304000+216000</f>
        <v>2180000</v>
      </c>
      <c r="E25" s="844">
        <f>584634+297851+112542</f>
        <v>995027</v>
      </c>
    </row>
    <row r="26" spans="2:9" ht="20.100000000000001" customHeight="1" thickBot="1" x14ac:dyDescent="0.3">
      <c r="B26" s="371" t="s">
        <v>70</v>
      </c>
      <c r="C26" s="848">
        <f>C19+C20+C22+C23+C24+C25+C15</f>
        <v>381000</v>
      </c>
      <c r="D26" s="848">
        <f>SUM(D16:D25)</f>
        <v>9702500</v>
      </c>
      <c r="E26" s="848">
        <f>SUM(E16:E25)</f>
        <v>4840780</v>
      </c>
    </row>
    <row r="27" spans="2:9" ht="20.100000000000001" customHeight="1" thickBot="1" x14ac:dyDescent="0.3">
      <c r="B27" s="845"/>
      <c r="C27" s="846"/>
      <c r="D27" s="847"/>
      <c r="E27" s="847"/>
    </row>
    <row r="28" spans="2:9" ht="20.100000000000001" customHeight="1" thickBot="1" x14ac:dyDescent="0.3">
      <c r="B28" s="842" t="s">
        <v>44</v>
      </c>
      <c r="C28" s="356" t="s">
        <v>82</v>
      </c>
      <c r="D28" s="336" t="s">
        <v>83</v>
      </c>
      <c r="E28" s="336" t="s">
        <v>84</v>
      </c>
      <c r="G28" s="72"/>
    </row>
    <row r="29" spans="2:9" ht="20.100000000000001" customHeight="1" x14ac:dyDescent="0.25">
      <c r="B29" s="352" t="s">
        <v>56</v>
      </c>
      <c r="C29" s="358"/>
      <c r="D29" s="349"/>
      <c r="E29" s="349"/>
      <c r="G29" s="72"/>
    </row>
    <row r="30" spans="2:9" ht="20.100000000000001" customHeight="1" x14ac:dyDescent="0.25">
      <c r="B30" s="354" t="s">
        <v>595</v>
      </c>
      <c r="C30" s="359">
        <v>8582677</v>
      </c>
      <c r="D30" s="73">
        <v>108860000</v>
      </c>
      <c r="E30" s="73">
        <v>115856750</v>
      </c>
      <c r="G30" s="72"/>
    </row>
    <row r="31" spans="2:9" ht="20.100000000000001" customHeight="1" x14ac:dyDescent="0.25">
      <c r="B31" s="354" t="s">
        <v>596</v>
      </c>
      <c r="C31" s="359"/>
      <c r="D31" s="73">
        <v>2000000</v>
      </c>
      <c r="E31" s="73">
        <v>2000000</v>
      </c>
      <c r="G31" s="72"/>
      <c r="I31" s="850"/>
    </row>
    <row r="32" spans="2:9" ht="20.100000000000001" customHeight="1" x14ac:dyDescent="0.25">
      <c r="B32" s="354" t="s">
        <v>597</v>
      </c>
      <c r="C32" s="359"/>
      <c r="D32" s="73">
        <v>5000000</v>
      </c>
      <c r="E32" s="73">
        <f>4765549+40000</f>
        <v>4805549</v>
      </c>
      <c r="G32" s="72"/>
    </row>
    <row r="33" spans="2:9" ht="20.100000000000001" customHeight="1" x14ac:dyDescent="0.25">
      <c r="B33" s="354" t="s">
        <v>598</v>
      </c>
      <c r="C33" s="359">
        <v>6471537</v>
      </c>
      <c r="D33" s="73">
        <v>10819007</v>
      </c>
      <c r="E33" s="73">
        <v>10819007</v>
      </c>
      <c r="G33" s="72"/>
      <c r="I33" s="850"/>
    </row>
    <row r="34" spans="2:9" ht="20.100000000000001" customHeight="1" x14ac:dyDescent="0.25">
      <c r="B34" s="354" t="s">
        <v>599</v>
      </c>
      <c r="C34" s="359"/>
      <c r="D34" s="73">
        <v>160000</v>
      </c>
      <c r="E34" s="73">
        <v>159477</v>
      </c>
      <c r="G34" s="72"/>
    </row>
    <row r="35" spans="2:9" ht="20.100000000000001" customHeight="1" x14ac:dyDescent="0.25">
      <c r="B35" s="354" t="s">
        <v>600</v>
      </c>
      <c r="C35" s="359">
        <v>38000000</v>
      </c>
      <c r="D35" s="73">
        <v>45000000</v>
      </c>
      <c r="E35" s="73">
        <v>0</v>
      </c>
      <c r="G35" s="72"/>
    </row>
    <row r="36" spans="2:9" ht="29.25" customHeight="1" x14ac:dyDescent="0.25">
      <c r="B36" s="471" t="s">
        <v>601</v>
      </c>
      <c r="C36" s="359"/>
      <c r="D36" s="73">
        <v>170000</v>
      </c>
      <c r="E36" s="73">
        <v>170000</v>
      </c>
      <c r="I36" s="850"/>
    </row>
    <row r="37" spans="2:9" ht="27" customHeight="1" x14ac:dyDescent="0.25">
      <c r="B37" s="355" t="s">
        <v>73</v>
      </c>
      <c r="C37" s="851">
        <v>4064639</v>
      </c>
      <c r="D37" s="852">
        <v>25955132</v>
      </c>
      <c r="E37" s="852">
        <v>25857910</v>
      </c>
    </row>
    <row r="38" spans="2:9" ht="27" customHeight="1" thickBot="1" x14ac:dyDescent="0.3">
      <c r="B38" s="355" t="s">
        <v>602</v>
      </c>
      <c r="C38" s="851">
        <v>0</v>
      </c>
      <c r="D38" s="853">
        <v>1263000</v>
      </c>
      <c r="E38" s="853">
        <v>1262706</v>
      </c>
    </row>
    <row r="39" spans="2:9" ht="22.5" customHeight="1" thickBot="1" x14ac:dyDescent="0.3">
      <c r="B39" s="371" t="s">
        <v>71</v>
      </c>
      <c r="C39" s="849">
        <f>SUM(C30:C38)</f>
        <v>57118853</v>
      </c>
      <c r="D39" s="849">
        <f>SUM(D30:D38)</f>
        <v>199227139</v>
      </c>
      <c r="E39" s="849">
        <f>SUM(E30:E38)</f>
        <v>160931399</v>
      </c>
    </row>
    <row r="40" spans="2:9" ht="16.5" thickBot="1" x14ac:dyDescent="0.3">
      <c r="B40" s="41"/>
      <c r="C40" s="74"/>
      <c r="D40" s="74"/>
      <c r="E40" s="74"/>
    </row>
    <row r="41" spans="2:9" ht="24.75" customHeight="1" thickBot="1" x14ac:dyDescent="0.3">
      <c r="B41" s="371" t="s">
        <v>45</v>
      </c>
      <c r="C41" s="372">
        <f>C26+C39</f>
        <v>57499853</v>
      </c>
      <c r="D41" s="350">
        <f>D26+D39</f>
        <v>208929639</v>
      </c>
      <c r="E41" s="350">
        <f>E26+E39</f>
        <v>165772179</v>
      </c>
    </row>
    <row r="62" spans="5:5" x14ac:dyDescent="0.2">
      <c r="E62" s="43"/>
    </row>
  </sheetData>
  <mergeCells count="5">
    <mergeCell ref="B11:E11"/>
    <mergeCell ref="A6:B6"/>
    <mergeCell ref="B5:E5"/>
    <mergeCell ref="B8:E8"/>
    <mergeCell ref="B9:E9"/>
  </mergeCells>
  <phoneticPr fontId="14" type="noConversion"/>
  <pageMargins left="0.75" right="0.75" top="1" bottom="1" header="0.5" footer="0.5"/>
  <pageSetup paperSize="9" scale="68" orientation="portrait" r:id="rId1"/>
  <headerFooter alignWithMargins="0">
    <oddHeader>&amp;R2019.12.31.</oddHeader>
    <oddFooter>&amp;C&amp;P/&amp;N</oddFooter>
  </headerFooter>
  <colBreaks count="1" manualBreakCount="1">
    <brk id="7" max="38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I84"/>
  <sheetViews>
    <sheetView zoomScaleNormal="100" workbookViewId="0">
      <selection activeCell="A4" sqref="A4:F4"/>
    </sheetView>
  </sheetViews>
  <sheetFormatPr defaultRowHeight="12.75" x14ac:dyDescent="0.2"/>
  <cols>
    <col min="2" max="2" width="61.140625" customWidth="1"/>
    <col min="3" max="3" width="15.42578125" customWidth="1"/>
    <col min="4" max="4" width="16.5703125" customWidth="1"/>
    <col min="5" max="5" width="16" customWidth="1"/>
    <col min="7" max="7" width="8.28515625" customWidth="1"/>
    <col min="10" max="10" width="9" customWidth="1"/>
    <col min="13" max="13" width="6" bestFit="1" customWidth="1"/>
    <col min="18" max="18" width="6" bestFit="1" customWidth="1"/>
    <col min="19" max="19" width="10" bestFit="1" customWidth="1"/>
  </cols>
  <sheetData>
    <row r="3" spans="1:9" ht="15" customHeight="1" x14ac:dyDescent="0.2">
      <c r="A3" s="1157" t="s">
        <v>640</v>
      </c>
      <c r="B3" s="1157"/>
      <c r="C3" s="1157"/>
      <c r="D3" s="1157"/>
      <c r="E3" s="1157"/>
      <c r="F3" s="1157"/>
      <c r="G3" s="19"/>
      <c r="H3" s="19"/>
      <c r="I3" s="19"/>
    </row>
    <row r="4" spans="1:9" ht="15" customHeight="1" x14ac:dyDescent="0.2">
      <c r="A4" s="1156"/>
      <c r="B4" s="1157"/>
      <c r="C4" s="1157"/>
      <c r="D4" s="1157"/>
      <c r="E4" s="1157"/>
      <c r="F4" s="1157"/>
      <c r="G4" s="19"/>
      <c r="H4" s="19"/>
      <c r="I4" s="19"/>
    </row>
    <row r="5" spans="1:9" ht="15" x14ac:dyDescent="0.2">
      <c r="B5" s="18"/>
      <c r="C5" s="46"/>
      <c r="D5" s="46"/>
      <c r="E5" s="18"/>
      <c r="F5" s="18"/>
      <c r="G5" s="18"/>
    </row>
    <row r="6" spans="1:9" ht="15.75" x14ac:dyDescent="0.25">
      <c r="A6" s="1153" t="s">
        <v>303</v>
      </c>
      <c r="B6" s="1153"/>
      <c r="C6" s="1153"/>
      <c r="D6" s="1153"/>
      <c r="E6" s="1153"/>
      <c r="F6" s="1153"/>
      <c r="G6" s="21"/>
      <c r="H6" s="21"/>
      <c r="I6" s="21"/>
    </row>
    <row r="7" spans="1:9" ht="15.75" x14ac:dyDescent="0.25">
      <c r="A7" s="1154" t="s">
        <v>288</v>
      </c>
      <c r="B7" s="1154"/>
      <c r="C7" s="1154"/>
      <c r="D7" s="1154"/>
      <c r="E7" s="1154"/>
      <c r="F7" s="1154"/>
      <c r="G7" s="22"/>
      <c r="H7" s="22"/>
      <c r="I7" s="22"/>
    </row>
    <row r="10" spans="1:9" ht="15.75" x14ac:dyDescent="0.25">
      <c r="A10" s="1191"/>
      <c r="B10" s="1191"/>
      <c r="C10" s="1191"/>
      <c r="D10" s="1191"/>
      <c r="E10" s="1191"/>
      <c r="F10" s="1191"/>
      <c r="G10" s="23"/>
      <c r="H10" s="23"/>
      <c r="I10" s="23"/>
    </row>
    <row r="13" spans="1:9" x14ac:dyDescent="0.2">
      <c r="E13" s="61" t="s">
        <v>68</v>
      </c>
      <c r="F13" s="10"/>
      <c r="I13" s="42"/>
    </row>
    <row r="14" spans="1:9" ht="13.5" thickBot="1" x14ac:dyDescent="0.25">
      <c r="E14" s="61"/>
      <c r="F14" s="180"/>
      <c r="I14" s="42"/>
    </row>
    <row r="15" spans="1:9" ht="24.95" customHeight="1" thickBot="1" x14ac:dyDescent="0.25">
      <c r="B15" s="337" t="s">
        <v>8</v>
      </c>
      <c r="C15" s="338" t="s">
        <v>82</v>
      </c>
      <c r="D15" s="339" t="s">
        <v>83</v>
      </c>
      <c r="E15" s="340" t="s">
        <v>84</v>
      </c>
    </row>
    <row r="16" spans="1:9" ht="30" customHeight="1" x14ac:dyDescent="0.25">
      <c r="B16" s="855" t="s">
        <v>141</v>
      </c>
      <c r="C16" s="256">
        <v>300000</v>
      </c>
      <c r="D16" s="250">
        <v>10000</v>
      </c>
      <c r="E16" s="241">
        <v>7589</v>
      </c>
    </row>
    <row r="17" spans="2:5" ht="30" customHeight="1" x14ac:dyDescent="0.25">
      <c r="B17" s="854" t="s">
        <v>142</v>
      </c>
      <c r="C17" s="258"/>
      <c r="D17" s="252"/>
      <c r="E17" s="240"/>
    </row>
    <row r="18" spans="2:5" ht="30" customHeight="1" x14ac:dyDescent="0.25">
      <c r="B18" s="242" t="s">
        <v>143</v>
      </c>
      <c r="C18" s="257">
        <v>900000</v>
      </c>
      <c r="D18" s="251">
        <v>775000</v>
      </c>
      <c r="E18" s="243">
        <v>775000</v>
      </c>
    </row>
    <row r="19" spans="2:5" ht="30" customHeight="1" x14ac:dyDescent="0.25">
      <c r="B19" s="242" t="s">
        <v>144</v>
      </c>
      <c r="C19" s="257">
        <v>5000000</v>
      </c>
      <c r="D19" s="251">
        <v>3773099</v>
      </c>
      <c r="E19" s="243">
        <v>3773099</v>
      </c>
    </row>
    <row r="20" spans="2:5" ht="30" customHeight="1" x14ac:dyDescent="0.25">
      <c r="B20" s="242" t="s">
        <v>145</v>
      </c>
      <c r="C20" s="257">
        <v>700000</v>
      </c>
      <c r="D20" s="1189">
        <v>7156000</v>
      </c>
      <c r="E20" s="243">
        <v>466354</v>
      </c>
    </row>
    <row r="21" spans="2:5" ht="30" customHeight="1" x14ac:dyDescent="0.25">
      <c r="B21" s="242" t="s">
        <v>262</v>
      </c>
      <c r="C21" s="257">
        <v>1716000</v>
      </c>
      <c r="D21" s="1190"/>
      <c r="E21" s="243">
        <v>837851</v>
      </c>
    </row>
    <row r="22" spans="2:5" ht="30" customHeight="1" x14ac:dyDescent="0.25">
      <c r="B22" s="242" t="s">
        <v>290</v>
      </c>
      <c r="C22" s="257">
        <v>0</v>
      </c>
      <c r="D22" s="251">
        <v>250000</v>
      </c>
      <c r="E22" s="243">
        <v>250000</v>
      </c>
    </row>
    <row r="23" spans="2:5" ht="30" customHeight="1" x14ac:dyDescent="0.25">
      <c r="B23" s="244" t="s">
        <v>147</v>
      </c>
      <c r="C23" s="245">
        <f>C18+C19+C20+C21</f>
        <v>8316000</v>
      </c>
      <c r="D23" s="245">
        <f t="shared" ref="D23:E23" si="0">D18+D19+D20+D21</f>
        <v>11704099</v>
      </c>
      <c r="E23" s="245">
        <f t="shared" si="0"/>
        <v>5852304</v>
      </c>
    </row>
    <row r="24" spans="2:5" ht="30" customHeight="1" x14ac:dyDescent="0.25">
      <c r="B24" s="244"/>
      <c r="C24" s="245"/>
      <c r="D24" s="253"/>
      <c r="E24" s="245"/>
    </row>
    <row r="25" spans="2:5" ht="30" customHeight="1" x14ac:dyDescent="0.25">
      <c r="B25" s="854" t="s">
        <v>146</v>
      </c>
      <c r="C25" s="258"/>
      <c r="D25" s="252"/>
      <c r="E25" s="240"/>
    </row>
    <row r="26" spans="2:5" ht="30" customHeight="1" x14ac:dyDescent="0.25">
      <c r="B26" s="242" t="s">
        <v>603</v>
      </c>
      <c r="C26" s="257">
        <v>50000</v>
      </c>
      <c r="D26" s="251">
        <v>50000</v>
      </c>
      <c r="E26" s="467">
        <v>77000</v>
      </c>
    </row>
    <row r="27" spans="2:5" ht="30" customHeight="1" x14ac:dyDescent="0.25">
      <c r="B27" s="249" t="s">
        <v>604</v>
      </c>
      <c r="C27" s="259">
        <v>150000</v>
      </c>
      <c r="D27" s="254">
        <v>150000</v>
      </c>
      <c r="E27" s="468">
        <v>325000</v>
      </c>
    </row>
    <row r="28" spans="2:5" ht="30" customHeight="1" x14ac:dyDescent="0.25">
      <c r="B28" s="249" t="s">
        <v>605</v>
      </c>
      <c r="C28" s="259">
        <v>100000</v>
      </c>
      <c r="D28" s="254">
        <v>100000</v>
      </c>
      <c r="E28" s="468">
        <v>0</v>
      </c>
    </row>
    <row r="29" spans="2:5" ht="30" customHeight="1" x14ac:dyDescent="0.25">
      <c r="B29" s="249" t="s">
        <v>606</v>
      </c>
      <c r="C29" s="259">
        <v>1800000</v>
      </c>
      <c r="D29" s="254">
        <v>1800000</v>
      </c>
      <c r="E29" s="468">
        <v>1970000</v>
      </c>
    </row>
    <row r="30" spans="2:5" ht="30" customHeight="1" x14ac:dyDescent="0.25">
      <c r="B30" s="249" t="s">
        <v>607</v>
      </c>
      <c r="C30" s="259">
        <v>100000</v>
      </c>
      <c r="D30" s="254">
        <v>100000</v>
      </c>
      <c r="E30" s="468">
        <v>100000</v>
      </c>
    </row>
    <row r="31" spans="2:5" ht="30" customHeight="1" x14ac:dyDescent="0.25">
      <c r="B31" s="249" t="s">
        <v>608</v>
      </c>
      <c r="C31" s="259">
        <v>400000</v>
      </c>
      <c r="D31" s="254">
        <v>400000</v>
      </c>
      <c r="E31" s="468">
        <v>400000</v>
      </c>
    </row>
    <row r="32" spans="2:5" ht="30" customHeight="1" x14ac:dyDescent="0.25">
      <c r="B32" s="249" t="s">
        <v>609</v>
      </c>
      <c r="C32" s="259">
        <v>400000</v>
      </c>
      <c r="D32" s="254">
        <v>400000</v>
      </c>
      <c r="E32" s="468">
        <v>400000</v>
      </c>
    </row>
    <row r="33" spans="2:5" ht="30" customHeight="1" x14ac:dyDescent="0.25">
      <c r="B33" s="249" t="s">
        <v>610</v>
      </c>
      <c r="C33" s="259">
        <v>450000</v>
      </c>
      <c r="D33" s="254">
        <v>450000</v>
      </c>
      <c r="E33" s="468">
        <v>450000</v>
      </c>
    </row>
    <row r="34" spans="2:5" ht="30" customHeight="1" x14ac:dyDescent="0.25">
      <c r="B34" s="249" t="s">
        <v>611</v>
      </c>
      <c r="C34" s="259">
        <v>500000</v>
      </c>
      <c r="D34" s="254">
        <v>500000</v>
      </c>
      <c r="E34" s="468">
        <v>500000</v>
      </c>
    </row>
    <row r="35" spans="2:5" ht="30" customHeight="1" x14ac:dyDescent="0.25">
      <c r="B35" s="249" t="s">
        <v>612</v>
      </c>
      <c r="C35" s="259">
        <v>1057000</v>
      </c>
      <c r="D35" s="254">
        <v>1057000</v>
      </c>
      <c r="E35" s="468">
        <f>233364+15136</f>
        <v>248500</v>
      </c>
    </row>
    <row r="36" spans="2:5" ht="30" customHeight="1" x14ac:dyDescent="0.25">
      <c r="B36" s="249" t="s">
        <v>619</v>
      </c>
      <c r="C36" s="259">
        <v>30000</v>
      </c>
      <c r="D36" s="254">
        <v>30000</v>
      </c>
      <c r="E36" s="468">
        <v>283364</v>
      </c>
    </row>
    <row r="37" spans="2:5" ht="30" customHeight="1" x14ac:dyDescent="0.25">
      <c r="B37" s="249" t="s">
        <v>263</v>
      </c>
      <c r="C37" s="259">
        <v>50000</v>
      </c>
      <c r="D37" s="254">
        <v>50000</v>
      </c>
      <c r="E37" s="468">
        <v>49480</v>
      </c>
    </row>
    <row r="38" spans="2:5" ht="30" customHeight="1" x14ac:dyDescent="0.25">
      <c r="B38" s="249" t="s">
        <v>613</v>
      </c>
      <c r="C38" s="361">
        <v>300000</v>
      </c>
      <c r="D38" s="362">
        <v>300000</v>
      </c>
      <c r="E38" s="469">
        <v>300000</v>
      </c>
    </row>
    <row r="39" spans="2:5" ht="30" customHeight="1" x14ac:dyDescent="0.25">
      <c r="B39" s="249" t="s">
        <v>614</v>
      </c>
      <c r="C39" s="361">
        <v>200000</v>
      </c>
      <c r="D39" s="362">
        <v>200000</v>
      </c>
      <c r="E39" s="469">
        <v>100000</v>
      </c>
    </row>
    <row r="40" spans="2:5" ht="30" customHeight="1" x14ac:dyDescent="0.25">
      <c r="B40" s="360" t="s">
        <v>615</v>
      </c>
      <c r="C40" s="361">
        <v>50000</v>
      </c>
      <c r="D40" s="362">
        <v>50000</v>
      </c>
      <c r="E40" s="469">
        <v>0</v>
      </c>
    </row>
    <row r="41" spans="2:5" ht="30" customHeight="1" x14ac:dyDescent="0.25">
      <c r="B41" s="360" t="s">
        <v>616</v>
      </c>
      <c r="C41" s="361">
        <v>100000</v>
      </c>
      <c r="D41" s="362">
        <v>100000</v>
      </c>
      <c r="E41" s="469">
        <v>100000</v>
      </c>
    </row>
    <row r="42" spans="2:5" ht="30" customHeight="1" x14ac:dyDescent="0.25">
      <c r="B42" s="360" t="s">
        <v>617</v>
      </c>
      <c r="C42" s="361">
        <v>70000</v>
      </c>
      <c r="D42" s="362">
        <v>70000</v>
      </c>
      <c r="E42" s="469">
        <v>525693</v>
      </c>
    </row>
    <row r="43" spans="2:5" ht="30" customHeight="1" x14ac:dyDescent="0.25">
      <c r="B43" s="360" t="s">
        <v>620</v>
      </c>
      <c r="C43" s="361">
        <v>300000</v>
      </c>
      <c r="D43" s="362">
        <v>300000</v>
      </c>
      <c r="E43" s="469">
        <v>250000</v>
      </c>
    </row>
    <row r="44" spans="2:5" ht="30" customHeight="1" thickBot="1" x14ac:dyDescent="0.3">
      <c r="B44" s="246" t="s">
        <v>618</v>
      </c>
      <c r="C44" s="260">
        <v>100000</v>
      </c>
      <c r="D44" s="255">
        <v>100000</v>
      </c>
      <c r="E44" s="470">
        <v>10000</v>
      </c>
    </row>
    <row r="45" spans="2:5" ht="24.95" customHeight="1" thickBot="1" x14ac:dyDescent="0.3">
      <c r="B45" s="247" t="s">
        <v>146</v>
      </c>
      <c r="C45" s="248">
        <f>SUM(C26:C44)</f>
        <v>6207000</v>
      </c>
      <c r="D45" s="248">
        <f>SUM(D26:D44)</f>
        <v>6207000</v>
      </c>
      <c r="E45" s="248">
        <f>SUM(E26:E44)</f>
        <v>6089037</v>
      </c>
    </row>
    <row r="46" spans="2:5" ht="30" customHeight="1" thickBot="1" x14ac:dyDescent="0.3">
      <c r="B46" s="341" t="s">
        <v>148</v>
      </c>
      <c r="C46" s="342">
        <f>C23+C45++C16</f>
        <v>14823000</v>
      </c>
      <c r="D46" s="342">
        <f>D23+D45++D16</f>
        <v>17921099</v>
      </c>
      <c r="E46" s="342">
        <f>E23+E45++E16</f>
        <v>11948930</v>
      </c>
    </row>
    <row r="84" spans="5:5" x14ac:dyDescent="0.2">
      <c r="E84" s="43"/>
    </row>
  </sheetData>
  <mergeCells count="6">
    <mergeCell ref="D20:D21"/>
    <mergeCell ref="A3:F3"/>
    <mergeCell ref="A6:F6"/>
    <mergeCell ref="A7:F7"/>
    <mergeCell ref="A10:F10"/>
    <mergeCell ref="A4:F4"/>
  </mergeCells>
  <phoneticPr fontId="14" type="noConversion"/>
  <pageMargins left="0.75" right="0.75" top="1" bottom="1" header="0.5" footer="0.5"/>
  <pageSetup paperSize="9" scale="61" orientation="portrait" r:id="rId1"/>
  <headerFooter alignWithMargins="0">
    <oddHeader>&amp;R2019.12.31.</oddHeader>
    <oddFooter>&amp;C&amp;P/&amp;N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DF412-2CBB-47A6-AADB-58E04371C875}">
  <sheetPr>
    <pageSetUpPr fitToPage="1"/>
  </sheetPr>
  <dimension ref="A1:D165"/>
  <sheetViews>
    <sheetView zoomScaleNormal="100" workbookViewId="0">
      <selection activeCell="A3" sqref="A3:D3"/>
    </sheetView>
  </sheetViews>
  <sheetFormatPr defaultRowHeight="12.75" x14ac:dyDescent="0.2"/>
  <cols>
    <col min="1" max="1" width="45.42578125" customWidth="1"/>
    <col min="2" max="2" width="11.7109375" customWidth="1"/>
    <col min="3" max="3" width="50" customWidth="1"/>
    <col min="4" max="4" width="11.28515625" customWidth="1"/>
  </cols>
  <sheetData>
    <row r="1" spans="1:4" ht="15.75" x14ac:dyDescent="0.25">
      <c r="A1" s="1194" t="s">
        <v>641</v>
      </c>
      <c r="B1" s="1194"/>
      <c r="C1" s="1194"/>
      <c r="D1" s="1194"/>
    </row>
    <row r="2" spans="1:4" ht="15.75" x14ac:dyDescent="0.25">
      <c r="A2" s="1195" t="s">
        <v>632</v>
      </c>
      <c r="B2" s="1195"/>
      <c r="C2" s="1195"/>
      <c r="D2" s="1195"/>
    </row>
    <row r="3" spans="1:4" x14ac:dyDescent="0.2">
      <c r="A3" s="1196" t="s">
        <v>289</v>
      </c>
      <c r="B3" s="1197"/>
      <c r="C3" s="1197"/>
      <c r="D3" s="1197"/>
    </row>
    <row r="4" spans="1:4" ht="23.25" customHeight="1" x14ac:dyDescent="0.2">
      <c r="A4" s="263"/>
      <c r="B4" s="264"/>
      <c r="C4" s="264"/>
      <c r="D4" s="264"/>
    </row>
    <row r="5" spans="1:4" ht="13.5" thickBot="1" x14ac:dyDescent="0.25">
      <c r="A5" s="1198" t="s">
        <v>59</v>
      </c>
      <c r="B5" s="1198"/>
      <c r="C5" s="1198"/>
      <c r="D5" s="1198"/>
    </row>
    <row r="6" spans="1:4" ht="24.95" customHeight="1" thickBot="1" x14ac:dyDescent="0.25">
      <c r="A6" s="1199" t="s">
        <v>149</v>
      </c>
      <c r="B6" s="1193"/>
      <c r="C6" s="1192" t="s">
        <v>150</v>
      </c>
      <c r="D6" s="1193"/>
    </row>
    <row r="7" spans="1:4" ht="24.95" customHeight="1" x14ac:dyDescent="0.2">
      <c r="A7" s="265" t="s">
        <v>151</v>
      </c>
      <c r="B7" s="281">
        <v>551151</v>
      </c>
      <c r="C7" s="856" t="s">
        <v>152</v>
      </c>
      <c r="D7" s="281">
        <v>1069885054</v>
      </c>
    </row>
    <row r="8" spans="1:4" ht="24.95" customHeight="1" x14ac:dyDescent="0.2">
      <c r="A8" s="266" t="s">
        <v>153</v>
      </c>
      <c r="B8" s="282">
        <v>235011</v>
      </c>
      <c r="C8" s="856" t="s">
        <v>625</v>
      </c>
      <c r="D8" s="281">
        <v>26363947</v>
      </c>
    </row>
    <row r="9" spans="1:4" ht="24.95" customHeight="1" x14ac:dyDescent="0.2">
      <c r="A9" s="267" t="s">
        <v>155</v>
      </c>
      <c r="B9" s="283">
        <f>B7+B8</f>
        <v>786162</v>
      </c>
      <c r="C9" s="857" t="s">
        <v>154</v>
      </c>
      <c r="D9" s="282">
        <v>21828759</v>
      </c>
    </row>
    <row r="10" spans="1:4" ht="24.95" customHeight="1" x14ac:dyDescent="0.2">
      <c r="A10" s="266" t="s">
        <v>157</v>
      </c>
      <c r="B10" s="282">
        <v>1369159091</v>
      </c>
      <c r="C10" s="857" t="s">
        <v>156</v>
      </c>
      <c r="D10" s="282">
        <v>411216224</v>
      </c>
    </row>
    <row r="11" spans="1:4" ht="24.95" customHeight="1" x14ac:dyDescent="0.2">
      <c r="A11" s="266" t="s">
        <v>159</v>
      </c>
      <c r="B11" s="282">
        <v>12942722</v>
      </c>
      <c r="C11" s="857" t="s">
        <v>158</v>
      </c>
      <c r="D11" s="282">
        <v>80271356</v>
      </c>
    </row>
    <row r="12" spans="1:4" ht="24.95" customHeight="1" x14ac:dyDescent="0.2">
      <c r="A12" s="266" t="s">
        <v>161</v>
      </c>
      <c r="B12" s="282">
        <v>188500</v>
      </c>
      <c r="C12" s="858" t="s">
        <v>160</v>
      </c>
      <c r="D12" s="283">
        <f>D7+D9+D10+D11+D8</f>
        <v>1609565340</v>
      </c>
    </row>
    <row r="13" spans="1:4" ht="24.95" customHeight="1" x14ac:dyDescent="0.2">
      <c r="A13" s="267" t="s">
        <v>163</v>
      </c>
      <c r="B13" s="283">
        <f>B10+B11+B12</f>
        <v>1382290313</v>
      </c>
      <c r="C13" s="857" t="s">
        <v>162</v>
      </c>
      <c r="D13" s="282">
        <v>0</v>
      </c>
    </row>
    <row r="14" spans="1:4" ht="24.95" customHeight="1" x14ac:dyDescent="0.2">
      <c r="A14" s="266" t="s">
        <v>621</v>
      </c>
      <c r="B14" s="282">
        <v>237900</v>
      </c>
      <c r="C14" s="857" t="s">
        <v>164</v>
      </c>
      <c r="D14" s="282">
        <v>2063590</v>
      </c>
    </row>
    <row r="15" spans="1:4" ht="24.95" customHeight="1" x14ac:dyDescent="0.2">
      <c r="A15" s="267" t="s">
        <v>622</v>
      </c>
      <c r="B15" s="283">
        <v>237900</v>
      </c>
      <c r="C15" s="857" t="s">
        <v>166</v>
      </c>
      <c r="D15" s="282">
        <v>0</v>
      </c>
    </row>
    <row r="16" spans="1:4" ht="24.95" customHeight="1" x14ac:dyDescent="0.2">
      <c r="A16" s="267" t="s">
        <v>165</v>
      </c>
      <c r="B16" s="283">
        <f>B9+B13+B15</f>
        <v>1383314375</v>
      </c>
      <c r="C16" s="857" t="s">
        <v>168</v>
      </c>
      <c r="D16" s="282">
        <v>0</v>
      </c>
    </row>
    <row r="17" spans="1:4" ht="24.95" customHeight="1" x14ac:dyDescent="0.2">
      <c r="A17" s="266" t="s">
        <v>167</v>
      </c>
      <c r="B17" s="282">
        <v>0</v>
      </c>
      <c r="C17" s="857" t="s">
        <v>170</v>
      </c>
      <c r="D17" s="282">
        <v>0</v>
      </c>
    </row>
    <row r="18" spans="1:4" ht="24.95" customHeight="1" x14ac:dyDescent="0.2">
      <c r="A18" s="267" t="s">
        <v>169</v>
      </c>
      <c r="B18" s="283">
        <f>B17</f>
        <v>0</v>
      </c>
      <c r="C18" s="857" t="s">
        <v>172</v>
      </c>
      <c r="D18" s="282">
        <v>0</v>
      </c>
    </row>
    <row r="19" spans="1:4" ht="24.95" customHeight="1" x14ac:dyDescent="0.2">
      <c r="A19" s="266" t="s">
        <v>171</v>
      </c>
      <c r="B19" s="282">
        <v>68869210</v>
      </c>
      <c r="C19" s="857" t="s">
        <v>174</v>
      </c>
      <c r="D19" s="282">
        <v>0</v>
      </c>
    </row>
    <row r="20" spans="1:4" ht="24.95" customHeight="1" x14ac:dyDescent="0.2">
      <c r="A20" s="266" t="s">
        <v>199</v>
      </c>
      <c r="B20" s="282">
        <v>53001627</v>
      </c>
      <c r="C20" s="858" t="s">
        <v>176</v>
      </c>
      <c r="D20" s="283">
        <f>D14</f>
        <v>2063590</v>
      </c>
    </row>
    <row r="21" spans="1:4" ht="24.95" customHeight="1" x14ac:dyDescent="0.2">
      <c r="A21" s="267" t="s">
        <v>173</v>
      </c>
      <c r="B21" s="283">
        <f>B19+B20</f>
        <v>121870837</v>
      </c>
      <c r="C21" s="857" t="s">
        <v>178</v>
      </c>
      <c r="D21" s="282">
        <v>6037241</v>
      </c>
    </row>
    <row r="22" spans="1:4" ht="24.95" customHeight="1" x14ac:dyDescent="0.2">
      <c r="A22" s="267" t="s">
        <v>175</v>
      </c>
      <c r="B22" s="283">
        <f>B18+B21</f>
        <v>121870837</v>
      </c>
      <c r="C22" s="857" t="s">
        <v>208</v>
      </c>
      <c r="D22" s="282">
        <v>6037241</v>
      </c>
    </row>
    <row r="23" spans="1:4" ht="24.95" customHeight="1" x14ac:dyDescent="0.2">
      <c r="A23" s="266" t="s">
        <v>623</v>
      </c>
      <c r="B23" s="282">
        <v>128000</v>
      </c>
      <c r="C23" s="858" t="s">
        <v>180</v>
      </c>
      <c r="D23" s="283">
        <f>D21</f>
        <v>6037241</v>
      </c>
    </row>
    <row r="24" spans="1:4" ht="24.95" customHeight="1" x14ac:dyDescent="0.2">
      <c r="A24" s="266" t="s">
        <v>177</v>
      </c>
      <c r="B24" s="282">
        <v>10249700</v>
      </c>
      <c r="C24" s="857" t="s">
        <v>209</v>
      </c>
      <c r="D24" s="282">
        <v>0</v>
      </c>
    </row>
    <row r="25" spans="1:4" ht="24.95" customHeight="1" x14ac:dyDescent="0.2">
      <c r="A25" s="266" t="s">
        <v>179</v>
      </c>
      <c r="B25" s="282">
        <v>865842</v>
      </c>
      <c r="C25" s="857" t="s">
        <v>182</v>
      </c>
      <c r="D25" s="282">
        <v>150544</v>
      </c>
    </row>
    <row r="26" spans="1:4" ht="24.95" customHeight="1" x14ac:dyDescent="0.2">
      <c r="A26" s="266" t="s">
        <v>181</v>
      </c>
      <c r="B26" s="282">
        <v>9035290</v>
      </c>
      <c r="C26" s="858" t="s">
        <v>185</v>
      </c>
      <c r="D26" s="283">
        <f>D24+D25</f>
        <v>150544</v>
      </c>
    </row>
    <row r="27" spans="1:4" ht="24.95" customHeight="1" x14ac:dyDescent="0.2">
      <c r="A27" s="266" t="s">
        <v>183</v>
      </c>
      <c r="B27" s="282">
        <v>348568</v>
      </c>
      <c r="C27" s="859" t="s">
        <v>187</v>
      </c>
      <c r="D27" s="284">
        <f>D23+D26+D20</f>
        <v>8251375</v>
      </c>
    </row>
    <row r="28" spans="1:4" ht="24.95" customHeight="1" x14ac:dyDescent="0.2">
      <c r="A28" s="266" t="s">
        <v>184</v>
      </c>
      <c r="B28" s="282">
        <v>997592</v>
      </c>
      <c r="C28" s="860" t="s">
        <v>265</v>
      </c>
      <c r="D28" s="363">
        <v>1548451</v>
      </c>
    </row>
    <row r="29" spans="1:4" ht="24.95" customHeight="1" thickBot="1" x14ac:dyDescent="0.25">
      <c r="A29" s="266" t="s">
        <v>186</v>
      </c>
      <c r="B29" s="282">
        <v>6575</v>
      </c>
      <c r="C29" s="861" t="s">
        <v>266</v>
      </c>
      <c r="D29" s="365">
        <f>D28</f>
        <v>1548451</v>
      </c>
    </row>
    <row r="30" spans="1:4" ht="24.95" customHeight="1" thickBot="1" x14ac:dyDescent="0.25">
      <c r="A30" s="266" t="s">
        <v>188</v>
      </c>
      <c r="B30" s="282">
        <v>89</v>
      </c>
      <c r="C30" s="862" t="s">
        <v>189</v>
      </c>
      <c r="D30" s="344">
        <f>D12+D27+D29</f>
        <v>1619365166</v>
      </c>
    </row>
    <row r="31" spans="1:4" ht="24.95" customHeight="1" x14ac:dyDescent="0.2">
      <c r="A31" s="266" t="s">
        <v>190</v>
      </c>
      <c r="B31" s="282">
        <v>54249</v>
      </c>
      <c r="C31" s="863"/>
      <c r="D31" s="278"/>
    </row>
    <row r="32" spans="1:4" ht="24.95" customHeight="1" x14ac:dyDescent="0.2">
      <c r="A32" s="266" t="s">
        <v>191</v>
      </c>
      <c r="B32" s="282">
        <v>14412</v>
      </c>
      <c r="C32" s="864"/>
      <c r="D32" s="276"/>
    </row>
    <row r="33" spans="1:4" ht="24.95" customHeight="1" x14ac:dyDescent="0.2">
      <c r="A33" s="266" t="s">
        <v>192</v>
      </c>
      <c r="B33" s="282">
        <v>842267</v>
      </c>
      <c r="C33" s="864"/>
      <c r="D33" s="276"/>
    </row>
    <row r="34" spans="1:4" ht="24.95" customHeight="1" x14ac:dyDescent="0.2">
      <c r="A34" s="266" t="s">
        <v>193</v>
      </c>
      <c r="B34" s="282">
        <v>80000</v>
      </c>
      <c r="C34" s="865"/>
      <c r="D34" s="268"/>
    </row>
    <row r="35" spans="1:4" ht="24.95" customHeight="1" x14ac:dyDescent="0.2">
      <c r="A35" s="266" t="s">
        <v>624</v>
      </c>
      <c r="B35" s="282">
        <v>1490146</v>
      </c>
      <c r="C35" s="865"/>
      <c r="D35" s="268"/>
    </row>
    <row r="36" spans="1:4" ht="24.95" customHeight="1" x14ac:dyDescent="0.2">
      <c r="A36" s="266" t="s">
        <v>194</v>
      </c>
      <c r="B36" s="282">
        <v>1490146</v>
      </c>
      <c r="C36" s="865"/>
      <c r="D36" s="268"/>
    </row>
    <row r="37" spans="1:4" ht="24.95" customHeight="1" x14ac:dyDescent="0.2">
      <c r="A37" s="267" t="s">
        <v>195</v>
      </c>
      <c r="B37" s="283">
        <f>B23+B24+B28+B35</f>
        <v>12865438</v>
      </c>
      <c r="C37" s="865"/>
      <c r="D37" s="268"/>
    </row>
    <row r="38" spans="1:4" ht="24.95" customHeight="1" x14ac:dyDescent="0.2">
      <c r="A38" s="266" t="s">
        <v>264</v>
      </c>
      <c r="B38" s="282">
        <v>80000</v>
      </c>
      <c r="C38" s="865"/>
      <c r="D38" s="268"/>
    </row>
    <row r="39" spans="1:4" ht="24.95" customHeight="1" x14ac:dyDescent="0.2">
      <c r="A39" s="267" t="s">
        <v>196</v>
      </c>
      <c r="B39" s="283">
        <f>B38</f>
        <v>80000</v>
      </c>
      <c r="C39" s="865"/>
      <c r="D39" s="268"/>
    </row>
    <row r="40" spans="1:4" ht="24.95" customHeight="1" x14ac:dyDescent="0.2">
      <c r="A40" s="267" t="s">
        <v>197</v>
      </c>
      <c r="B40" s="283">
        <f>B37+B39</f>
        <v>12945438</v>
      </c>
      <c r="C40" s="865"/>
      <c r="D40" s="268"/>
    </row>
    <row r="41" spans="1:4" ht="24.95" customHeight="1" x14ac:dyDescent="0.2">
      <c r="A41" s="266" t="s">
        <v>200</v>
      </c>
      <c r="B41" s="282">
        <v>7659523</v>
      </c>
      <c r="C41" s="865"/>
      <c r="D41" s="268"/>
    </row>
    <row r="42" spans="1:4" ht="24.95" customHeight="1" x14ac:dyDescent="0.2">
      <c r="A42" s="266" t="s">
        <v>201</v>
      </c>
      <c r="B42" s="282">
        <v>77234527</v>
      </c>
      <c r="C42" s="865"/>
      <c r="D42" s="268"/>
    </row>
    <row r="43" spans="1:4" ht="24.95" customHeight="1" x14ac:dyDescent="0.2">
      <c r="A43" s="267" t="s">
        <v>204</v>
      </c>
      <c r="B43" s="283">
        <f>B41+B42</f>
        <v>84894050</v>
      </c>
      <c r="C43" s="865"/>
      <c r="D43" s="268"/>
    </row>
    <row r="44" spans="1:4" ht="24.95" customHeight="1" x14ac:dyDescent="0.2">
      <c r="A44" s="266" t="s">
        <v>202</v>
      </c>
      <c r="B44" s="282">
        <v>16340466</v>
      </c>
      <c r="C44" s="865"/>
      <c r="D44" s="268"/>
    </row>
    <row r="45" spans="1:4" ht="24.95" customHeight="1" x14ac:dyDescent="0.2">
      <c r="A45" s="267" t="s">
        <v>205</v>
      </c>
      <c r="B45" s="283">
        <f>B44</f>
        <v>16340466</v>
      </c>
      <c r="C45" s="865"/>
      <c r="D45" s="268"/>
    </row>
    <row r="46" spans="1:4" ht="24.95" customHeight="1" x14ac:dyDescent="0.2">
      <c r="A46" s="266" t="s">
        <v>203</v>
      </c>
      <c r="B46" s="282">
        <v>0</v>
      </c>
      <c r="C46" s="865"/>
      <c r="D46" s="268"/>
    </row>
    <row r="47" spans="1:4" ht="24.95" customHeight="1" x14ac:dyDescent="0.2">
      <c r="A47" s="270" t="s">
        <v>206</v>
      </c>
      <c r="B47" s="284">
        <v>0</v>
      </c>
      <c r="C47" s="865"/>
      <c r="D47" s="268"/>
    </row>
    <row r="48" spans="1:4" ht="24.95" customHeight="1" thickBot="1" x14ac:dyDescent="0.25">
      <c r="A48" s="270" t="s">
        <v>207</v>
      </c>
      <c r="B48" s="284">
        <f>B43+B45+B47</f>
        <v>101234516</v>
      </c>
      <c r="C48" s="865"/>
      <c r="D48" s="268"/>
    </row>
    <row r="49" spans="1:4" ht="24.95" customHeight="1" thickBot="1" x14ac:dyDescent="0.25">
      <c r="A49" s="343" t="s">
        <v>198</v>
      </c>
      <c r="B49" s="344">
        <f>B16+B22+B40+B48</f>
        <v>1619365166</v>
      </c>
      <c r="C49" s="866"/>
      <c r="D49" s="269"/>
    </row>
    <row r="50" spans="1:4" ht="15" customHeight="1" x14ac:dyDescent="0.2"/>
    <row r="51" spans="1:4" ht="15" hidden="1" customHeight="1" x14ac:dyDescent="0.2"/>
    <row r="52" spans="1:4" ht="15" hidden="1" customHeight="1" x14ac:dyDescent="0.2"/>
    <row r="53" spans="1:4" ht="15" customHeight="1" x14ac:dyDescent="0.25">
      <c r="A53" s="261"/>
    </row>
    <row r="54" spans="1:4" ht="15" hidden="1" customHeight="1" x14ac:dyDescent="0.2"/>
    <row r="55" spans="1:4" ht="15" hidden="1" customHeight="1" x14ac:dyDescent="0.2"/>
    <row r="56" spans="1:4" ht="15" customHeight="1" x14ac:dyDescent="0.2">
      <c r="B56" s="262"/>
    </row>
    <row r="57" spans="1:4" ht="15" customHeight="1" x14ac:dyDescent="0.2">
      <c r="B57" s="262"/>
    </row>
    <row r="58" spans="1:4" ht="15" customHeight="1" x14ac:dyDescent="0.2"/>
    <row r="59" spans="1:4" ht="15" customHeight="1" x14ac:dyDescent="0.2"/>
    <row r="60" spans="1:4" ht="15" hidden="1" customHeight="1" x14ac:dyDescent="0.2"/>
    <row r="61" spans="1:4" ht="15" hidden="1" customHeight="1" x14ac:dyDescent="0.2"/>
    <row r="62" spans="1:4" ht="15" hidden="1" customHeight="1" x14ac:dyDescent="0.2"/>
    <row r="63" spans="1:4" ht="15" customHeight="1" x14ac:dyDescent="0.2"/>
    <row r="64" spans="1:4" ht="15" hidden="1" customHeight="1" x14ac:dyDescent="0.2"/>
    <row r="65" ht="15" hidden="1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hidden="1" customHeight="1" x14ac:dyDescent="0.2"/>
    <row r="71" ht="15" hidden="1" customHeight="1" x14ac:dyDescent="0.2"/>
    <row r="72" ht="29.25" customHeight="1" x14ac:dyDescent="0.2"/>
    <row r="73" ht="15" customHeight="1" x14ac:dyDescent="0.2"/>
    <row r="74" ht="15" hidden="1" customHeight="1" x14ac:dyDescent="0.2"/>
    <row r="75" ht="15" hidden="1" customHeight="1" x14ac:dyDescent="0.2"/>
    <row r="76" ht="15" hidden="1" customHeight="1" x14ac:dyDescent="0.2"/>
    <row r="77" ht="15" hidden="1" customHeight="1" x14ac:dyDescent="0.2"/>
    <row r="78" ht="15" hidden="1" customHeight="1" x14ac:dyDescent="0.2"/>
    <row r="79" ht="15" hidden="1" customHeight="1" x14ac:dyDescent="0.2"/>
    <row r="80" ht="15" hidden="1" customHeight="1" x14ac:dyDescent="0.2"/>
    <row r="81" ht="15" customHeight="1" x14ac:dyDescent="0.2"/>
    <row r="82" ht="15" customHeight="1" x14ac:dyDescent="0.2"/>
    <row r="83" ht="15" hidden="1" customHeight="1" x14ac:dyDescent="0.2"/>
    <row r="84" ht="15" hidden="1" customHeight="1" x14ac:dyDescent="0.2"/>
    <row r="85" ht="15" hidden="1" customHeight="1" x14ac:dyDescent="0.2"/>
    <row r="86" ht="15" hidden="1" customHeight="1" x14ac:dyDescent="0.2"/>
    <row r="87" ht="15" customHeight="1" x14ac:dyDescent="0.2"/>
    <row r="88" ht="15" hidden="1" customHeight="1" x14ac:dyDescent="0.2"/>
    <row r="89" ht="15" hidden="1" customHeight="1" x14ac:dyDescent="0.2"/>
    <row r="90" ht="15" hidden="1" customHeight="1" x14ac:dyDescent="0.2"/>
    <row r="91" ht="15" hidden="1" customHeight="1" x14ac:dyDescent="0.2"/>
    <row r="92" ht="15" hidden="1" customHeight="1" x14ac:dyDescent="0.2"/>
    <row r="93" ht="15" hidden="1" customHeight="1" x14ac:dyDescent="0.2"/>
    <row r="94" ht="15" customHeight="1" x14ac:dyDescent="0.2"/>
    <row r="95" ht="15" customHeight="1" x14ac:dyDescent="0.2"/>
    <row r="96" ht="15" customHeight="1" x14ac:dyDescent="0.2"/>
    <row r="97" ht="15" hidden="1" customHeight="1" x14ac:dyDescent="0.2"/>
    <row r="98" ht="15" hidden="1" customHeight="1" x14ac:dyDescent="0.2"/>
    <row r="99" ht="15" hidden="1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</sheetData>
  <mergeCells count="6">
    <mergeCell ref="C6:D6"/>
    <mergeCell ref="A1:D1"/>
    <mergeCell ref="A2:D2"/>
    <mergeCell ref="A3:D3"/>
    <mergeCell ref="A5:D5"/>
    <mergeCell ref="A6:B6"/>
  </mergeCells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>
    <oddHeader>&amp;C&amp;P/&amp;N&amp;R2019.12.31.</oddHeader>
    <oddFooter>&amp;C&amp;P/&amp;N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A2:G58"/>
  <sheetViews>
    <sheetView zoomScaleNormal="100" workbookViewId="0">
      <selection activeCell="E25" sqref="E25"/>
    </sheetView>
  </sheetViews>
  <sheetFormatPr defaultRowHeight="12.75" x14ac:dyDescent="0.2"/>
  <cols>
    <col min="2" max="2" width="33" customWidth="1"/>
    <col min="3" max="3" width="15.5703125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2" spans="1:7" ht="14.25" x14ac:dyDescent="0.2">
      <c r="A2" s="1157" t="s">
        <v>642</v>
      </c>
      <c r="B2" s="1157"/>
      <c r="C2" s="1157"/>
      <c r="D2" s="1157"/>
    </row>
    <row r="3" spans="1:7" ht="14.25" x14ac:dyDescent="0.2">
      <c r="A3" s="1156"/>
      <c r="B3" s="1157"/>
      <c r="C3" s="1157"/>
      <c r="D3" s="1157"/>
    </row>
    <row r="4" spans="1:7" ht="15.75" x14ac:dyDescent="0.25">
      <c r="A4" s="1153" t="s">
        <v>303</v>
      </c>
      <c r="B4" s="1153"/>
      <c r="C4" s="1153"/>
      <c r="D4" s="1153"/>
    </row>
    <row r="5" spans="1:7" ht="15" x14ac:dyDescent="0.25">
      <c r="A5" s="1202" t="s">
        <v>210</v>
      </c>
      <c r="B5" s="1202"/>
      <c r="C5" s="1202"/>
      <c r="D5" s="1202"/>
    </row>
    <row r="7" spans="1:7" x14ac:dyDescent="0.2">
      <c r="B7" s="1203" t="s">
        <v>284</v>
      </c>
      <c r="C7" s="1203"/>
    </row>
    <row r="8" spans="1:7" ht="21.75" customHeight="1" x14ac:dyDescent="0.2">
      <c r="B8" s="271"/>
      <c r="C8" s="271"/>
    </row>
    <row r="9" spans="1:7" x14ac:dyDescent="0.2">
      <c r="B9" s="1200"/>
      <c r="C9" s="1200"/>
    </row>
    <row r="10" spans="1:7" ht="13.5" thickBot="1" x14ac:dyDescent="0.25">
      <c r="B10" s="1201" t="s">
        <v>59</v>
      </c>
      <c r="C10" s="1185"/>
    </row>
    <row r="11" spans="1:7" ht="24.95" customHeight="1" thickBot="1" x14ac:dyDescent="0.25">
      <c r="B11" s="78" t="s">
        <v>75</v>
      </c>
      <c r="C11" s="79" t="s">
        <v>72</v>
      </c>
    </row>
    <row r="12" spans="1:7" ht="24.95" customHeight="1" x14ac:dyDescent="0.2">
      <c r="B12" s="29" t="s">
        <v>14</v>
      </c>
      <c r="C12" s="472">
        <v>0</v>
      </c>
    </row>
    <row r="13" spans="1:7" ht="24.95" customHeight="1" x14ac:dyDescent="0.2">
      <c r="B13" s="30" t="s">
        <v>11</v>
      </c>
      <c r="C13" s="473">
        <v>0</v>
      </c>
      <c r="G13" s="42"/>
    </row>
    <row r="14" spans="1:7" ht="24.95" customHeight="1" x14ac:dyDescent="0.2">
      <c r="B14" s="30" t="s">
        <v>12</v>
      </c>
      <c r="C14" s="474">
        <v>0</v>
      </c>
    </row>
    <row r="15" spans="1:7" ht="24.95" customHeight="1" x14ac:dyDescent="0.2">
      <c r="B15" s="30" t="s">
        <v>13</v>
      </c>
      <c r="C15" s="474">
        <v>0</v>
      </c>
    </row>
    <row r="16" spans="1:7" ht="24.95" customHeight="1" thickBot="1" x14ac:dyDescent="0.25">
      <c r="B16" s="39" t="s">
        <v>0</v>
      </c>
      <c r="C16" s="475">
        <v>0</v>
      </c>
    </row>
    <row r="17" spans="1:4" ht="15" x14ac:dyDescent="0.2">
      <c r="B17" s="31"/>
      <c r="C17" s="31"/>
    </row>
    <row r="20" spans="1:4" x14ac:dyDescent="0.2">
      <c r="C20" s="34"/>
    </row>
    <row r="22" spans="1:4" ht="15.75" customHeight="1" x14ac:dyDescent="0.2">
      <c r="A22" s="1157" t="s">
        <v>643</v>
      </c>
      <c r="B22" s="1157"/>
      <c r="C22" s="1157"/>
      <c r="D22" s="1157"/>
    </row>
    <row r="23" spans="1:4" ht="14.25" x14ac:dyDescent="0.2">
      <c r="A23" s="1156"/>
      <c r="B23" s="1157"/>
      <c r="C23" s="1157"/>
      <c r="D23" s="1157"/>
    </row>
    <row r="24" spans="1:4" ht="15.75" x14ac:dyDescent="0.25">
      <c r="A24" s="1153" t="s">
        <v>303</v>
      </c>
      <c r="B24" s="1153"/>
      <c r="C24" s="1153"/>
      <c r="D24" s="1153"/>
    </row>
    <row r="25" spans="1:4" ht="15" x14ac:dyDescent="0.25">
      <c r="A25" s="1202" t="s">
        <v>211</v>
      </c>
      <c r="B25" s="1202"/>
      <c r="C25" s="1202"/>
      <c r="D25" s="1202"/>
    </row>
    <row r="27" spans="1:4" x14ac:dyDescent="0.2">
      <c r="B27" s="1203" t="s">
        <v>284</v>
      </c>
      <c r="C27" s="1203"/>
    </row>
    <row r="28" spans="1:4" x14ac:dyDescent="0.2">
      <c r="B28" s="1200"/>
      <c r="C28" s="1200"/>
    </row>
    <row r="29" spans="1:4" ht="13.5" thickBot="1" x14ac:dyDescent="0.25">
      <c r="B29" s="1201" t="s">
        <v>68</v>
      </c>
      <c r="C29" s="1185"/>
      <c r="D29" s="1185"/>
    </row>
    <row r="30" spans="1:4" ht="20.100000000000001" customHeight="1" thickBot="1" x14ac:dyDescent="0.25">
      <c r="B30" s="272" t="s">
        <v>212</v>
      </c>
      <c r="C30" s="279" t="s">
        <v>72</v>
      </c>
      <c r="D30" s="280" t="s">
        <v>214</v>
      </c>
    </row>
    <row r="31" spans="1:4" ht="20.100000000000001" customHeight="1" x14ac:dyDescent="0.2">
      <c r="B31" s="273"/>
      <c r="C31" s="476"/>
      <c r="D31" s="278"/>
    </row>
    <row r="32" spans="1:4" ht="20.100000000000001" customHeight="1" x14ac:dyDescent="0.2">
      <c r="B32" s="274" t="s">
        <v>213</v>
      </c>
      <c r="C32" s="477">
        <v>0</v>
      </c>
      <c r="D32" s="276"/>
    </row>
    <row r="33" spans="2:4" ht="20.100000000000001" customHeight="1" x14ac:dyDescent="0.2">
      <c r="B33" s="274"/>
      <c r="C33" s="478"/>
      <c r="D33" s="276"/>
    </row>
    <row r="34" spans="2:4" ht="20.100000000000001" customHeight="1" x14ac:dyDescent="0.2">
      <c r="B34" s="274"/>
      <c r="C34" s="478"/>
      <c r="D34" s="276"/>
    </row>
    <row r="35" spans="2:4" ht="20.100000000000001" customHeight="1" thickBot="1" x14ac:dyDescent="0.25">
      <c r="B35" s="275" t="s">
        <v>0</v>
      </c>
      <c r="C35" s="479">
        <v>0</v>
      </c>
      <c r="D35" s="277"/>
    </row>
    <row r="36" spans="2:4" ht="15" x14ac:dyDescent="0.2">
      <c r="B36" s="31"/>
      <c r="C36" s="31"/>
    </row>
    <row r="58" spans="3:3" x14ac:dyDescent="0.2">
      <c r="C58" s="43"/>
    </row>
  </sheetData>
  <mergeCells count="14">
    <mergeCell ref="B9:C9"/>
    <mergeCell ref="A2:D2"/>
    <mergeCell ref="A4:D4"/>
    <mergeCell ref="A5:D5"/>
    <mergeCell ref="B7:C7"/>
    <mergeCell ref="A3:D3"/>
    <mergeCell ref="B28:C28"/>
    <mergeCell ref="B10:C10"/>
    <mergeCell ref="B29:D29"/>
    <mergeCell ref="A22:D22"/>
    <mergeCell ref="A23:D23"/>
    <mergeCell ref="A24:D24"/>
    <mergeCell ref="A25:D25"/>
    <mergeCell ref="B27:C27"/>
  </mergeCells>
  <phoneticPr fontId="14" type="noConversion"/>
  <pageMargins left="0.75" right="0.75" top="1" bottom="1" header="0.5" footer="0.5"/>
  <pageSetup paperSize="9" orientation="portrait" r:id="rId1"/>
  <headerFooter alignWithMargins="0">
    <oddHeader>&amp;R2019.12.31.</oddHeader>
    <oddFooter>&amp;C&amp;P/&amp;N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4"/>
  <sheetViews>
    <sheetView zoomScaleNormal="100" workbookViewId="0">
      <selection activeCell="B3" sqref="B3:N3"/>
    </sheetView>
  </sheetViews>
  <sheetFormatPr defaultRowHeight="12.75" x14ac:dyDescent="0.2"/>
  <cols>
    <col min="1" max="1" width="8.28515625" customWidth="1"/>
    <col min="2" max="2" width="35.85546875" customWidth="1"/>
    <col min="3" max="3" width="14.7109375" customWidth="1"/>
    <col min="4" max="4" width="12.5703125" customWidth="1"/>
    <col min="5" max="5" width="13.7109375" customWidth="1"/>
    <col min="6" max="6" width="14.28515625" customWidth="1"/>
    <col min="7" max="7" width="15.28515625" customWidth="1"/>
    <col min="8" max="8" width="9.85546875" customWidth="1"/>
    <col min="9" max="9" width="35.140625" customWidth="1"/>
    <col min="10" max="10" width="13" customWidth="1"/>
    <col min="11" max="11" width="12.140625" customWidth="1"/>
    <col min="12" max="12" width="14.42578125" customWidth="1"/>
    <col min="13" max="13" width="13.85546875" customWidth="1"/>
    <col min="14" max="14" width="13.28515625" customWidth="1"/>
    <col min="15" max="1027" width="8.42578125" customWidth="1"/>
  </cols>
  <sheetData>
    <row r="1" spans="1:15" ht="22.5" customHeight="1" x14ac:dyDescent="0.6">
      <c r="A1" s="1208" t="s">
        <v>644</v>
      </c>
      <c r="B1" s="1209"/>
      <c r="C1" s="1209"/>
      <c r="D1" s="1209"/>
      <c r="E1" s="1209"/>
      <c r="F1" s="1209"/>
      <c r="G1" s="1209"/>
      <c r="H1" s="1209"/>
      <c r="I1" s="1209"/>
      <c r="J1" s="1209"/>
      <c r="K1" s="1209"/>
      <c r="L1" s="1209"/>
      <c r="M1" s="1209"/>
      <c r="N1" s="1209"/>
      <c r="O1" s="373"/>
    </row>
    <row r="2" spans="1:15" ht="22.5" x14ac:dyDescent="0.6">
      <c r="A2" s="373"/>
      <c r="B2" s="1210"/>
      <c r="C2" s="1210"/>
      <c r="D2" s="1210"/>
      <c r="E2" s="1210"/>
      <c r="F2" s="1210"/>
      <c r="G2" s="1210"/>
      <c r="H2" s="1210"/>
      <c r="I2" s="1210"/>
      <c r="J2" s="1210"/>
      <c r="K2" s="1210"/>
      <c r="L2" s="1210"/>
      <c r="M2" s="1210"/>
      <c r="N2" s="1210"/>
      <c r="O2" s="373"/>
    </row>
    <row r="3" spans="1:15" ht="22.5" x14ac:dyDescent="0.6">
      <c r="A3" s="373"/>
      <c r="B3" s="1244" t="s">
        <v>303</v>
      </c>
      <c r="C3" s="1244"/>
      <c r="D3" s="1244"/>
      <c r="E3" s="1244"/>
      <c r="F3" s="1244"/>
      <c r="G3" s="1244"/>
      <c r="H3" s="1244"/>
      <c r="I3" s="1244"/>
      <c r="J3" s="1244"/>
      <c r="K3" s="1244"/>
      <c r="L3" s="1244"/>
      <c r="M3" s="1244"/>
      <c r="N3" s="1244"/>
      <c r="O3" s="373"/>
    </row>
    <row r="4" spans="1:15" ht="22.5" x14ac:dyDescent="0.6">
      <c r="A4" s="373"/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</row>
    <row r="5" spans="1:15" ht="22.5" x14ac:dyDescent="0.6">
      <c r="A5" s="1211" t="s">
        <v>626</v>
      </c>
      <c r="B5" s="1211"/>
      <c r="C5" s="1211"/>
      <c r="D5" s="1211"/>
      <c r="E5" s="1211"/>
      <c r="F5" s="1211"/>
      <c r="G5" s="1211"/>
      <c r="H5" s="1211"/>
      <c r="I5" s="1211"/>
      <c r="J5" s="1211"/>
      <c r="K5" s="1211"/>
      <c r="L5" s="1211"/>
      <c r="M5" s="1211"/>
      <c r="N5" s="1211"/>
      <c r="O5" s="373"/>
    </row>
    <row r="6" spans="1:15" ht="23.25" thickBot="1" x14ac:dyDescent="0.65">
      <c r="A6" s="373"/>
      <c r="B6" s="374"/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5" t="s">
        <v>128</v>
      </c>
      <c r="O6" s="373"/>
    </row>
    <row r="7" spans="1:15" ht="23.25" thickBot="1" x14ac:dyDescent="0.65">
      <c r="A7" s="1212" t="s">
        <v>1</v>
      </c>
      <c r="B7" s="1212"/>
      <c r="C7" s="1212"/>
      <c r="D7" s="1212"/>
      <c r="E7" s="1212"/>
      <c r="F7" s="1212"/>
      <c r="G7" s="1212"/>
      <c r="H7" s="1213" t="s">
        <v>2</v>
      </c>
      <c r="I7" s="1213"/>
      <c r="J7" s="1213"/>
      <c r="K7" s="1213"/>
      <c r="L7" s="1213"/>
      <c r="M7" s="1213"/>
      <c r="N7" s="1213"/>
      <c r="O7" s="373"/>
    </row>
    <row r="8" spans="1:15" ht="36.75" thickBot="1" x14ac:dyDescent="0.65">
      <c r="A8" s="393" t="s">
        <v>215</v>
      </c>
      <c r="B8" s="394" t="s">
        <v>8</v>
      </c>
      <c r="C8" s="395" t="s">
        <v>271</v>
      </c>
      <c r="D8" s="396" t="s">
        <v>270</v>
      </c>
      <c r="E8" s="395" t="s">
        <v>236</v>
      </c>
      <c r="F8" s="395" t="s">
        <v>63</v>
      </c>
      <c r="G8" s="396" t="s">
        <v>272</v>
      </c>
      <c r="H8" s="397" t="s">
        <v>215</v>
      </c>
      <c r="I8" s="398" t="s">
        <v>8</v>
      </c>
      <c r="J8" s="399" t="s">
        <v>271</v>
      </c>
      <c r="K8" s="401" t="s">
        <v>270</v>
      </c>
      <c r="L8" s="400" t="s">
        <v>236</v>
      </c>
      <c r="M8" s="400" t="s">
        <v>63</v>
      </c>
      <c r="N8" s="401" t="s">
        <v>272</v>
      </c>
      <c r="O8" s="373"/>
    </row>
    <row r="9" spans="1:15" ht="22.5" x14ac:dyDescent="0.6">
      <c r="A9" s="402" t="s">
        <v>216</v>
      </c>
      <c r="B9" s="403" t="s">
        <v>38</v>
      </c>
      <c r="C9" s="867">
        <v>147636733</v>
      </c>
      <c r="D9" s="285">
        <v>167582822</v>
      </c>
      <c r="E9" s="285">
        <f>G9-D9</f>
        <v>0</v>
      </c>
      <c r="F9" s="377">
        <f>G9/D9</f>
        <v>1</v>
      </c>
      <c r="G9" s="296">
        <f>'[1]Bevételek(önkormányzat 2019'!G14</f>
        <v>167582822</v>
      </c>
      <c r="H9" s="418" t="s">
        <v>217</v>
      </c>
      <c r="I9" s="419" t="s">
        <v>3</v>
      </c>
      <c r="J9" s="867">
        <v>30307480</v>
      </c>
      <c r="K9" s="286">
        <v>40752430</v>
      </c>
      <c r="L9" s="287">
        <f>K9-N9</f>
        <v>2065133</v>
      </c>
      <c r="M9" s="378">
        <f>N9/K9</f>
        <v>0.94932491142246</v>
      </c>
      <c r="N9" s="288">
        <f>'[1]Kiadások(önkormányzat 2019)'!G19</f>
        <v>38687297</v>
      </c>
      <c r="O9" s="373"/>
    </row>
    <row r="10" spans="1:15" ht="22.5" x14ac:dyDescent="0.6">
      <c r="A10" s="404" t="s">
        <v>218</v>
      </c>
      <c r="B10" s="405" t="s">
        <v>219</v>
      </c>
      <c r="C10" s="868">
        <v>5136000</v>
      </c>
      <c r="D10" s="289">
        <v>43801564</v>
      </c>
      <c r="E10" s="285">
        <f t="shared" ref="E10:E13" si="0">G10-D10</f>
        <v>-103500</v>
      </c>
      <c r="F10" s="377">
        <f t="shared" ref="F10:F12" si="1">G10/D10</f>
        <v>0.99763707067628904</v>
      </c>
      <c r="G10" s="286">
        <f>'[1]Bevételek(önkormányzat 2019'!G17</f>
        <v>43698064</v>
      </c>
      <c r="H10" s="420" t="s">
        <v>220</v>
      </c>
      <c r="I10" s="421" t="s">
        <v>60</v>
      </c>
      <c r="J10" s="868">
        <v>6007195</v>
      </c>
      <c r="K10" s="286">
        <v>7122484</v>
      </c>
      <c r="L10" s="287">
        <f t="shared" ref="L10:L14" si="2">K10-N10</f>
        <v>789282</v>
      </c>
      <c r="M10" s="378">
        <f t="shared" ref="M10:M14" si="3">N10/K10</f>
        <v>0.8891844474483902</v>
      </c>
      <c r="N10" s="288">
        <f>'[1]Kiadások(önkormányzat 2019)'!G22</f>
        <v>6333202</v>
      </c>
      <c r="O10" s="373"/>
    </row>
    <row r="11" spans="1:15" ht="22.5" x14ac:dyDescent="0.6">
      <c r="A11" s="404" t="s">
        <v>224</v>
      </c>
      <c r="B11" s="405" t="s">
        <v>35</v>
      </c>
      <c r="C11" s="868">
        <v>79500000</v>
      </c>
      <c r="D11" s="289">
        <v>109208050</v>
      </c>
      <c r="E11" s="285">
        <f t="shared" si="0"/>
        <v>713519</v>
      </c>
      <c r="F11" s="377">
        <f t="shared" si="1"/>
        <v>1.0065335751348001</v>
      </c>
      <c r="G11" s="286">
        <f>'[1]Bevételek(önkormányzat 2019'!G29</f>
        <v>109921569</v>
      </c>
      <c r="H11" s="420" t="s">
        <v>223</v>
      </c>
      <c r="I11" s="421" t="s">
        <v>5</v>
      </c>
      <c r="J11" s="868">
        <v>52032402</v>
      </c>
      <c r="K11" s="286">
        <v>75058163.930000007</v>
      </c>
      <c r="L11" s="287">
        <f t="shared" si="2"/>
        <v>8037019.9300000072</v>
      </c>
      <c r="M11" s="378">
        <f t="shared" si="3"/>
        <v>0.89292277469649517</v>
      </c>
      <c r="N11" s="288">
        <f>'[1]Kiadások(önkormányzat 2019)'!G52</f>
        <v>67021144</v>
      </c>
      <c r="O11" s="373"/>
    </row>
    <row r="12" spans="1:15" ht="22.5" x14ac:dyDescent="0.6">
      <c r="A12" s="404" t="s">
        <v>226</v>
      </c>
      <c r="B12" s="405" t="s">
        <v>15</v>
      </c>
      <c r="C12" s="868">
        <v>55923704.969999999</v>
      </c>
      <c r="D12" s="289">
        <v>67004132</v>
      </c>
      <c r="E12" s="285">
        <f t="shared" si="0"/>
        <v>-40776460</v>
      </c>
      <c r="F12" s="377">
        <f t="shared" si="1"/>
        <v>0.39143365068888586</v>
      </c>
      <c r="G12" s="286">
        <f>'[1]Bevételek(önkormányzat 2019'!G40</f>
        <v>26227672</v>
      </c>
      <c r="H12" s="420" t="s">
        <v>225</v>
      </c>
      <c r="I12" s="421" t="s">
        <v>239</v>
      </c>
      <c r="J12" s="868">
        <v>10707000</v>
      </c>
      <c r="K12" s="286">
        <v>10810500</v>
      </c>
      <c r="L12" s="287">
        <f t="shared" si="2"/>
        <v>751333</v>
      </c>
      <c r="M12" s="378">
        <f t="shared" si="3"/>
        <v>0.93049969936635679</v>
      </c>
      <c r="N12" s="288">
        <f>'[1]Kiadások(önkormányzat 2019)'!G60</f>
        <v>10059167</v>
      </c>
      <c r="O12" s="373"/>
    </row>
    <row r="13" spans="1:15" ht="22.5" x14ac:dyDescent="0.6">
      <c r="A13" s="404"/>
      <c r="B13" s="405"/>
      <c r="C13" s="868"/>
      <c r="D13" s="289"/>
      <c r="E13" s="285">
        <f t="shared" si="0"/>
        <v>0</v>
      </c>
      <c r="F13" s="377"/>
      <c r="G13" s="286"/>
      <c r="H13" s="420" t="s">
        <v>227</v>
      </c>
      <c r="I13" s="421" t="s">
        <v>240</v>
      </c>
      <c r="J13" s="868">
        <v>13253000</v>
      </c>
      <c r="K13" s="286">
        <v>13363000</v>
      </c>
      <c r="L13" s="287">
        <f t="shared" si="2"/>
        <v>322433</v>
      </c>
      <c r="M13" s="378">
        <f t="shared" si="3"/>
        <v>0.97587121155429168</v>
      </c>
      <c r="N13" s="288">
        <f>'[1]Kiadások(önkormányzat 2019)'!G66</f>
        <v>13040567</v>
      </c>
      <c r="O13" s="373"/>
    </row>
    <row r="14" spans="1:15" ht="23.25" thickBot="1" x14ac:dyDescent="0.65">
      <c r="A14" s="406"/>
      <c r="B14" s="407"/>
      <c r="C14" s="869"/>
      <c r="D14" s="290"/>
      <c r="E14" s="290"/>
      <c r="F14" s="870"/>
      <c r="G14" s="291"/>
      <c r="H14" s="422" t="s">
        <v>228</v>
      </c>
      <c r="I14" s="423" t="s">
        <v>229</v>
      </c>
      <c r="J14" s="869">
        <v>141869501</v>
      </c>
      <c r="K14" s="291">
        <v>149377101</v>
      </c>
      <c r="L14" s="287">
        <f t="shared" si="2"/>
        <v>3724036</v>
      </c>
      <c r="M14" s="378">
        <f t="shared" si="3"/>
        <v>0.97506956571609993</v>
      </c>
      <c r="N14" s="293">
        <f>'[1]Kiadások(önkormányzat 2019)'!G78</f>
        <v>145653065</v>
      </c>
      <c r="O14" s="373"/>
    </row>
    <row r="15" spans="1:15" ht="23.25" thickBot="1" x14ac:dyDescent="0.65">
      <c r="A15" s="408"/>
      <c r="B15" s="409" t="s">
        <v>241</v>
      </c>
      <c r="C15" s="871">
        <v>288196437.97000003</v>
      </c>
      <c r="D15" s="379">
        <v>387596568</v>
      </c>
      <c r="E15" s="380">
        <f>SUM(E9:E14)</f>
        <v>-40166441</v>
      </c>
      <c r="F15" s="381">
        <f>G15/D15</f>
        <v>0.89637049366236909</v>
      </c>
      <c r="G15" s="382">
        <f>SUM(G9:G14)</f>
        <v>347430127</v>
      </c>
      <c r="H15" s="424"/>
      <c r="I15" s="425" t="s">
        <v>10</v>
      </c>
      <c r="J15" s="872">
        <v>254176578</v>
      </c>
      <c r="K15" s="294">
        <v>296483678.93000001</v>
      </c>
      <c r="L15" s="294">
        <f>SUM(L9:L14)</f>
        <v>15689236.930000007</v>
      </c>
      <c r="M15" s="383">
        <f>N15/K15</f>
        <v>0.94708229138743161</v>
      </c>
      <c r="N15" s="384">
        <f>SUM(N9:N14)</f>
        <v>280794442</v>
      </c>
      <c r="O15" s="373"/>
    </row>
    <row r="16" spans="1:15" ht="22.5" x14ac:dyDescent="0.6">
      <c r="A16" s="410" t="s">
        <v>242</v>
      </c>
      <c r="B16" s="411" t="s">
        <v>4</v>
      </c>
      <c r="C16" s="873">
        <v>26220000</v>
      </c>
      <c r="D16" s="874">
        <v>54424200</v>
      </c>
      <c r="E16" s="376">
        <f>G16-D16</f>
        <v>-4000350</v>
      </c>
      <c r="F16" s="385">
        <f>G16/D16</f>
        <v>0.92649685250311442</v>
      </c>
      <c r="G16" s="386">
        <f>'[1]Bevételek(önkormányzat 2019'!G41+'[1]Bevételek(önkormányzat 2019'!G44+'[1]Bevételek(önkormányzat 2019'!G43</f>
        <v>50423850</v>
      </c>
      <c r="H16" s="426" t="s">
        <v>232</v>
      </c>
      <c r="I16" s="419" t="s">
        <v>243</v>
      </c>
      <c r="J16" s="867">
        <v>57118853</v>
      </c>
      <c r="K16" s="296">
        <v>205076639</v>
      </c>
      <c r="L16" s="297">
        <f>K16-N16</f>
        <v>42658004</v>
      </c>
      <c r="M16" s="387">
        <f>N16/K16</f>
        <v>0.79198993991704736</v>
      </c>
      <c r="N16" s="298">
        <f>'[1]Kiadások(önkormányzat 2019)'!G75</f>
        <v>162418635</v>
      </c>
      <c r="O16" s="373"/>
    </row>
    <row r="17" spans="1:20" ht="22.5" x14ac:dyDescent="0.6">
      <c r="A17" s="412" t="s">
        <v>230</v>
      </c>
      <c r="B17" s="413" t="s">
        <v>231</v>
      </c>
      <c r="C17" s="868">
        <v>111000000</v>
      </c>
      <c r="D17" s="289">
        <v>112562520</v>
      </c>
      <c r="E17" s="286">
        <f t="shared" ref="E17:E19" si="4">G17-D17</f>
        <v>0</v>
      </c>
      <c r="F17" s="388">
        <f t="shared" ref="F17:F20" si="5">G17/D17</f>
        <v>1</v>
      </c>
      <c r="G17" s="287">
        <f>'[1]Bevételek(önkormányzat 2019'!G49</f>
        <v>112562520</v>
      </c>
      <c r="H17" s="1204" t="s">
        <v>61</v>
      </c>
      <c r="I17" s="421" t="s">
        <v>244</v>
      </c>
      <c r="J17" s="868">
        <v>107617000</v>
      </c>
      <c r="K17" s="286">
        <v>0</v>
      </c>
      <c r="L17" s="297">
        <f t="shared" ref="L17:L20" si="6">K17-N17</f>
        <v>0</v>
      </c>
      <c r="M17" s="387"/>
      <c r="N17" s="288">
        <f>'[1]Kiadások(önkormányzat 2019)'!G80</f>
        <v>0</v>
      </c>
      <c r="O17" s="373"/>
      <c r="P17" s="389"/>
      <c r="Q17" s="389"/>
    </row>
    <row r="18" spans="1:20" ht="22.5" x14ac:dyDescent="0.6">
      <c r="A18" s="412" t="s">
        <v>238</v>
      </c>
      <c r="B18" s="413" t="s">
        <v>245</v>
      </c>
      <c r="C18" s="868">
        <v>0</v>
      </c>
      <c r="D18" s="289">
        <v>6721874</v>
      </c>
      <c r="E18" s="296">
        <f t="shared" si="4"/>
        <v>0</v>
      </c>
      <c r="F18" s="388">
        <f t="shared" si="5"/>
        <v>1</v>
      </c>
      <c r="G18" s="287">
        <f>'[1]Bevételek(önkormányzat 2019'!G50</f>
        <v>6721874</v>
      </c>
      <c r="H18" s="1204"/>
      <c r="I18" s="421" t="s">
        <v>6</v>
      </c>
      <c r="J18" s="868">
        <v>6504007</v>
      </c>
      <c r="K18" s="286">
        <v>107266988</v>
      </c>
      <c r="L18" s="297">
        <f t="shared" si="6"/>
        <v>107266988</v>
      </c>
      <c r="M18" s="387">
        <f>N18/K18</f>
        <v>0</v>
      </c>
      <c r="N18" s="288">
        <f>'[1]Kiadások(önkormányzat 2019)'!G79</f>
        <v>0</v>
      </c>
      <c r="O18" s="373"/>
    </row>
    <row r="19" spans="1:20" ht="22.5" x14ac:dyDescent="0.6">
      <c r="A19" s="412" t="s">
        <v>269</v>
      </c>
      <c r="B19" s="413" t="s">
        <v>273</v>
      </c>
      <c r="C19" s="868">
        <v>0</v>
      </c>
      <c r="D19" s="289">
        <v>0</v>
      </c>
      <c r="E19" s="286">
        <f t="shared" si="4"/>
        <v>0</v>
      </c>
      <c r="F19" s="388"/>
      <c r="G19" s="287">
        <f>'[1]Bevételek(önkormányzat 2019'!G45</f>
        <v>0</v>
      </c>
      <c r="H19" s="1204"/>
      <c r="I19" s="427" t="s">
        <v>58</v>
      </c>
      <c r="J19" s="875">
        <v>0</v>
      </c>
      <c r="K19" s="300">
        <v>0</v>
      </c>
      <c r="L19" s="297">
        <f t="shared" si="6"/>
        <v>0</v>
      </c>
      <c r="M19" s="387"/>
      <c r="N19" s="301">
        <f>'[1]Kiadások(önkormányzat 2019)'!G81</f>
        <v>0</v>
      </c>
      <c r="O19" s="373"/>
    </row>
    <row r="20" spans="1:20" ht="23.25" thickBot="1" x14ac:dyDescent="0.65">
      <c r="A20" s="414" t="s">
        <v>221</v>
      </c>
      <c r="B20" s="415" t="s">
        <v>222</v>
      </c>
      <c r="C20" s="868">
        <v>0</v>
      </c>
      <c r="D20" s="289">
        <v>54827410</v>
      </c>
      <c r="E20" s="291"/>
      <c r="F20" s="388">
        <f t="shared" si="5"/>
        <v>0.99999994528284297</v>
      </c>
      <c r="G20" s="292">
        <f>'[1]Bevételek(önkormányzat 2019'!G19+'[1]Bevételek(önkormányzat 2019'!G46+'[1]Bevételek(önkormányzat 2019'!G47</f>
        <v>54827407</v>
      </c>
      <c r="H20" s="428" t="s">
        <v>246</v>
      </c>
      <c r="I20" s="423" t="s">
        <v>247</v>
      </c>
      <c r="J20" s="869">
        <v>0</v>
      </c>
      <c r="K20" s="291">
        <v>1263000</v>
      </c>
      <c r="L20" s="297">
        <f t="shared" si="6"/>
        <v>294</v>
      </c>
      <c r="M20" s="387">
        <f t="shared" ref="M20" si="7">N20/K20</f>
        <v>0.99976722090261283</v>
      </c>
      <c r="N20" s="292">
        <f>'[1]Kiadások(önkormányzat 2019)'!G76</f>
        <v>1262706</v>
      </c>
      <c r="O20" s="373"/>
    </row>
    <row r="21" spans="1:20" ht="23.25" thickBot="1" x14ac:dyDescent="0.65">
      <c r="A21" s="416"/>
      <c r="B21" s="417"/>
      <c r="C21" s="876"/>
      <c r="D21" s="877"/>
      <c r="E21" s="878"/>
      <c r="F21" s="879"/>
      <c r="G21" s="880"/>
      <c r="H21" s="429" t="s">
        <v>62</v>
      </c>
      <c r="I21" s="961" t="s">
        <v>248</v>
      </c>
      <c r="J21" s="881">
        <v>0</v>
      </c>
      <c r="K21" s="303">
        <v>6042266</v>
      </c>
      <c r="L21" s="303">
        <f>N21-K21</f>
        <v>0</v>
      </c>
      <c r="M21" s="390">
        <f>N21/K21</f>
        <v>1</v>
      </c>
      <c r="N21" s="303">
        <f>'[1]Kiadások(önkormányzat 2019)'!G77</f>
        <v>6042266</v>
      </c>
      <c r="O21" s="373"/>
    </row>
    <row r="22" spans="1:20" ht="23.25" thickBot="1" x14ac:dyDescent="0.65">
      <c r="A22" s="1205" t="s">
        <v>7</v>
      </c>
      <c r="B22" s="1206"/>
      <c r="C22" s="882">
        <v>425416437.97000003</v>
      </c>
      <c r="D22" s="883">
        <v>616132572</v>
      </c>
      <c r="E22" s="884">
        <f>SUM(E15:E21)</f>
        <v>-44166791</v>
      </c>
      <c r="F22" s="885">
        <f>G22/D22</f>
        <v>0.92831608649315167</v>
      </c>
      <c r="G22" s="886">
        <f>SUM(G15:G21)</f>
        <v>571965778</v>
      </c>
      <c r="H22" s="1207" t="s">
        <v>7</v>
      </c>
      <c r="I22" s="1207"/>
      <c r="J22" s="872">
        <v>425416438</v>
      </c>
      <c r="K22" s="294">
        <v>616132571.93000007</v>
      </c>
      <c r="L22" s="294">
        <f>SUM(L16:L19)+L15+L20+L21</f>
        <v>165614522.93000001</v>
      </c>
      <c r="M22" s="383">
        <f>N22/K22</f>
        <v>0.73120310388522058</v>
      </c>
      <c r="N22" s="384">
        <f>SUM(N15:N21)</f>
        <v>450518049</v>
      </c>
      <c r="O22" s="373"/>
      <c r="S22" s="391"/>
      <c r="T22" s="391"/>
    </row>
    <row r="23" spans="1:20" ht="22.5" x14ac:dyDescent="0.6">
      <c r="A23" s="373"/>
      <c r="B23" s="373"/>
      <c r="C23" s="373"/>
      <c r="D23" s="373"/>
      <c r="E23" s="373"/>
      <c r="F23" s="373"/>
      <c r="G23" s="373"/>
      <c r="H23" s="373"/>
      <c r="I23" s="373"/>
      <c r="J23" s="373"/>
      <c r="K23" s="373"/>
      <c r="L23" s="373"/>
      <c r="M23" s="373"/>
      <c r="N23" s="373"/>
      <c r="O23" s="373"/>
      <c r="S23" s="391"/>
      <c r="T23" s="391"/>
    </row>
    <row r="24" spans="1:20" ht="23.25" thickBot="1" x14ac:dyDescent="0.65">
      <c r="A24" s="373"/>
      <c r="B24" s="373"/>
      <c r="C24" s="373"/>
      <c r="D24" s="373"/>
      <c r="E24" s="373"/>
      <c r="F24" s="373"/>
      <c r="G24" s="373"/>
      <c r="H24" s="373"/>
      <c r="I24" s="373"/>
      <c r="J24" s="373"/>
      <c r="K24" s="373"/>
      <c r="L24" s="373"/>
      <c r="M24" s="373"/>
      <c r="N24" s="373"/>
      <c r="O24" s="373"/>
      <c r="S24" s="391"/>
      <c r="T24" s="391"/>
    </row>
    <row r="25" spans="1:20" ht="23.25" thickBot="1" x14ac:dyDescent="0.65">
      <c r="A25" s="373"/>
      <c r="B25" s="887" t="s">
        <v>274</v>
      </c>
      <c r="C25" s="888">
        <f>L22+E22</f>
        <v>121447731.93000001</v>
      </c>
      <c r="D25" s="373"/>
      <c r="E25" s="889"/>
      <c r="F25" s="373"/>
      <c r="G25" s="373"/>
      <c r="H25" s="373"/>
      <c r="I25" s="373"/>
      <c r="J25" s="373"/>
      <c r="K25" s="373"/>
      <c r="L25" s="373"/>
      <c r="M25" s="373"/>
      <c r="N25" s="373"/>
      <c r="O25" s="373"/>
      <c r="S25" s="391"/>
      <c r="T25" s="391"/>
    </row>
    <row r="26" spans="1:20" ht="22.5" x14ac:dyDescent="0.6">
      <c r="A26" s="373"/>
      <c r="B26" s="373"/>
      <c r="C26" s="373"/>
      <c r="D26" s="373"/>
      <c r="E26" s="373"/>
      <c r="F26" s="373"/>
      <c r="G26" s="373"/>
      <c r="H26" s="373"/>
      <c r="I26" s="373"/>
      <c r="J26" s="373"/>
      <c r="K26" s="373"/>
      <c r="L26" s="373"/>
      <c r="M26" s="373"/>
      <c r="N26" s="373"/>
      <c r="O26" s="373"/>
    </row>
    <row r="27" spans="1:20" ht="22.5" x14ac:dyDescent="0.6">
      <c r="A27" s="373"/>
      <c r="B27" s="373"/>
      <c r="C27" s="373"/>
      <c r="D27" s="373"/>
      <c r="E27" s="373"/>
      <c r="F27" s="373"/>
      <c r="G27" s="889"/>
      <c r="H27" s="373"/>
      <c r="I27" s="373"/>
      <c r="J27" s="373"/>
      <c r="K27" s="373"/>
      <c r="L27" s="373"/>
      <c r="M27" s="373"/>
      <c r="N27" s="373"/>
      <c r="O27" s="373"/>
    </row>
    <row r="33" spans="1:15" ht="22.5" x14ac:dyDescent="0.6">
      <c r="A33" s="392"/>
      <c r="B33" s="373"/>
      <c r="C33" s="373"/>
      <c r="D33" s="391"/>
      <c r="E33" s="391"/>
      <c r="F33" s="391"/>
      <c r="G33" s="391"/>
    </row>
    <row r="34" spans="1:15" ht="22.5" x14ac:dyDescent="0.6">
      <c r="A34" s="392"/>
      <c r="B34" s="373"/>
      <c r="C34" s="373"/>
      <c r="D34" s="391"/>
      <c r="E34" s="391"/>
      <c r="F34" s="391"/>
      <c r="G34" s="391"/>
    </row>
    <row r="35" spans="1:15" ht="22.5" x14ac:dyDescent="0.6">
      <c r="A35" s="392"/>
      <c r="B35" s="373"/>
      <c r="C35" s="373"/>
      <c r="D35" s="391"/>
      <c r="E35" s="391"/>
      <c r="F35" s="391"/>
      <c r="G35" s="391"/>
    </row>
    <row r="36" spans="1:15" ht="22.5" x14ac:dyDescent="0.6">
      <c r="A36" s="392"/>
      <c r="B36" s="373"/>
      <c r="C36" s="373"/>
      <c r="D36" s="391"/>
      <c r="E36" s="391"/>
      <c r="F36" s="391"/>
      <c r="G36" s="391"/>
    </row>
    <row r="37" spans="1:15" ht="22.5" x14ac:dyDescent="0.6">
      <c r="A37" s="392"/>
      <c r="B37" s="373"/>
      <c r="C37" s="373"/>
      <c r="D37" s="391"/>
      <c r="E37" s="391"/>
      <c r="F37" s="391"/>
      <c r="G37" s="391"/>
    </row>
    <row r="38" spans="1:15" ht="22.5" x14ac:dyDescent="0.6">
      <c r="A38" s="392"/>
      <c r="B38" s="373"/>
      <c r="C38" s="373"/>
      <c r="D38" s="391"/>
      <c r="E38" s="391"/>
      <c r="F38" s="391"/>
      <c r="G38" s="391"/>
    </row>
    <row r="39" spans="1:15" ht="22.5" x14ac:dyDescent="0.6">
      <c r="A39" s="392"/>
      <c r="B39" s="373"/>
      <c r="C39" s="373"/>
      <c r="D39" s="391"/>
      <c r="E39" s="391"/>
      <c r="F39" s="391"/>
      <c r="G39" s="391"/>
      <c r="I39" s="392"/>
      <c r="J39" s="392"/>
      <c r="K39" s="373"/>
      <c r="L39" s="373"/>
      <c r="M39" s="373"/>
      <c r="N39" s="391"/>
      <c r="O39" s="391"/>
    </row>
    <row r="40" spans="1:15" ht="22.5" x14ac:dyDescent="0.6">
      <c r="A40" s="392"/>
      <c r="B40" s="373"/>
      <c r="C40" s="373"/>
      <c r="D40" s="391"/>
      <c r="E40" s="391"/>
      <c r="F40" s="391"/>
      <c r="G40" s="391"/>
      <c r="I40" s="392"/>
      <c r="J40" s="392"/>
      <c r="K40" s="373"/>
      <c r="L40" s="373"/>
      <c r="M40" s="373"/>
      <c r="N40" s="391"/>
      <c r="O40" s="391"/>
    </row>
    <row r="41" spans="1:15" ht="22.5" x14ac:dyDescent="0.6">
      <c r="A41" s="392"/>
      <c r="B41" s="373"/>
      <c r="C41" s="373"/>
      <c r="D41" s="391"/>
      <c r="E41" s="391"/>
      <c r="F41" s="391"/>
      <c r="G41" s="391"/>
      <c r="I41" s="392"/>
      <c r="J41" s="392"/>
      <c r="K41" s="373"/>
      <c r="L41" s="373"/>
      <c r="M41" s="373"/>
      <c r="N41" s="391"/>
      <c r="O41" s="391"/>
    </row>
    <row r="42" spans="1:15" ht="22.5" x14ac:dyDescent="0.6">
      <c r="A42" s="392"/>
      <c r="B42" s="373"/>
      <c r="C42" s="373"/>
      <c r="D42" s="391"/>
      <c r="E42" s="391"/>
      <c r="F42" s="391"/>
      <c r="G42" s="391"/>
      <c r="I42" s="392"/>
      <c r="J42" s="392"/>
      <c r="K42" s="373"/>
      <c r="L42" s="373"/>
      <c r="M42" s="373"/>
      <c r="N42" s="391"/>
      <c r="O42" s="391"/>
    </row>
    <row r="43" spans="1:15" ht="22.5" x14ac:dyDescent="0.6">
      <c r="A43" s="392"/>
      <c r="B43" s="373"/>
      <c r="C43" s="373"/>
      <c r="D43" s="391"/>
      <c r="E43" s="391"/>
      <c r="F43" s="391"/>
      <c r="G43" s="391"/>
      <c r="I43" s="392"/>
      <c r="J43" s="392"/>
      <c r="K43" s="373"/>
      <c r="L43" s="373"/>
      <c r="M43" s="373"/>
      <c r="N43" s="391"/>
      <c r="O43" s="391"/>
    </row>
    <row r="44" spans="1:15" ht="22.5" x14ac:dyDescent="0.6">
      <c r="A44" s="392"/>
      <c r="B44" s="373"/>
      <c r="C44" s="373"/>
      <c r="D44" s="391"/>
      <c r="E44" s="391"/>
      <c r="F44" s="391"/>
      <c r="G44" s="391"/>
      <c r="I44" s="392"/>
      <c r="J44" s="392"/>
      <c r="K44" s="373"/>
      <c r="L44" s="373"/>
      <c r="M44" s="373"/>
      <c r="N44" s="391"/>
      <c r="O44" s="391"/>
    </row>
  </sheetData>
  <mergeCells count="9">
    <mergeCell ref="H17:H19"/>
    <mergeCell ref="A22:B22"/>
    <mergeCell ref="H22:I22"/>
    <mergeCell ref="A1:N1"/>
    <mergeCell ref="B3:N3"/>
    <mergeCell ref="B2:N2"/>
    <mergeCell ref="A5:N5"/>
    <mergeCell ref="A7:G7"/>
    <mergeCell ref="H7:N7"/>
  </mergeCells>
  <phoneticPr fontId="14" type="noConversion"/>
  <pageMargins left="0.9055118110236221" right="0.11811023622047245" top="0.74803149606299213" bottom="0.74803149606299213" header="0.31496062992125984" footer="0.31496062992125984"/>
  <pageSetup paperSize="9" scale="54" orientation="landscape" r:id="rId1"/>
  <headerFooter>
    <oddHeader>&amp;R2019.12.31.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BC77B-784E-4810-8BFC-DF304CE493BD}">
  <dimension ref="A1:L85"/>
  <sheetViews>
    <sheetView zoomScaleNormal="100" workbookViewId="0">
      <selection activeCell="B76" sqref="B76"/>
    </sheetView>
  </sheetViews>
  <sheetFormatPr defaultRowHeight="12.75" x14ac:dyDescent="0.2"/>
  <cols>
    <col min="1" max="1" width="11.85546875" customWidth="1"/>
    <col min="2" max="2" width="40.42578125" customWidth="1"/>
    <col min="3" max="3" width="16.5703125" customWidth="1"/>
    <col min="4" max="5" width="14.7109375" customWidth="1"/>
    <col min="6" max="6" width="12.140625" customWidth="1"/>
    <col min="7" max="7" width="17.140625" customWidth="1"/>
    <col min="8" max="8" width="18.85546875" customWidth="1"/>
    <col min="9" max="11" width="8.42578125" customWidth="1"/>
    <col min="12" max="12" width="8.7109375" customWidth="1"/>
    <col min="13" max="1025" width="8.42578125" customWidth="1"/>
  </cols>
  <sheetData>
    <row r="1" spans="1:8" ht="19.5" customHeight="1" x14ac:dyDescent="0.2">
      <c r="G1" s="584" t="s">
        <v>376</v>
      </c>
    </row>
    <row r="2" spans="1:8" ht="15.75" x14ac:dyDescent="0.25">
      <c r="A2" s="1039" t="s">
        <v>267</v>
      </c>
      <c r="B2" s="1039"/>
      <c r="C2" s="1039"/>
      <c r="D2" s="1039"/>
      <c r="E2" s="1039"/>
      <c r="F2" s="1039"/>
      <c r="G2" s="1039"/>
    </row>
    <row r="3" spans="1:8" ht="15.75" x14ac:dyDescent="0.25">
      <c r="A3" s="1039" t="s">
        <v>303</v>
      </c>
      <c r="B3" s="1039"/>
      <c r="C3" s="1039"/>
      <c r="D3" s="1039"/>
      <c r="E3" s="1039"/>
      <c r="F3" s="1039"/>
      <c r="G3" s="1039"/>
    </row>
    <row r="4" spans="1:8" ht="14.25" customHeight="1" thickBot="1" x14ac:dyDescent="0.25">
      <c r="A4" s="582"/>
      <c r="B4" s="582"/>
      <c r="C4" s="582"/>
      <c r="D4" s="582"/>
      <c r="E4" s="582"/>
      <c r="F4" s="582"/>
      <c r="G4" s="519" t="s">
        <v>305</v>
      </c>
    </row>
    <row r="5" spans="1:8" ht="20.25" customHeight="1" thickBot="1" x14ac:dyDescent="0.25">
      <c r="A5" s="1051" t="s">
        <v>2</v>
      </c>
      <c r="B5" s="1051"/>
      <c r="C5" s="1051"/>
      <c r="D5" s="1051"/>
      <c r="E5" s="1051"/>
      <c r="F5" s="1051"/>
      <c r="G5" s="1051"/>
    </row>
    <row r="6" spans="1:8" ht="15.75" customHeight="1" thickBot="1" x14ac:dyDescent="0.25">
      <c r="A6" s="1052" t="s">
        <v>306</v>
      </c>
      <c r="B6" s="1053" t="s">
        <v>307</v>
      </c>
      <c r="C6" s="1054">
        <v>2019</v>
      </c>
      <c r="D6" s="1055"/>
      <c r="E6" s="1055"/>
      <c r="F6" s="1056"/>
      <c r="G6" s="1057" t="s">
        <v>272</v>
      </c>
    </row>
    <row r="7" spans="1:8" ht="21.75" customHeight="1" thickBot="1" x14ac:dyDescent="0.25">
      <c r="A7" s="1052"/>
      <c r="B7" s="1053"/>
      <c r="C7" s="522" t="s">
        <v>308</v>
      </c>
      <c r="D7" s="522" t="s">
        <v>270</v>
      </c>
      <c r="E7" s="522" t="s">
        <v>236</v>
      </c>
      <c r="F7" s="520" t="s">
        <v>63</v>
      </c>
      <c r="G7" s="1057"/>
      <c r="H7" s="585"/>
    </row>
    <row r="8" spans="1:8" ht="20.100000000000001" customHeight="1" x14ac:dyDescent="0.2">
      <c r="A8" s="523" t="s">
        <v>377</v>
      </c>
      <c r="B8" s="524" t="s">
        <v>378</v>
      </c>
      <c r="C8" s="525">
        <v>4465760</v>
      </c>
      <c r="D8" s="526">
        <v>7604180</v>
      </c>
      <c r="E8" s="526">
        <f>D8-G8</f>
        <v>213</v>
      </c>
      <c r="F8" s="527">
        <f>G8/D8*100</f>
        <v>99.997198909021094</v>
      </c>
      <c r="G8" s="528">
        <f>'[1]Kiadások COFOG szerint'!G176+'[1]Kiadások COFOG szerint'!G225+'[1]Kiadások COFOG szerint'!G264</f>
        <v>7603967</v>
      </c>
      <c r="H8" s="586"/>
    </row>
    <row r="9" spans="1:8" ht="20.100000000000001" customHeight="1" x14ac:dyDescent="0.2">
      <c r="A9" s="529" t="s">
        <v>379</v>
      </c>
      <c r="B9" s="530" t="s">
        <v>380</v>
      </c>
      <c r="C9" s="531">
        <v>8182420</v>
      </c>
      <c r="D9" s="532">
        <v>12281750</v>
      </c>
      <c r="E9" s="526">
        <f t="shared" ref="E9:E18" si="0">D9-G9</f>
        <v>1220321</v>
      </c>
      <c r="F9" s="527">
        <f t="shared" ref="F9:F18" si="1">G9/D9*100</f>
        <v>90.063948541535197</v>
      </c>
      <c r="G9" s="533">
        <f>'[1]Kiadások COFOG szerint'!G10+'[1]Kiadások COFOG szerint'!G105+'[1]Kiadások COFOG szerint'!G115+'[1]Kiadások COFOG szerint'!G151</f>
        <v>11061429</v>
      </c>
      <c r="H9" s="587"/>
    </row>
    <row r="10" spans="1:8" ht="20.100000000000001" customHeight="1" x14ac:dyDescent="0.2">
      <c r="A10" s="529" t="s">
        <v>381</v>
      </c>
      <c r="B10" s="530" t="s">
        <v>382</v>
      </c>
      <c r="C10" s="531">
        <v>100000</v>
      </c>
      <c r="D10" s="532">
        <v>100000</v>
      </c>
      <c r="E10" s="526">
        <f t="shared" si="0"/>
        <v>100000</v>
      </c>
      <c r="F10" s="527">
        <f t="shared" si="1"/>
        <v>0</v>
      </c>
      <c r="G10" s="533">
        <f>'[1]Kiadások COFOG szerint'!G177</f>
        <v>0</v>
      </c>
      <c r="H10" s="587"/>
    </row>
    <row r="11" spans="1:8" ht="20.100000000000001" customHeight="1" x14ac:dyDescent="0.2">
      <c r="A11" s="529" t="s">
        <v>383</v>
      </c>
      <c r="B11" s="530" t="s">
        <v>384</v>
      </c>
      <c r="C11" s="531">
        <v>48000</v>
      </c>
      <c r="D11" s="532">
        <v>48000</v>
      </c>
      <c r="E11" s="526">
        <f t="shared" si="0"/>
        <v>0</v>
      </c>
      <c r="F11" s="527">
        <f t="shared" si="1"/>
        <v>100</v>
      </c>
      <c r="G11" s="533">
        <f>'[1]Kiadások COFOG szerint'!G178+'[1]Kiadások COFOG szerint'!G226</f>
        <v>48000</v>
      </c>
      <c r="H11" s="586"/>
    </row>
    <row r="12" spans="1:8" ht="20.100000000000001" customHeight="1" x14ac:dyDescent="0.2">
      <c r="A12" s="529" t="s">
        <v>385</v>
      </c>
      <c r="B12" s="530" t="s">
        <v>386</v>
      </c>
      <c r="C12" s="531">
        <v>50000</v>
      </c>
      <c r="D12" s="532">
        <v>0</v>
      </c>
      <c r="E12" s="526">
        <f t="shared" si="0"/>
        <v>0</v>
      </c>
      <c r="F12" s="527"/>
      <c r="G12" s="533">
        <f>'[1]Kiadások COFOG szerint'!G179</f>
        <v>0</v>
      </c>
      <c r="H12" s="586"/>
    </row>
    <row r="13" spans="1:8" ht="20.100000000000001" customHeight="1" x14ac:dyDescent="0.2">
      <c r="A13" s="529" t="s">
        <v>387</v>
      </c>
      <c r="B13" s="530" t="s">
        <v>388</v>
      </c>
      <c r="C13" s="531">
        <v>48000</v>
      </c>
      <c r="D13" s="532">
        <v>48000</v>
      </c>
      <c r="E13" s="526">
        <f t="shared" si="0"/>
        <v>12000</v>
      </c>
      <c r="F13" s="527">
        <f t="shared" si="1"/>
        <v>75</v>
      </c>
      <c r="G13" s="533">
        <f>'[1]Kiadások COFOG szerint'!G153+'[1]Kiadások COFOG szerint'!G180+'[1]Kiadások COFOG szerint'!G227</f>
        <v>36000</v>
      </c>
      <c r="H13" s="586"/>
    </row>
    <row r="14" spans="1:8" ht="20.100000000000001" customHeight="1" x14ac:dyDescent="0.2">
      <c r="A14" s="529" t="s">
        <v>389</v>
      </c>
      <c r="B14" s="530" t="s">
        <v>390</v>
      </c>
      <c r="C14" s="531">
        <v>100000</v>
      </c>
      <c r="D14" s="532">
        <v>0</v>
      </c>
      <c r="E14" s="526">
        <f t="shared" si="0"/>
        <v>0</v>
      </c>
      <c r="F14" s="527"/>
      <c r="G14" s="533">
        <f>'[1]Kiadások COFOG szerint'!G13</f>
        <v>0</v>
      </c>
      <c r="H14" s="588"/>
    </row>
    <row r="15" spans="1:8" ht="20.100000000000001" customHeight="1" x14ac:dyDescent="0.2">
      <c r="A15" s="529" t="s">
        <v>391</v>
      </c>
      <c r="B15" s="530" t="s">
        <v>392</v>
      </c>
      <c r="C15" s="531">
        <v>20000</v>
      </c>
      <c r="D15" s="532">
        <v>448000</v>
      </c>
      <c r="E15" s="526">
        <f t="shared" si="0"/>
        <v>29932</v>
      </c>
      <c r="F15" s="527">
        <f t="shared" si="1"/>
        <v>93.318749999999994</v>
      </c>
      <c r="G15" s="533">
        <f>'[1]Kiadások COFOG szerint'!G116+'[1]Kiadások COFOG szerint'!G154+'[1]Kiadások COFOG szerint'!G181+'[1]Kiadások COFOG szerint'!G265</f>
        <v>418068</v>
      </c>
      <c r="H15" s="587"/>
    </row>
    <row r="16" spans="1:8" ht="20.100000000000001" customHeight="1" x14ac:dyDescent="0.2">
      <c r="A16" s="529" t="s">
        <v>393</v>
      </c>
      <c r="B16" s="530" t="s">
        <v>394</v>
      </c>
      <c r="C16" s="531">
        <v>16224200</v>
      </c>
      <c r="D16" s="532">
        <v>16234200</v>
      </c>
      <c r="E16" s="526">
        <f t="shared" si="0"/>
        <v>843</v>
      </c>
      <c r="F16" s="527">
        <f t="shared" si="1"/>
        <v>99.994807258750058</v>
      </c>
      <c r="G16" s="533">
        <f>'[1]Kiadások COFOG szerint'!G14</f>
        <v>16233357</v>
      </c>
      <c r="H16" s="586"/>
    </row>
    <row r="17" spans="1:8" ht="27" customHeight="1" x14ac:dyDescent="0.2">
      <c r="A17" s="529" t="s">
        <v>395</v>
      </c>
      <c r="B17" s="530" t="s">
        <v>396</v>
      </c>
      <c r="C17" s="531">
        <v>869100</v>
      </c>
      <c r="D17" s="532">
        <v>3493000</v>
      </c>
      <c r="E17" s="526">
        <f t="shared" si="0"/>
        <v>687170</v>
      </c>
      <c r="F17" s="527">
        <f t="shared" si="1"/>
        <v>80.327225880332094</v>
      </c>
      <c r="G17" s="533">
        <f>'[1]Kiadások COFOG szerint'!G15+'[1]Kiadások COFOG szerint'!G182+'[1]Kiadások COFOG szerint'!G208</f>
        <v>2805830</v>
      </c>
      <c r="H17" s="586"/>
    </row>
    <row r="18" spans="1:8" ht="20.100000000000001" customHeight="1" thickBot="1" x14ac:dyDescent="0.25">
      <c r="A18" s="534" t="s">
        <v>397</v>
      </c>
      <c r="B18" s="535" t="s">
        <v>398</v>
      </c>
      <c r="C18" s="536">
        <v>200000</v>
      </c>
      <c r="D18" s="537">
        <v>495300</v>
      </c>
      <c r="E18" s="526">
        <f t="shared" si="0"/>
        <v>14654</v>
      </c>
      <c r="F18" s="527">
        <f t="shared" si="1"/>
        <v>97.041389057137081</v>
      </c>
      <c r="G18" s="538">
        <f>'[1]Kiadások COFOG szerint'!G16+'[1]Kiadások COFOG szerint'!G83+'[1]Kiadások COFOG szerint'!G155</f>
        <v>480646</v>
      </c>
      <c r="H18" s="586"/>
    </row>
    <row r="19" spans="1:8" ht="24.95" customHeight="1" thickBot="1" x14ac:dyDescent="0.25">
      <c r="A19" s="1049" t="s">
        <v>3</v>
      </c>
      <c r="B19" s="1049"/>
      <c r="C19" s="589">
        <v>30307480</v>
      </c>
      <c r="D19" s="590">
        <v>40752430</v>
      </c>
      <c r="E19" s="590">
        <f>SUM(E8:E18)</f>
        <v>2065133</v>
      </c>
      <c r="F19" s="591">
        <f>G19/D19*100</f>
        <v>94.932491142245993</v>
      </c>
      <c r="G19" s="592">
        <f>SUM(G8:G18)</f>
        <v>38687297</v>
      </c>
      <c r="H19" s="587"/>
    </row>
    <row r="20" spans="1:8" ht="20.100000000000001" customHeight="1" x14ac:dyDescent="0.2">
      <c r="A20" s="523" t="s">
        <v>399</v>
      </c>
      <c r="B20" s="524" t="s">
        <v>400</v>
      </c>
      <c r="C20" s="525">
        <v>5977195</v>
      </c>
      <c r="D20" s="526">
        <v>7082484</v>
      </c>
      <c r="E20" s="526">
        <f>D20-G20</f>
        <v>781017</v>
      </c>
      <c r="F20" s="527">
        <f>G20/D20*100</f>
        <v>88.972555391582958</v>
      </c>
      <c r="G20" s="528">
        <f>'[1]Kiadások COFOG szerint'!G17+'[1]Kiadások COFOG szerint'!G106+'[1]Kiadások COFOG szerint'!G117+'[1]Kiadások COFOG szerint'!G156+'[1]Kiadások COFOG szerint'!G183+'[1]Kiadások COFOG szerint'!G209+'[1]Kiadások COFOG szerint'!G228+'[1]Kiadások COFOG szerint'!G266</f>
        <v>6301467</v>
      </c>
      <c r="H20" s="586"/>
    </row>
    <row r="21" spans="1:8" ht="20.100000000000001" customHeight="1" thickBot="1" x14ac:dyDescent="0.25">
      <c r="A21" s="534" t="s">
        <v>401</v>
      </c>
      <c r="B21" s="535" t="s">
        <v>402</v>
      </c>
      <c r="C21" s="536">
        <v>30000</v>
      </c>
      <c r="D21" s="537">
        <v>40000</v>
      </c>
      <c r="E21" s="526">
        <f>D21-G21</f>
        <v>8265</v>
      </c>
      <c r="F21" s="527">
        <v>0</v>
      </c>
      <c r="G21" s="538">
        <f>'[1]Kiadások COFOG szerint'!G18</f>
        <v>31735</v>
      </c>
      <c r="H21" s="586"/>
    </row>
    <row r="22" spans="1:8" ht="24.95" customHeight="1" thickBot="1" x14ac:dyDescent="0.25">
      <c r="A22" s="1049" t="s">
        <v>60</v>
      </c>
      <c r="B22" s="1049"/>
      <c r="C22" s="589">
        <v>6007195</v>
      </c>
      <c r="D22" s="590">
        <v>7122484</v>
      </c>
      <c r="E22" s="590">
        <f>SUM(E20:E21)</f>
        <v>789282</v>
      </c>
      <c r="F22" s="591">
        <f>G22/D22*100</f>
        <v>88.918444744839022</v>
      </c>
      <c r="G22" s="593">
        <f>SUM(G20:G21)</f>
        <v>6333202</v>
      </c>
      <c r="H22" s="587"/>
    </row>
    <row r="23" spans="1:8" ht="20.100000000000001" customHeight="1" x14ac:dyDescent="0.2">
      <c r="A23" s="523" t="s">
        <v>403</v>
      </c>
      <c r="B23" s="524" t="s">
        <v>404</v>
      </c>
      <c r="C23" s="525">
        <v>130000</v>
      </c>
      <c r="D23" s="526">
        <v>120000</v>
      </c>
      <c r="E23" s="526">
        <f>D23-G23</f>
        <v>57690</v>
      </c>
      <c r="F23" s="527">
        <f>G23/D23*100</f>
        <v>51.924999999999997</v>
      </c>
      <c r="G23" s="528">
        <f>'[1]Kiadások COFOG szerint'!G19+'[1]Kiadások COFOG szerint'!G185</f>
        <v>62310</v>
      </c>
      <c r="H23" s="586"/>
    </row>
    <row r="24" spans="1:8" ht="20.100000000000001" hidden="1" customHeight="1" x14ac:dyDescent="0.2">
      <c r="A24" s="529" t="s">
        <v>405</v>
      </c>
      <c r="B24" s="530" t="s">
        <v>406</v>
      </c>
      <c r="C24" s="531"/>
      <c r="D24" s="532"/>
      <c r="E24" s="526">
        <f t="shared" ref="E24:E51" si="2">D24-G24</f>
        <v>0</v>
      </c>
      <c r="F24" s="527" t="e">
        <f t="shared" ref="F24:F50" si="3">G24/D24*100</f>
        <v>#DIV/0!</v>
      </c>
      <c r="G24" s="533"/>
      <c r="H24" s="587"/>
    </row>
    <row r="25" spans="1:8" ht="20.100000000000001" hidden="1" customHeight="1" x14ac:dyDescent="0.2">
      <c r="A25" s="529" t="s">
        <v>407</v>
      </c>
      <c r="B25" s="530" t="s">
        <v>408</v>
      </c>
      <c r="C25" s="531"/>
      <c r="D25" s="532"/>
      <c r="E25" s="526">
        <f t="shared" si="2"/>
        <v>0</v>
      </c>
      <c r="F25" s="527" t="e">
        <f t="shared" si="3"/>
        <v>#DIV/0!</v>
      </c>
      <c r="G25" s="533"/>
      <c r="H25" s="587"/>
    </row>
    <row r="26" spans="1:8" ht="20.100000000000001" hidden="1" customHeight="1" x14ac:dyDescent="0.2">
      <c r="A26" s="529" t="s">
        <v>409</v>
      </c>
      <c r="B26" s="530" t="s">
        <v>410</v>
      </c>
      <c r="C26" s="531"/>
      <c r="D26" s="532"/>
      <c r="E26" s="526">
        <f t="shared" si="2"/>
        <v>0</v>
      </c>
      <c r="F26" s="527" t="e">
        <f t="shared" si="3"/>
        <v>#DIV/0!</v>
      </c>
      <c r="G26" s="533"/>
      <c r="H26" s="587"/>
    </row>
    <row r="27" spans="1:8" ht="20.100000000000001" customHeight="1" x14ac:dyDescent="0.2">
      <c r="A27" s="529" t="s">
        <v>411</v>
      </c>
      <c r="B27" s="530" t="s">
        <v>412</v>
      </c>
      <c r="C27" s="531">
        <v>4488080</v>
      </c>
      <c r="D27" s="532">
        <v>11537080</v>
      </c>
      <c r="E27" s="526">
        <f t="shared" si="2"/>
        <v>1173846</v>
      </c>
      <c r="F27" s="527">
        <f t="shared" si="3"/>
        <v>89.825449767185461</v>
      </c>
      <c r="G27" s="533">
        <f>'[1]Kiadások COFOG szerint'!G20+'[1]Kiadások COFOG szerint'!G84+'[1]Kiadások COFOG szerint'!G107+'[1]Kiadások COFOG szerint'!G118+'[1]Kiadások COFOG szerint'!G124+'[1]Kiadások COFOG szerint'!G143+'[1]Kiadások COFOG szerint'!G158+'[1]Kiadások COFOG szerint'!G186+'[1]Kiadások COFOG szerint'!G211+'[1]Kiadások COFOG szerint'!G229+'[1]Kiadások COFOG szerint'!G273</f>
        <v>10363234</v>
      </c>
      <c r="H27" s="587"/>
    </row>
    <row r="28" spans="1:8" ht="20.100000000000001" hidden="1" customHeight="1" x14ac:dyDescent="0.2">
      <c r="A28" s="529" t="s">
        <v>413</v>
      </c>
      <c r="B28" s="594" t="s">
        <v>414</v>
      </c>
      <c r="C28" s="595"/>
      <c r="D28" s="532"/>
      <c r="E28" s="526">
        <f t="shared" si="2"/>
        <v>0</v>
      </c>
      <c r="F28" s="527" t="e">
        <f t="shared" si="3"/>
        <v>#DIV/0!</v>
      </c>
      <c r="G28" s="533"/>
      <c r="H28" s="587"/>
    </row>
    <row r="29" spans="1:8" ht="20.100000000000001" hidden="1" customHeight="1" x14ac:dyDescent="0.2">
      <c r="A29" s="529" t="s">
        <v>415</v>
      </c>
      <c r="B29" s="594" t="s">
        <v>416</v>
      </c>
      <c r="C29" s="595"/>
      <c r="D29" s="532"/>
      <c r="E29" s="526">
        <f t="shared" si="2"/>
        <v>0</v>
      </c>
      <c r="F29" s="527" t="e">
        <f t="shared" si="3"/>
        <v>#DIV/0!</v>
      </c>
      <c r="G29" s="533"/>
      <c r="H29" s="587"/>
    </row>
    <row r="30" spans="1:8" ht="20.100000000000001" hidden="1" customHeight="1" x14ac:dyDescent="0.2">
      <c r="A30" s="529" t="s">
        <v>417</v>
      </c>
      <c r="B30" s="594" t="s">
        <v>418</v>
      </c>
      <c r="C30" s="595"/>
      <c r="D30" s="532"/>
      <c r="E30" s="526">
        <f t="shared" si="2"/>
        <v>0</v>
      </c>
      <c r="F30" s="527" t="e">
        <f t="shared" si="3"/>
        <v>#DIV/0!</v>
      </c>
      <c r="G30" s="533"/>
      <c r="H30" s="587"/>
    </row>
    <row r="31" spans="1:8" ht="20.100000000000001" hidden="1" customHeight="1" x14ac:dyDescent="0.2">
      <c r="A31" s="529" t="s">
        <v>419</v>
      </c>
      <c r="B31" s="594" t="s">
        <v>420</v>
      </c>
      <c r="C31" s="595"/>
      <c r="D31" s="532"/>
      <c r="E31" s="526">
        <f t="shared" si="2"/>
        <v>0</v>
      </c>
      <c r="F31" s="527" t="e">
        <f t="shared" si="3"/>
        <v>#DIV/0!</v>
      </c>
      <c r="G31" s="533"/>
      <c r="H31" s="587"/>
    </row>
    <row r="32" spans="1:8" ht="20.100000000000001" hidden="1" customHeight="1" x14ac:dyDescent="0.2">
      <c r="A32" s="529" t="s">
        <v>421</v>
      </c>
      <c r="B32" s="594" t="s">
        <v>422</v>
      </c>
      <c r="C32" s="595"/>
      <c r="D32" s="532"/>
      <c r="E32" s="526">
        <f t="shared" si="2"/>
        <v>0</v>
      </c>
      <c r="F32" s="527" t="e">
        <f t="shared" si="3"/>
        <v>#DIV/0!</v>
      </c>
      <c r="G32" s="533"/>
      <c r="H32" s="587"/>
    </row>
    <row r="33" spans="1:8" ht="19.5" hidden="1" customHeight="1" x14ac:dyDescent="0.2">
      <c r="A33" s="529" t="s">
        <v>423</v>
      </c>
      <c r="B33" s="594" t="s">
        <v>424</v>
      </c>
      <c r="C33" s="595"/>
      <c r="D33" s="532"/>
      <c r="E33" s="526">
        <f t="shared" si="2"/>
        <v>0</v>
      </c>
      <c r="F33" s="527" t="e">
        <f t="shared" si="3"/>
        <v>#DIV/0!</v>
      </c>
      <c r="G33" s="533"/>
      <c r="H33" s="587"/>
    </row>
    <row r="34" spans="1:8" ht="20.100000000000001" customHeight="1" x14ac:dyDescent="0.2">
      <c r="A34" s="529" t="s">
        <v>425</v>
      </c>
      <c r="B34" s="530" t="s">
        <v>426</v>
      </c>
      <c r="C34" s="531">
        <v>1350000</v>
      </c>
      <c r="D34" s="532">
        <v>1400000</v>
      </c>
      <c r="E34" s="526">
        <f t="shared" si="2"/>
        <v>90244</v>
      </c>
      <c r="F34" s="527">
        <f t="shared" si="3"/>
        <v>93.554000000000002</v>
      </c>
      <c r="G34" s="533">
        <f>'[1]Kiadások COFOG szerint'!G21+'[1]Kiadások COFOG szerint'!G187</f>
        <v>1309756</v>
      </c>
      <c r="H34" s="587"/>
    </row>
    <row r="35" spans="1:8" ht="20.100000000000001" customHeight="1" x14ac:dyDescent="0.2">
      <c r="A35" s="529" t="s">
        <v>427</v>
      </c>
      <c r="B35" s="530" t="s">
        <v>428</v>
      </c>
      <c r="C35" s="531">
        <v>410000</v>
      </c>
      <c r="D35" s="532">
        <v>440000</v>
      </c>
      <c r="E35" s="526">
        <f t="shared" si="2"/>
        <v>34340</v>
      </c>
      <c r="F35" s="527">
        <f t="shared" si="3"/>
        <v>92.195454545454552</v>
      </c>
      <c r="G35" s="533">
        <f>'[1]Kiadások COFOG szerint'!G22+'[1]Kiadások COFOG szerint'!G188</f>
        <v>405660</v>
      </c>
      <c r="H35" s="587"/>
    </row>
    <row r="36" spans="1:8" ht="20.100000000000001" customHeight="1" x14ac:dyDescent="0.2">
      <c r="A36" s="529" t="s">
        <v>429</v>
      </c>
      <c r="B36" s="530" t="s">
        <v>430</v>
      </c>
      <c r="C36" s="531"/>
      <c r="D36" s="532"/>
      <c r="E36" s="526">
        <f t="shared" si="2"/>
        <v>0</v>
      </c>
      <c r="F36" s="527"/>
      <c r="G36" s="533"/>
      <c r="H36" s="587"/>
    </row>
    <row r="37" spans="1:8" ht="20.100000000000001" customHeight="1" x14ac:dyDescent="0.2">
      <c r="A37" s="529" t="s">
        <v>431</v>
      </c>
      <c r="B37" s="594" t="s">
        <v>432</v>
      </c>
      <c r="C37" s="595">
        <v>4100668</v>
      </c>
      <c r="D37" s="532">
        <v>3866668</v>
      </c>
      <c r="E37" s="526">
        <f t="shared" si="2"/>
        <v>1867060</v>
      </c>
      <c r="F37" s="527">
        <f t="shared" si="3"/>
        <v>51.713982167592356</v>
      </c>
      <c r="G37" s="533">
        <f>'[1]Kiadások COFOG szerint'!G23+'[1]Kiadások COFOG szerint'!G70+'[1]Kiadások COFOG szerint'!G144</f>
        <v>1999608</v>
      </c>
      <c r="H37" s="587"/>
    </row>
    <row r="38" spans="1:8" ht="20.100000000000001" customHeight="1" x14ac:dyDescent="0.2">
      <c r="A38" s="529" t="s">
        <v>433</v>
      </c>
      <c r="B38" s="594" t="s">
        <v>434</v>
      </c>
      <c r="C38" s="595">
        <v>2250000</v>
      </c>
      <c r="D38" s="532">
        <v>2450000</v>
      </c>
      <c r="E38" s="526">
        <f t="shared" si="2"/>
        <v>-82230</v>
      </c>
      <c r="F38" s="527">
        <f t="shared" si="3"/>
        <v>103.35632653061224</v>
      </c>
      <c r="G38" s="533">
        <f>'[1]Kiadások COFOG szerint'!G24+'[1]Kiadások COFOG szerint'!G71+'[1]Kiadások COFOG szerint'!G159</f>
        <v>2532230</v>
      </c>
      <c r="H38" s="587"/>
    </row>
    <row r="39" spans="1:8" ht="20.100000000000001" customHeight="1" x14ac:dyDescent="0.2">
      <c r="A39" s="529" t="s">
        <v>435</v>
      </c>
      <c r="B39" s="594" t="s">
        <v>436</v>
      </c>
      <c r="C39" s="595">
        <v>320000</v>
      </c>
      <c r="D39" s="532">
        <v>500000</v>
      </c>
      <c r="E39" s="526">
        <f t="shared" si="2"/>
        <v>403476</v>
      </c>
      <c r="F39" s="527">
        <f t="shared" si="3"/>
        <v>19.3048</v>
      </c>
      <c r="G39" s="533">
        <f>'[1]Kiadások COFOG szerint'!G72+'[1]Kiadások COFOG szerint'!G25</f>
        <v>96524</v>
      </c>
      <c r="H39" s="587"/>
    </row>
    <row r="40" spans="1:8" ht="20.100000000000001" customHeight="1" x14ac:dyDescent="0.2">
      <c r="A40" s="529" t="s">
        <v>437</v>
      </c>
      <c r="B40" s="530" t="s">
        <v>438</v>
      </c>
      <c r="C40" s="531">
        <v>12659413</v>
      </c>
      <c r="D40" s="532">
        <v>12810913</v>
      </c>
      <c r="E40" s="526">
        <f t="shared" si="2"/>
        <v>732162</v>
      </c>
      <c r="F40" s="527">
        <f t="shared" si="3"/>
        <v>94.284856980919315</v>
      </c>
      <c r="G40" s="533">
        <f>'[1]Kiadások COFOG szerint'!G230+'[1]Kiadások COFOG szerint'!G247+'[1]Kiadások COFOG szerint'!G253</f>
        <v>12078751</v>
      </c>
      <c r="H40" s="587"/>
    </row>
    <row r="41" spans="1:8" ht="20.100000000000001" customHeight="1" x14ac:dyDescent="0.2">
      <c r="A41" s="529" t="s">
        <v>439</v>
      </c>
      <c r="B41" s="530" t="s">
        <v>440</v>
      </c>
      <c r="C41" s="531">
        <v>150000</v>
      </c>
      <c r="D41" s="532">
        <v>150000</v>
      </c>
      <c r="E41" s="526">
        <f t="shared" si="2"/>
        <v>19200</v>
      </c>
      <c r="F41" s="527">
        <f t="shared" si="3"/>
        <v>87.2</v>
      </c>
      <c r="G41" s="533">
        <f>'[1]Kiadások COFOG szerint'!G26</f>
        <v>130800</v>
      </c>
      <c r="H41" s="587"/>
    </row>
    <row r="42" spans="1:8" ht="20.100000000000001" customHeight="1" x14ac:dyDescent="0.2">
      <c r="A42" s="529" t="s">
        <v>441</v>
      </c>
      <c r="B42" s="530" t="s">
        <v>442</v>
      </c>
      <c r="C42" s="531">
        <v>2995595</v>
      </c>
      <c r="D42" s="532">
        <v>2049595</v>
      </c>
      <c r="E42" s="526">
        <f t="shared" si="2"/>
        <v>253272</v>
      </c>
      <c r="F42" s="527">
        <f t="shared" si="3"/>
        <v>87.642826997528772</v>
      </c>
      <c r="G42" s="533">
        <f>'[1]Kiadások COFOG szerint'!G27+'[1]Kiadások COFOG szerint'!G73+'[1]Kiadások COFOG szerint'!G125+'[1]Kiadások COFOG szerint'!G145+'[1]Kiadások COFOG szerint'!G161+'[1]Kiadások COFOG szerint'!G189</f>
        <v>1796323</v>
      </c>
      <c r="H42" s="587"/>
    </row>
    <row r="43" spans="1:8" ht="20.100000000000001" customHeight="1" x14ac:dyDescent="0.2">
      <c r="A43" s="529" t="s">
        <v>443</v>
      </c>
      <c r="B43" s="530" t="s">
        <v>444</v>
      </c>
      <c r="C43" s="531">
        <v>150000</v>
      </c>
      <c r="D43" s="532">
        <v>731000</v>
      </c>
      <c r="E43" s="526">
        <f t="shared" si="2"/>
        <v>47596</v>
      </c>
      <c r="F43" s="527">
        <f t="shared" si="3"/>
        <v>93.48891928864569</v>
      </c>
      <c r="G43" s="533">
        <f>'[1]Kiadások COFOG szerint'!G28+'[1]Kiadások COFOG szerint'!G74</f>
        <v>683404</v>
      </c>
      <c r="H43" s="587"/>
    </row>
    <row r="44" spans="1:8" ht="20.100000000000001" customHeight="1" x14ac:dyDescent="0.2">
      <c r="A44" s="529" t="s">
        <v>445</v>
      </c>
      <c r="B44" s="530" t="s">
        <v>446</v>
      </c>
      <c r="C44" s="531">
        <v>2925500</v>
      </c>
      <c r="D44" s="532">
        <v>2638500</v>
      </c>
      <c r="E44" s="526">
        <f t="shared" si="2"/>
        <v>784150</v>
      </c>
      <c r="F44" s="527">
        <f t="shared" si="3"/>
        <v>70.280462383930271</v>
      </c>
      <c r="G44" s="533">
        <f>'[1]Kiadások COFOG szerint'!G29+'[1]Kiadások COFOG szerint'!G190+'[1]Kiadások COFOG szerint'!G202+'[1]Kiadások COFOG szerint'!G231+'[1]Kiadások COFOG szerint'!G267</f>
        <v>1854350</v>
      </c>
      <c r="H44" s="587"/>
    </row>
    <row r="45" spans="1:8" ht="20.100000000000001" customHeight="1" x14ac:dyDescent="0.2">
      <c r="A45" s="529" t="s">
        <v>447</v>
      </c>
      <c r="B45" s="530" t="s">
        <v>448</v>
      </c>
      <c r="C45" s="531">
        <v>7916929</v>
      </c>
      <c r="D45" s="532">
        <v>11781929</v>
      </c>
      <c r="E45" s="526">
        <f>D45-G45</f>
        <v>542635</v>
      </c>
      <c r="F45" s="527">
        <f t="shared" si="3"/>
        <v>95.394345017696168</v>
      </c>
      <c r="G45" s="533">
        <f>'[1]Kiadások COFOG szerint'!G30+'[1]Kiadások COFOG szerint'!G58+'[1]Kiadások COFOG szerint'!G75+'[1]Kiadások COFOG szerint'!G86+'[1]Kiadások COFOG szerint'!G126+'[1]Kiadások COFOG szerint'!G163+'[1]Kiadások COFOG szerint'!G191+'[1]Kiadások COFOG szerint'!G212+'[1]Kiadások COFOG szerint'!G232+'[1]Kiadások COFOG szerint'!G275</f>
        <v>11239294</v>
      </c>
      <c r="H45" s="587"/>
    </row>
    <row r="46" spans="1:8" ht="20.100000000000001" customHeight="1" x14ac:dyDescent="0.2">
      <c r="A46" s="529" t="s">
        <v>449</v>
      </c>
      <c r="B46" s="530" t="s">
        <v>450</v>
      </c>
      <c r="C46" s="531">
        <v>10000</v>
      </c>
      <c r="D46" s="532">
        <v>606000</v>
      </c>
      <c r="E46" s="526">
        <f t="shared" si="2"/>
        <v>8315</v>
      </c>
      <c r="F46" s="527">
        <f t="shared" si="3"/>
        <v>98.627887788778878</v>
      </c>
      <c r="G46" s="533">
        <f>'[1]Kiadások COFOG szerint'!G31+'[1]Kiadások COFOG szerint'!G87+'[1]Kiadások COFOG szerint'!G192</f>
        <v>597685</v>
      </c>
      <c r="H46" s="587"/>
    </row>
    <row r="47" spans="1:8" ht="19.5" customHeight="1" x14ac:dyDescent="0.2">
      <c r="A47" s="529" t="s">
        <v>451</v>
      </c>
      <c r="B47" s="530" t="s">
        <v>452</v>
      </c>
      <c r="C47" s="531">
        <v>11146217</v>
      </c>
      <c r="D47" s="532">
        <v>11598478.93</v>
      </c>
      <c r="E47" s="526">
        <f t="shared" si="2"/>
        <v>2005807.9299999997</v>
      </c>
      <c r="F47" s="527">
        <f t="shared" si="3"/>
        <v>82.706284659345414</v>
      </c>
      <c r="G47" s="533">
        <f>'[1]Kiadások COFOG szerint'!G32+'[1]Kiadások COFOG szerint'!G60+'[1]Kiadások COFOG szerint'!G76+'[1]Kiadások COFOG szerint'!G88+'[1]Kiadások COFOG szerint'!G108+'[1]Kiadások COFOG szerint'!G119+'[1]Kiadások COFOG szerint'!G128+'[1]Kiadások COFOG szerint'!G146+'[1]Kiadások COFOG szerint'!G165+'[1]Kiadások COFOG szerint'!G193+'[1]Kiadások COFOG szerint'!G213+'[1]Kiadások COFOG szerint'!G233+'[1]Kiadások COFOG szerint'!G248+'[1]Kiadások COFOG szerint'!G254+'[1]Kiadások COFOG szerint'!G276</f>
        <v>9592671</v>
      </c>
      <c r="H47" s="587"/>
    </row>
    <row r="48" spans="1:8" ht="20.100000000000001" customHeight="1" x14ac:dyDescent="0.2">
      <c r="A48" s="529" t="s">
        <v>453</v>
      </c>
      <c r="B48" s="530" t="s">
        <v>454</v>
      </c>
      <c r="C48" s="531">
        <v>0</v>
      </c>
      <c r="D48" s="532">
        <v>12000000</v>
      </c>
      <c r="E48" s="526">
        <f t="shared" si="2"/>
        <v>32000</v>
      </c>
      <c r="F48" s="527">
        <f t="shared" si="3"/>
        <v>99.733333333333334</v>
      </c>
      <c r="G48" s="533">
        <f>'[1]Kiadások COFOG szerint'!G33</f>
        <v>11968000</v>
      </c>
      <c r="H48" s="587"/>
    </row>
    <row r="49" spans="1:12" ht="20.100000000000001" customHeight="1" x14ac:dyDescent="0.2">
      <c r="A49" s="529" t="s">
        <v>455</v>
      </c>
      <c r="B49" s="530" t="s">
        <v>456</v>
      </c>
      <c r="C49" s="531">
        <v>20000</v>
      </c>
      <c r="D49" s="532">
        <v>78000</v>
      </c>
      <c r="E49" s="526">
        <f t="shared" si="2"/>
        <v>19423</v>
      </c>
      <c r="F49" s="527">
        <f t="shared" si="3"/>
        <v>75.098717948717947</v>
      </c>
      <c r="G49" s="533">
        <f>'[1]Kiadások COFOG szerint'!G34+'[1]Kiadások COFOG szerint'!G166</f>
        <v>58577</v>
      </c>
      <c r="H49" s="587"/>
    </row>
    <row r="50" spans="1:12" ht="20.100000000000001" customHeight="1" x14ac:dyDescent="0.2">
      <c r="A50" s="529" t="s">
        <v>457</v>
      </c>
      <c r="B50" s="530" t="s">
        <v>458</v>
      </c>
      <c r="C50" s="531">
        <v>1010000</v>
      </c>
      <c r="D50" s="532">
        <v>300000</v>
      </c>
      <c r="E50" s="526">
        <f t="shared" si="2"/>
        <v>48033</v>
      </c>
      <c r="F50" s="527">
        <f t="shared" si="3"/>
        <v>83.989000000000004</v>
      </c>
      <c r="G50" s="533">
        <f>'[1]Kiadások COFOG szerint'!G35</f>
        <v>251967</v>
      </c>
      <c r="H50" s="587"/>
    </row>
    <row r="51" spans="1:12" ht="20.100000000000001" customHeight="1" thickBot="1" x14ac:dyDescent="0.25">
      <c r="A51" s="534" t="s">
        <v>459</v>
      </c>
      <c r="B51" s="535" t="s">
        <v>460</v>
      </c>
      <c r="C51" s="536">
        <v>0</v>
      </c>
      <c r="D51" s="537">
        <v>0</v>
      </c>
      <c r="E51" s="526">
        <f t="shared" si="2"/>
        <v>0</v>
      </c>
      <c r="F51" s="527"/>
      <c r="G51" s="538">
        <f>'[1]Kiadások COFOG szerint'!G36</f>
        <v>0</v>
      </c>
      <c r="H51" s="587"/>
    </row>
    <row r="52" spans="1:12" ht="24.95" customHeight="1" thickBot="1" x14ac:dyDescent="0.25">
      <c r="A52" s="1049" t="s">
        <v>5</v>
      </c>
      <c r="B52" s="1049"/>
      <c r="C52" s="596">
        <v>52032402</v>
      </c>
      <c r="D52" s="592">
        <v>75058163.930000007</v>
      </c>
      <c r="E52" s="592">
        <f>SUM(E23:E51)</f>
        <v>8037019.9299999997</v>
      </c>
      <c r="F52" s="597">
        <f>G52/D52*100</f>
        <v>89.29227746964952</v>
      </c>
      <c r="G52" s="592">
        <f>SUM(G23:G51)</f>
        <v>67021144</v>
      </c>
      <c r="H52" s="587"/>
    </row>
    <row r="53" spans="1:12" ht="21.75" customHeight="1" x14ac:dyDescent="0.2">
      <c r="A53" s="598" t="s">
        <v>461</v>
      </c>
      <c r="B53" s="599" t="s">
        <v>462</v>
      </c>
      <c r="C53" s="600">
        <v>0</v>
      </c>
      <c r="D53" s="601">
        <v>103500</v>
      </c>
      <c r="E53" s="602">
        <f>D53-G53</f>
        <v>103500</v>
      </c>
      <c r="F53" s="527">
        <f t="shared" ref="F53:F59" si="4">G53/D53*100</f>
        <v>0</v>
      </c>
      <c r="G53" s="603">
        <f>'[1]Kiadások COFOG szerint'!G259</f>
        <v>0</v>
      </c>
      <c r="H53" s="587"/>
    </row>
    <row r="54" spans="1:12" ht="20.100000000000001" customHeight="1" x14ac:dyDescent="0.2">
      <c r="A54" s="523" t="s">
        <v>463</v>
      </c>
      <c r="B54" s="524" t="s">
        <v>464</v>
      </c>
      <c r="C54" s="525">
        <v>0</v>
      </c>
      <c r="D54" s="526"/>
      <c r="E54" s="604">
        <f t="shared" ref="E54:E59" si="5">D54-G54</f>
        <v>0</v>
      </c>
      <c r="F54" s="527"/>
      <c r="G54" s="528"/>
      <c r="H54" s="605"/>
    </row>
    <row r="55" spans="1:12" ht="20.100000000000001" customHeight="1" x14ac:dyDescent="0.2">
      <c r="A55" s="529" t="s">
        <v>465</v>
      </c>
      <c r="B55" s="530" t="s">
        <v>466</v>
      </c>
      <c r="C55" s="531">
        <v>0</v>
      </c>
      <c r="D55" s="532"/>
      <c r="E55" s="604">
        <f t="shared" si="5"/>
        <v>0</v>
      </c>
      <c r="F55" s="527"/>
      <c r="G55" s="533"/>
      <c r="H55" s="605"/>
    </row>
    <row r="56" spans="1:12" ht="20.100000000000001" customHeight="1" x14ac:dyDescent="0.2">
      <c r="A56" s="529" t="s">
        <v>467</v>
      </c>
      <c r="B56" s="530" t="s">
        <v>468</v>
      </c>
      <c r="C56" s="531">
        <v>0</v>
      </c>
      <c r="D56" s="532">
        <v>4540000</v>
      </c>
      <c r="E56" s="604">
        <f t="shared" si="5"/>
        <v>44958</v>
      </c>
      <c r="F56" s="527">
        <f t="shared" si="4"/>
        <v>99.009735682819382</v>
      </c>
      <c r="G56" s="533">
        <f>'[1]Kiadások COFOG szerint'!G279</f>
        <v>4495042</v>
      </c>
      <c r="H56" s="605"/>
    </row>
    <row r="57" spans="1:12" ht="20.100000000000001" customHeight="1" x14ac:dyDescent="0.2">
      <c r="A57" s="529" t="s">
        <v>469</v>
      </c>
      <c r="B57" s="530" t="s">
        <v>470</v>
      </c>
      <c r="C57" s="531">
        <v>10207000</v>
      </c>
      <c r="D57" s="532">
        <v>5667000</v>
      </c>
      <c r="E57" s="604">
        <f t="shared" si="5"/>
        <v>214700</v>
      </c>
      <c r="F57" s="527">
        <f t="shared" si="4"/>
        <v>96.211399329451211</v>
      </c>
      <c r="G57" s="533">
        <f>'[1]Kiadások COFOG szerint'!G278</f>
        <v>5452300</v>
      </c>
      <c r="H57" s="605"/>
    </row>
    <row r="58" spans="1:12" ht="20.100000000000001" customHeight="1" x14ac:dyDescent="0.2">
      <c r="A58" s="529" t="s">
        <v>471</v>
      </c>
      <c r="B58" s="530" t="s">
        <v>472</v>
      </c>
      <c r="C58" s="531">
        <v>0</v>
      </c>
      <c r="D58" s="532"/>
      <c r="E58" s="604">
        <f t="shared" si="5"/>
        <v>0</v>
      </c>
      <c r="F58" s="527"/>
      <c r="G58" s="533"/>
      <c r="H58" s="605"/>
    </row>
    <row r="59" spans="1:12" ht="18.75" customHeight="1" thickBot="1" x14ac:dyDescent="0.25">
      <c r="A59" s="534" t="s">
        <v>473</v>
      </c>
      <c r="B59" s="535" t="s">
        <v>474</v>
      </c>
      <c r="C59" s="536">
        <v>500000</v>
      </c>
      <c r="D59" s="537">
        <v>500000</v>
      </c>
      <c r="E59" s="606">
        <f t="shared" si="5"/>
        <v>388175</v>
      </c>
      <c r="F59" s="527">
        <f t="shared" si="4"/>
        <v>22.364999999999998</v>
      </c>
      <c r="G59" s="538">
        <f>'[1]Kiadások COFOG szerint'!G277</f>
        <v>111825</v>
      </c>
      <c r="H59" s="605"/>
    </row>
    <row r="60" spans="1:12" ht="25.5" customHeight="1" thickBot="1" x14ac:dyDescent="0.25">
      <c r="A60" s="1049" t="s">
        <v>239</v>
      </c>
      <c r="B60" s="1049"/>
      <c r="C60" s="596">
        <v>10707000</v>
      </c>
      <c r="D60" s="592">
        <v>10810500</v>
      </c>
      <c r="E60" s="592">
        <f>SUM(E53:E59)</f>
        <v>751333</v>
      </c>
      <c r="F60" s="597">
        <f>G60/D60*100</f>
        <v>93.049969936635677</v>
      </c>
      <c r="G60" s="593">
        <f>SUM(G53:G59)</f>
        <v>10059167</v>
      </c>
      <c r="H60" s="605"/>
    </row>
    <row r="61" spans="1:12" ht="24.95" customHeight="1" x14ac:dyDescent="0.2">
      <c r="A61" s="523" t="s">
        <v>475</v>
      </c>
      <c r="B61" s="524" t="s">
        <v>476</v>
      </c>
      <c r="C61" s="525">
        <v>0</v>
      </c>
      <c r="D61" s="526">
        <v>0</v>
      </c>
      <c r="E61" s="526">
        <f>D61-G61</f>
        <v>0</v>
      </c>
      <c r="F61" s="527"/>
      <c r="G61" s="528">
        <f>'[1]Kiadások COFOG szerint'!G93</f>
        <v>0</v>
      </c>
      <c r="H61" s="605"/>
    </row>
    <row r="62" spans="1:12" ht="24.95" customHeight="1" x14ac:dyDescent="0.2">
      <c r="A62" s="529" t="s">
        <v>477</v>
      </c>
      <c r="B62" s="530" t="s">
        <v>478</v>
      </c>
      <c r="C62" s="531">
        <v>0</v>
      </c>
      <c r="D62" s="532"/>
      <c r="E62" s="526">
        <f>D62-G62</f>
        <v>0</v>
      </c>
      <c r="F62" s="527"/>
      <c r="G62" s="533"/>
      <c r="H62" s="605"/>
      <c r="L62" s="15"/>
    </row>
    <row r="63" spans="1:12" ht="24.95" customHeight="1" x14ac:dyDescent="0.2">
      <c r="A63" s="529" t="s">
        <v>479</v>
      </c>
      <c r="B63" s="530" t="s">
        <v>480</v>
      </c>
      <c r="C63" s="531">
        <v>6956000</v>
      </c>
      <c r="D63" s="532">
        <v>7156000</v>
      </c>
      <c r="E63" s="526">
        <f t="shared" ref="E63:E65" si="6">D63-G63</f>
        <v>204470</v>
      </c>
      <c r="F63" s="527">
        <f t="shared" ref="F63:F65" si="7">G63/D63*100</f>
        <v>97.142677473448856</v>
      </c>
      <c r="G63" s="533">
        <f>'[1]Kiadások COFOG szerint'!G99</f>
        <v>6951530</v>
      </c>
      <c r="H63" s="607"/>
    </row>
    <row r="64" spans="1:12" ht="24.95" customHeight="1" x14ac:dyDescent="0.2">
      <c r="A64" s="529" t="s">
        <v>481</v>
      </c>
      <c r="B64" s="530" t="s">
        <v>482</v>
      </c>
      <c r="C64" s="531">
        <v>0</v>
      </c>
      <c r="D64" s="532"/>
      <c r="E64" s="526">
        <f t="shared" si="6"/>
        <v>0</v>
      </c>
      <c r="F64" s="527"/>
      <c r="G64" s="533"/>
      <c r="H64" s="607"/>
    </row>
    <row r="65" spans="1:10" ht="24.95" customHeight="1" thickBot="1" x14ac:dyDescent="0.25">
      <c r="A65" s="534" t="s">
        <v>483</v>
      </c>
      <c r="B65" s="535" t="s">
        <v>484</v>
      </c>
      <c r="C65" s="536">
        <v>6297000</v>
      </c>
      <c r="D65" s="537">
        <v>6207000</v>
      </c>
      <c r="E65" s="526">
        <f t="shared" si="6"/>
        <v>117963</v>
      </c>
      <c r="F65" s="527">
        <f t="shared" si="7"/>
        <v>98.099516674722082</v>
      </c>
      <c r="G65" s="538">
        <f>'[1]Kiadások COFOG szerint'!G220</f>
        <v>6089037</v>
      </c>
      <c r="H65" s="607"/>
    </row>
    <row r="66" spans="1:10" ht="24.95" customHeight="1" thickBot="1" x14ac:dyDescent="0.25">
      <c r="A66" s="1050" t="s">
        <v>240</v>
      </c>
      <c r="B66" s="1050"/>
      <c r="C66" s="608">
        <v>13253000</v>
      </c>
      <c r="D66" s="609">
        <v>13363000</v>
      </c>
      <c r="E66" s="609">
        <f>SUM(E61:E65)</f>
        <v>322433</v>
      </c>
      <c r="F66" s="610">
        <f>G66/D66*100</f>
        <v>97.587121155429173</v>
      </c>
      <c r="G66" s="611">
        <f>SUM(G61:G65)</f>
        <v>13040567</v>
      </c>
      <c r="H66" s="605"/>
    </row>
    <row r="67" spans="1:10" ht="20.100000000000001" customHeight="1" x14ac:dyDescent="0.2">
      <c r="A67" s="523" t="s">
        <v>485</v>
      </c>
      <c r="B67" s="524" t="s">
        <v>486</v>
      </c>
      <c r="C67" s="525">
        <v>0</v>
      </c>
      <c r="D67" s="526">
        <v>2363000</v>
      </c>
      <c r="E67" s="612">
        <f>D67-G67</f>
        <v>1283000</v>
      </c>
      <c r="F67" s="613">
        <f t="shared" ref="F67:F74" si="8">G67/D67*100</f>
        <v>45.704612780363945</v>
      </c>
      <c r="G67" s="528">
        <f>'[1]Kiadások COFOG szerint'!G43+'[1]Kiadások COFOG szerint'!G77</f>
        <v>1080000</v>
      </c>
      <c r="H67" s="605"/>
    </row>
    <row r="68" spans="1:10" ht="20.100000000000001" customHeight="1" x14ac:dyDescent="0.2">
      <c r="A68" s="529" t="s">
        <v>487</v>
      </c>
      <c r="B68" s="530" t="s">
        <v>488</v>
      </c>
      <c r="C68" s="531">
        <v>0</v>
      </c>
      <c r="D68" s="532">
        <v>0</v>
      </c>
      <c r="E68" s="612">
        <f t="shared" ref="E68:E74" si="9">D68-G68</f>
        <v>0</v>
      </c>
      <c r="F68" s="613"/>
      <c r="G68" s="533">
        <v>0</v>
      </c>
      <c r="H68" s="605"/>
    </row>
    <row r="69" spans="1:10" ht="20.100000000000001" customHeight="1" x14ac:dyDescent="0.2">
      <c r="A69" s="529" t="s">
        <v>489</v>
      </c>
      <c r="B69" s="530" t="s">
        <v>490</v>
      </c>
      <c r="C69" s="531">
        <v>0</v>
      </c>
      <c r="D69" s="532">
        <v>389500</v>
      </c>
      <c r="E69" s="612">
        <f t="shared" si="9"/>
        <v>0</v>
      </c>
      <c r="F69" s="613">
        <f t="shared" si="8"/>
        <v>100</v>
      </c>
      <c r="G69" s="533">
        <f>'[1]Kiadások COFOG szerint'!G44</f>
        <v>389500</v>
      </c>
      <c r="H69" s="607"/>
    </row>
    <row r="70" spans="1:10" ht="20.100000000000001" customHeight="1" x14ac:dyDescent="0.2">
      <c r="A70" s="529" t="s">
        <v>491</v>
      </c>
      <c r="B70" s="530" t="s">
        <v>54</v>
      </c>
      <c r="C70" s="531">
        <v>0</v>
      </c>
      <c r="D70" s="532">
        <v>2700000</v>
      </c>
      <c r="E70" s="612">
        <f t="shared" si="9"/>
        <v>2004192</v>
      </c>
      <c r="F70" s="613">
        <f t="shared" si="8"/>
        <v>25.770666666666664</v>
      </c>
      <c r="G70" s="533">
        <f>'[1]Kiadások COFOG szerint'!G45+'[1]Kiadások COFOG szerint'!G109+'[1]Kiadások COFOG szerint'!G167+'[1]Kiadások COFOG szerint'!G194+'[1]Kiadások COFOG szerint'!G214+'[1]Kiadások COFOG szerint'!G234</f>
        <v>695808</v>
      </c>
      <c r="H70" s="607"/>
      <c r="J70" s="614"/>
    </row>
    <row r="71" spans="1:10" ht="20.100000000000001" customHeight="1" x14ac:dyDescent="0.2">
      <c r="A71" s="529" t="s">
        <v>492</v>
      </c>
      <c r="B71" s="530" t="s">
        <v>493</v>
      </c>
      <c r="C71" s="531">
        <v>0</v>
      </c>
      <c r="D71" s="532">
        <v>1660000</v>
      </c>
      <c r="E71" s="612">
        <f t="shared" si="9"/>
        <v>1075366</v>
      </c>
      <c r="F71" s="613">
        <f t="shared" si="8"/>
        <v>35.218915662650602</v>
      </c>
      <c r="G71" s="533">
        <f>'[1]Kiadások COFOG szerint'!G46+'[1]Kiadások COFOG szerint'!G78+'[1]Kiadások COFOG szerint'!G110+'[1]Kiadások COFOG szerint'!G168+'[1]Kiadások COFOG szerint'!G195+'[1]Kiadások COFOG szerint'!G215+'[1]Kiadások COFOG szerint'!G235</f>
        <v>584634</v>
      </c>
      <c r="H71" s="607"/>
    </row>
    <row r="72" spans="1:10" ht="20.100000000000001" customHeight="1" x14ac:dyDescent="0.2">
      <c r="A72" s="529" t="s">
        <v>494</v>
      </c>
      <c r="B72" s="530" t="s">
        <v>56</v>
      </c>
      <c r="C72" s="531">
        <v>46582677</v>
      </c>
      <c r="D72" s="532">
        <v>161190000</v>
      </c>
      <c r="E72" s="612">
        <f t="shared" si="9"/>
        <v>38198224</v>
      </c>
      <c r="F72" s="613">
        <f t="shared" si="8"/>
        <v>76.302361188659347</v>
      </c>
      <c r="G72" s="533">
        <f>'[1]Kiadások COFOG szerint'!G129+'[1]Kiadások COFOG szerint'!G169+'[1]Kiadások COFOG szerint'!G196</f>
        <v>122991776</v>
      </c>
      <c r="H72" s="607"/>
    </row>
    <row r="73" spans="1:10" ht="20.100000000000001" customHeight="1" x14ac:dyDescent="0.2">
      <c r="A73" s="529" t="s">
        <v>495</v>
      </c>
      <c r="B73" s="530" t="s">
        <v>496</v>
      </c>
      <c r="C73" s="531">
        <v>6471537</v>
      </c>
      <c r="D73" s="532">
        <v>10819007</v>
      </c>
      <c r="E73" s="612">
        <f t="shared" si="9"/>
        <v>0</v>
      </c>
      <c r="F73" s="613">
        <f t="shared" si="8"/>
        <v>100</v>
      </c>
      <c r="G73" s="533">
        <f>'[1]Kiadások COFOG szerint'!G137</f>
        <v>10819007</v>
      </c>
      <c r="H73" s="607"/>
    </row>
    <row r="74" spans="1:10" ht="20.100000000000001" customHeight="1" thickBot="1" x14ac:dyDescent="0.25">
      <c r="A74" s="534" t="s">
        <v>497</v>
      </c>
      <c r="B74" s="535" t="s">
        <v>498</v>
      </c>
      <c r="C74" s="536">
        <v>4064639</v>
      </c>
      <c r="D74" s="537">
        <v>25955132</v>
      </c>
      <c r="E74" s="612">
        <f t="shared" si="9"/>
        <v>97222</v>
      </c>
      <c r="F74" s="613">
        <f t="shared" si="8"/>
        <v>99.625422825821104</v>
      </c>
      <c r="G74" s="538">
        <f>'[1]Kiadások COFOG szerint'!G130+'[1]Kiadások COFOG szerint'!G138+'[1]Kiadások COFOG szerint'!G170+'[1]Kiadások COFOG szerint'!G197</f>
        <v>25857910</v>
      </c>
      <c r="H74" s="607"/>
    </row>
    <row r="75" spans="1:10" ht="24.95" customHeight="1" thickBot="1" x14ac:dyDescent="0.25">
      <c r="A75" s="1049" t="s">
        <v>499</v>
      </c>
      <c r="B75" s="1049"/>
      <c r="C75" s="596">
        <v>57118853</v>
      </c>
      <c r="D75" s="615">
        <v>205076639</v>
      </c>
      <c r="E75" s="615">
        <f>SUM(E67:E74)</f>
        <v>42658004</v>
      </c>
      <c r="F75" s="616">
        <f>G75/D75*100</f>
        <v>79.198993991704739</v>
      </c>
      <c r="G75" s="593">
        <f>SUM(G67:G74)</f>
        <v>162418635</v>
      </c>
      <c r="H75" s="607"/>
    </row>
    <row r="76" spans="1:10" ht="24.95" customHeight="1" thickBot="1" x14ac:dyDescent="0.25">
      <c r="A76" s="617" t="s">
        <v>500</v>
      </c>
      <c r="B76" s="618" t="s">
        <v>501</v>
      </c>
      <c r="C76" s="589">
        <v>0</v>
      </c>
      <c r="D76" s="590">
        <v>1263000</v>
      </c>
      <c r="E76" s="590">
        <f>D76-G76</f>
        <v>294</v>
      </c>
      <c r="F76" s="616">
        <f t="shared" ref="F76:F78" si="10">G76/D76*100</f>
        <v>99.976722090261276</v>
      </c>
      <c r="G76" s="619">
        <f>'[1]Kiadások COFOG szerint'!G171</f>
        <v>1262706</v>
      </c>
      <c r="H76" s="607"/>
    </row>
    <row r="77" spans="1:10" ht="24.95" customHeight="1" thickBot="1" x14ac:dyDescent="0.25">
      <c r="A77" s="620" t="s">
        <v>62</v>
      </c>
      <c r="B77" s="621" t="s">
        <v>502</v>
      </c>
      <c r="C77" s="589">
        <v>0</v>
      </c>
      <c r="D77" s="622">
        <v>6042266</v>
      </c>
      <c r="E77" s="590">
        <f t="shared" ref="E77:E79" si="11">D77-G77</f>
        <v>0</v>
      </c>
      <c r="F77" s="616">
        <f t="shared" si="10"/>
        <v>100</v>
      </c>
      <c r="G77" s="623">
        <f>'[1]Kiadások COFOG szerint'!G94</f>
        <v>6042266</v>
      </c>
      <c r="H77" s="607"/>
    </row>
    <row r="78" spans="1:10" ht="24.95" customHeight="1" thickBot="1" x14ac:dyDescent="0.25">
      <c r="A78" s="624" t="s">
        <v>503</v>
      </c>
      <c r="B78" s="621" t="s">
        <v>504</v>
      </c>
      <c r="C78" s="625">
        <v>141869501</v>
      </c>
      <c r="D78" s="626">
        <v>149377101</v>
      </c>
      <c r="E78" s="590">
        <f t="shared" si="11"/>
        <v>3724036</v>
      </c>
      <c r="F78" s="616">
        <f t="shared" si="10"/>
        <v>97.50695657160999</v>
      </c>
      <c r="G78" s="619">
        <f>'[1]Kiadások COFOG szerint'!G100</f>
        <v>145653065</v>
      </c>
      <c r="H78" s="607"/>
    </row>
    <row r="79" spans="1:10" ht="24.95" customHeight="1" thickBot="1" x14ac:dyDescent="0.25">
      <c r="A79" s="1047" t="s">
        <v>61</v>
      </c>
      <c r="B79" s="627" t="s">
        <v>505</v>
      </c>
      <c r="C79" s="628">
        <v>6504007</v>
      </c>
      <c r="D79" s="629">
        <v>107266988</v>
      </c>
      <c r="E79" s="630">
        <f t="shared" si="11"/>
        <v>107266988</v>
      </c>
      <c r="F79" s="631">
        <f>G79/D79*100</f>
        <v>0</v>
      </c>
      <c r="G79" s="632">
        <f>'[1]Kiadások COFOG szerint'!G40</f>
        <v>0</v>
      </c>
      <c r="H79" s="607"/>
    </row>
    <row r="80" spans="1:10" ht="20.25" customHeight="1" thickBot="1" x14ac:dyDescent="0.25">
      <c r="A80" s="1047"/>
      <c r="B80" s="633" t="s">
        <v>506</v>
      </c>
      <c r="C80" s="634">
        <v>107617000</v>
      </c>
      <c r="D80" s="635">
        <v>0</v>
      </c>
      <c r="E80" s="636">
        <f t="shared" ref="E80:E81" si="12">G80-D80</f>
        <v>0</v>
      </c>
      <c r="F80" s="637" t="e">
        <f>G80/D80*100</f>
        <v>#DIV/0!</v>
      </c>
      <c r="G80" s="638">
        <f>'[1]Kiadások COFOG szerint'!G41</f>
        <v>0</v>
      </c>
      <c r="H80" s="607"/>
    </row>
    <row r="81" spans="1:8" ht="20.25" customHeight="1" thickBot="1" x14ac:dyDescent="0.25">
      <c r="A81" s="1047"/>
      <c r="B81" s="639" t="s">
        <v>58</v>
      </c>
      <c r="C81" s="640">
        <v>0</v>
      </c>
      <c r="D81" s="641">
        <v>0</v>
      </c>
      <c r="E81" s="642">
        <f t="shared" si="12"/>
        <v>0</v>
      </c>
      <c r="F81" s="643"/>
      <c r="G81" s="644">
        <f>'[1]Kiadások COFOG szerint'!G42</f>
        <v>0</v>
      </c>
      <c r="H81" s="607"/>
    </row>
    <row r="82" spans="1:8" ht="22.5" customHeight="1" thickBot="1" x14ac:dyDescent="0.3">
      <c r="A82" s="1048" t="s">
        <v>507</v>
      </c>
      <c r="B82" s="1048"/>
      <c r="C82" s="645">
        <f>C19+C22+C52+C60+C66+C75+C76+C77+C78+C79+C80+C81</f>
        <v>425416438</v>
      </c>
      <c r="D82" s="645">
        <v>616132571.93000007</v>
      </c>
      <c r="E82" s="645">
        <f>E19+E22+E52+E60+E66+E75+E76+E77+E78+E79+E80+E81</f>
        <v>165614522.93000001</v>
      </c>
      <c r="F82" s="646">
        <f>G82/D82*100</f>
        <v>73.120310388522057</v>
      </c>
      <c r="G82" s="645">
        <f>G19+G22+G52+G60+G66+G75+G76+G77+G78+G79+G80+G81</f>
        <v>450518049</v>
      </c>
      <c r="H82" s="607"/>
    </row>
    <row r="85" spans="1:8" x14ac:dyDescent="0.2">
      <c r="B85" s="582" t="s">
        <v>375</v>
      </c>
      <c r="C85" s="583">
        <f>C82-'[1]Kiadások COFOG szerint'!C283</f>
        <v>0</v>
      </c>
      <c r="D85" s="583">
        <f>D82-'[1]Kiadások COFOG szerint'!D283</f>
        <v>0</v>
      </c>
      <c r="E85" s="583">
        <f>E82-'[1]Kiadások COFOG szerint'!E283</f>
        <v>0</v>
      </c>
      <c r="F85" s="583"/>
      <c r="G85" s="583">
        <f>G82-'[1]Kiadások COFOG szerint'!G283</f>
        <v>0</v>
      </c>
    </row>
  </sheetData>
  <mergeCells count="15">
    <mergeCell ref="A2:G2"/>
    <mergeCell ref="A3:G3"/>
    <mergeCell ref="A5:G5"/>
    <mergeCell ref="A6:A7"/>
    <mergeCell ref="B6:B7"/>
    <mergeCell ref="C6:F6"/>
    <mergeCell ref="G6:G7"/>
    <mergeCell ref="A79:A81"/>
    <mergeCell ref="A82:B82"/>
    <mergeCell ref="A19:B19"/>
    <mergeCell ref="A22:B22"/>
    <mergeCell ref="A52:B52"/>
    <mergeCell ref="A60:B60"/>
    <mergeCell ref="A66:B66"/>
    <mergeCell ref="A75:B75"/>
  </mergeCells>
  <pageMargins left="0.7" right="0.7" top="0.75" bottom="0.75" header="0.3" footer="0.3"/>
  <pageSetup paperSize="9" scale="80" orientation="portrait" r:id="rId1"/>
  <colBreaks count="1" manualBreakCount="1">
    <brk id="6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P31"/>
  <sheetViews>
    <sheetView zoomScaleNormal="100" workbookViewId="0">
      <selection activeCell="B6" sqref="B6"/>
    </sheetView>
  </sheetViews>
  <sheetFormatPr defaultRowHeight="12.75" x14ac:dyDescent="0.2"/>
  <cols>
    <col min="2" max="2" width="33.140625" customWidth="1"/>
    <col min="3" max="3" width="14.7109375" customWidth="1"/>
    <col min="4" max="4" width="13.7109375" customWidth="1"/>
    <col min="5" max="5" width="12.42578125" customWidth="1"/>
    <col min="6" max="6" width="10.7109375" customWidth="1"/>
    <col min="7" max="7" width="13.7109375" customWidth="1"/>
    <col min="8" max="8" width="11.28515625" customWidth="1"/>
    <col min="9" max="9" width="28.85546875" customWidth="1"/>
    <col min="10" max="10" width="15" customWidth="1"/>
    <col min="11" max="11" width="13.7109375" customWidth="1"/>
    <col min="12" max="12" width="11.5703125" customWidth="1"/>
    <col min="13" max="13" width="10.42578125" customWidth="1"/>
    <col min="14" max="14" width="13.7109375" customWidth="1"/>
    <col min="15" max="16" width="11.5703125" bestFit="1" customWidth="1"/>
  </cols>
  <sheetData>
    <row r="2" spans="1:16" ht="15.75" customHeight="1" x14ac:dyDescent="0.2">
      <c r="A2" s="1208" t="s">
        <v>645</v>
      </c>
      <c r="B2" s="1209"/>
      <c r="C2" s="1209"/>
      <c r="D2" s="1209"/>
      <c r="E2" s="1209"/>
      <c r="F2" s="1209"/>
      <c r="G2" s="1209"/>
      <c r="H2" s="1209"/>
      <c r="I2" s="1209"/>
      <c r="J2" s="1209"/>
      <c r="K2" s="1209"/>
      <c r="L2" s="1209"/>
      <c r="M2" s="1209"/>
      <c r="N2" s="1209"/>
    </row>
    <row r="3" spans="1:16" x14ac:dyDescent="0.2">
      <c r="K3" s="12"/>
      <c r="L3" s="1220"/>
      <c r="M3" s="1220"/>
      <c r="N3" s="1221"/>
    </row>
    <row r="4" spans="1:16" ht="15.75" x14ac:dyDescent="0.25">
      <c r="B4" s="1039" t="s">
        <v>267</v>
      </c>
      <c r="C4" s="1039"/>
      <c r="D4" s="1039"/>
      <c r="E4" s="1039"/>
      <c r="F4" s="1039"/>
      <c r="G4" s="1039"/>
      <c r="H4" s="1039"/>
      <c r="I4" s="1039"/>
      <c r="J4" s="1039"/>
      <c r="K4" s="1039"/>
      <c r="L4" s="1039"/>
      <c r="M4" s="1039"/>
      <c r="N4" s="1039"/>
    </row>
    <row r="5" spans="1:16" ht="15.75" x14ac:dyDescent="0.25">
      <c r="B5" s="1039" t="s">
        <v>508</v>
      </c>
      <c r="C5" s="1039"/>
      <c r="D5" s="1039"/>
      <c r="E5" s="1039"/>
      <c r="F5" s="1039"/>
      <c r="G5" s="1039"/>
      <c r="H5" s="1039"/>
      <c r="I5" s="1039"/>
      <c r="J5" s="1039"/>
      <c r="K5" s="1039"/>
      <c r="L5" s="1039"/>
      <c r="M5" s="1039"/>
      <c r="N5" s="1039"/>
    </row>
    <row r="6" spans="1:16" ht="15.75" x14ac:dyDescent="0.25">
      <c r="B6" s="1033"/>
      <c r="C6" s="1033"/>
      <c r="D6" s="1033"/>
      <c r="E6" s="1033"/>
      <c r="F6" s="1033"/>
      <c r="G6" s="1033"/>
      <c r="H6" s="1033"/>
      <c r="I6" s="1033"/>
      <c r="J6" s="1033"/>
      <c r="K6" s="1033"/>
      <c r="L6" s="1033"/>
      <c r="M6" s="1033"/>
      <c r="N6" s="1033"/>
    </row>
    <row r="8" spans="1:16" ht="15.75" x14ac:dyDescent="0.25">
      <c r="B8" s="1222" t="s">
        <v>233</v>
      </c>
      <c r="C8" s="1222"/>
      <c r="D8" s="1222"/>
      <c r="E8" s="1222"/>
      <c r="F8" s="1222"/>
      <c r="G8" s="1222"/>
      <c r="H8" s="1222"/>
      <c r="I8" s="1222"/>
      <c r="J8" s="1222"/>
      <c r="K8" s="1222"/>
      <c r="L8" s="1222"/>
      <c r="M8" s="1222"/>
      <c r="N8" s="1222"/>
    </row>
    <row r="9" spans="1:16" ht="15.75" x14ac:dyDescent="0.25">
      <c r="B9" s="1034"/>
      <c r="C9" s="1034"/>
      <c r="D9" s="1034"/>
      <c r="E9" s="1034"/>
      <c r="F9" s="1034"/>
      <c r="G9" s="1034"/>
      <c r="H9" s="1034"/>
      <c r="I9" s="1034"/>
      <c r="J9" s="1034"/>
      <c r="K9" s="1034"/>
      <c r="L9" s="1034"/>
      <c r="M9" s="1034"/>
      <c r="N9" s="1034"/>
    </row>
    <row r="10" spans="1:16" ht="19.5" thickBot="1" x14ac:dyDescent="0.25">
      <c r="B10" s="430"/>
      <c r="C10" s="430"/>
      <c r="D10" s="430"/>
      <c r="E10" s="430"/>
      <c r="F10" s="430"/>
      <c r="G10" s="430"/>
      <c r="H10" s="430"/>
      <c r="I10" s="430"/>
      <c r="J10" s="430"/>
      <c r="K10" s="430"/>
      <c r="L10" s="430"/>
      <c r="M10" s="430"/>
      <c r="N10" s="890" t="s">
        <v>128</v>
      </c>
    </row>
    <row r="11" spans="1:16" ht="18.75" x14ac:dyDescent="0.2">
      <c r="A11" s="1223" t="s">
        <v>1</v>
      </c>
      <c r="B11" s="1224"/>
      <c r="C11" s="1224"/>
      <c r="D11" s="1224"/>
      <c r="E11" s="1224"/>
      <c r="F11" s="1224"/>
      <c r="G11" s="1224"/>
      <c r="H11" s="1223" t="s">
        <v>2</v>
      </c>
      <c r="I11" s="1225"/>
      <c r="J11" s="1225"/>
      <c r="K11" s="1225"/>
      <c r="L11" s="1225"/>
      <c r="M11" s="1225"/>
      <c r="N11" s="1226"/>
    </row>
    <row r="12" spans="1:16" ht="32.25" thickBot="1" x14ac:dyDescent="0.3">
      <c r="A12" s="1227" t="s">
        <v>8</v>
      </c>
      <c r="B12" s="1228"/>
      <c r="C12" s="948" t="s">
        <v>82</v>
      </c>
      <c r="D12" s="948" t="s">
        <v>525</v>
      </c>
      <c r="E12" s="948" t="s">
        <v>236</v>
      </c>
      <c r="F12" s="948" t="s">
        <v>63</v>
      </c>
      <c r="G12" s="949" t="s">
        <v>272</v>
      </c>
      <c r="H12" s="1214" t="s">
        <v>8</v>
      </c>
      <c r="I12" s="1215"/>
      <c r="J12" s="950" t="s">
        <v>82</v>
      </c>
      <c r="K12" s="950" t="s">
        <v>525</v>
      </c>
      <c r="L12" s="950" t="s">
        <v>236</v>
      </c>
      <c r="M12" s="950" t="s">
        <v>63</v>
      </c>
      <c r="N12" s="951" t="s">
        <v>272</v>
      </c>
    </row>
    <row r="13" spans="1:16" ht="15.75" x14ac:dyDescent="0.25">
      <c r="A13" s="891" t="s">
        <v>321</v>
      </c>
      <c r="B13" s="892" t="s">
        <v>627</v>
      </c>
      <c r="C13" s="893">
        <v>5500</v>
      </c>
      <c r="D13" s="894">
        <v>6626.192</v>
      </c>
      <c r="E13" s="895">
        <f t="shared" ref="E13:E20" si="0">G13-D13</f>
        <v>0</v>
      </c>
      <c r="F13" s="896">
        <f t="shared" ref="F13:F20" si="1">G13/D13*100</f>
        <v>100</v>
      </c>
      <c r="G13" s="897">
        <f>('[2]Bevételek(Hivatal 2019)'!G17+'[2]Bevételek(Hivatal 2019)'!G24)/1000</f>
        <v>6626.192</v>
      </c>
      <c r="H13" s="898" t="s">
        <v>217</v>
      </c>
      <c r="I13" s="899" t="s">
        <v>3</v>
      </c>
      <c r="J13" s="900">
        <v>56493.692999999999</v>
      </c>
      <c r="K13" s="897">
        <v>64140.28</v>
      </c>
      <c r="L13" s="901">
        <f>K13-N13</f>
        <v>532.3660000000018</v>
      </c>
      <c r="M13" s="902">
        <f>N13/K13*100</f>
        <v>99.169997386977414</v>
      </c>
      <c r="N13" s="897">
        <f>'[2]Kiadások(Hivatal 2019)'!G21/1000</f>
        <v>63607.913999999997</v>
      </c>
    </row>
    <row r="14" spans="1:16" ht="15.75" x14ac:dyDescent="0.25">
      <c r="A14" s="891" t="s">
        <v>226</v>
      </c>
      <c r="B14" s="903" t="s">
        <v>65</v>
      </c>
      <c r="C14" s="904">
        <v>0</v>
      </c>
      <c r="D14" s="905">
        <v>98.616</v>
      </c>
      <c r="E14" s="895">
        <f t="shared" si="0"/>
        <v>2.7710000000000008</v>
      </c>
      <c r="F14" s="906">
        <f t="shared" si="1"/>
        <v>102.80988886184798</v>
      </c>
      <c r="G14" s="905">
        <f>('[2]Bevételek(Hivatal 2019)'!G19+'[2]Bevételek(Hivatal 2019)'!G18)/1000</f>
        <v>101.387</v>
      </c>
      <c r="H14" s="907" t="s">
        <v>220</v>
      </c>
      <c r="I14" s="899" t="s">
        <v>234</v>
      </c>
      <c r="J14" s="900">
        <v>11579.939</v>
      </c>
      <c r="K14" s="901">
        <v>12089.552</v>
      </c>
      <c r="L14" s="901">
        <f t="shared" ref="L14:L15" si="2">K14-N14</f>
        <v>97.208999999998923</v>
      </c>
      <c r="M14" s="908">
        <f t="shared" ref="M14:M15" si="3">N14/K14*100</f>
        <v>99.195925539672615</v>
      </c>
      <c r="N14" s="901">
        <f>'[2]Kiadások(Hivatal 2019)'!G24/1000</f>
        <v>11992.343000000001</v>
      </c>
      <c r="O14" s="15"/>
      <c r="P14" s="15"/>
    </row>
    <row r="15" spans="1:16" ht="15.75" x14ac:dyDescent="0.25">
      <c r="A15" s="909" t="s">
        <v>255</v>
      </c>
      <c r="B15" s="910" t="s">
        <v>256</v>
      </c>
      <c r="C15" s="911">
        <v>59390.8</v>
      </c>
      <c r="D15" s="912">
        <v>59390.8</v>
      </c>
      <c r="E15" s="895">
        <f t="shared" si="0"/>
        <v>0</v>
      </c>
      <c r="F15" s="906">
        <f t="shared" si="1"/>
        <v>100</v>
      </c>
      <c r="G15" s="913">
        <f>'[2]Bevételek(Hivatal 2019)'!G10/1000</f>
        <v>59390.8</v>
      </c>
      <c r="H15" s="914" t="s">
        <v>223</v>
      </c>
      <c r="I15" s="915" t="s">
        <v>5</v>
      </c>
      <c r="J15" s="900">
        <v>2500</v>
      </c>
      <c r="K15" s="901">
        <v>3710.2440000000001</v>
      </c>
      <c r="L15" s="901">
        <f t="shared" si="2"/>
        <v>456.85400000000027</v>
      </c>
      <c r="M15" s="916">
        <f t="shared" si="3"/>
        <v>87.686685835217304</v>
      </c>
      <c r="N15" s="917">
        <f>'[2]Kiadások(Hivatal 2019)'!G34/1000</f>
        <v>3253.39</v>
      </c>
      <c r="O15" s="431"/>
      <c r="P15" s="431"/>
    </row>
    <row r="16" spans="1:16" ht="15.75" x14ac:dyDescent="0.25">
      <c r="A16" s="909" t="s">
        <v>255</v>
      </c>
      <c r="B16" s="910" t="s">
        <v>628</v>
      </c>
      <c r="C16" s="918">
        <v>0</v>
      </c>
      <c r="D16" s="895">
        <v>9507.6</v>
      </c>
      <c r="E16" s="895">
        <f t="shared" si="0"/>
        <v>0</v>
      </c>
      <c r="F16" s="906">
        <f t="shared" si="1"/>
        <v>100</v>
      </c>
      <c r="G16" s="913">
        <f>'[2]Bevételek(Hivatal 2019)'!G11/1000</f>
        <v>9507.6</v>
      </c>
      <c r="H16" s="914"/>
      <c r="I16" s="915"/>
      <c r="J16" s="900"/>
      <c r="K16" s="901"/>
      <c r="L16" s="901"/>
      <c r="M16" s="901"/>
      <c r="N16" s="917"/>
      <c r="O16" s="431"/>
      <c r="P16" s="431"/>
    </row>
    <row r="17" spans="1:16" ht="16.5" thickBot="1" x14ac:dyDescent="0.3">
      <c r="A17" s="919" t="s">
        <v>255</v>
      </c>
      <c r="B17" s="920" t="s">
        <v>257</v>
      </c>
      <c r="C17" s="921">
        <v>5500</v>
      </c>
      <c r="D17" s="922">
        <v>3500</v>
      </c>
      <c r="E17" s="895">
        <f t="shared" si="0"/>
        <v>0</v>
      </c>
      <c r="F17" s="923">
        <f t="shared" si="1"/>
        <v>100</v>
      </c>
      <c r="G17" s="924">
        <f>'[2]Bevételek(Hivatal 2019)'!G12/1000</f>
        <v>3500</v>
      </c>
      <c r="H17" s="925"/>
      <c r="I17" s="926"/>
      <c r="J17" s="927"/>
      <c r="K17" s="928"/>
      <c r="L17" s="928"/>
      <c r="M17" s="928"/>
      <c r="N17" s="929"/>
      <c r="O17" s="431"/>
      <c r="P17" s="431"/>
    </row>
    <row r="18" spans="1:16" ht="16.5" thickBot="1" x14ac:dyDescent="0.3">
      <c r="A18" s="930"/>
      <c r="B18" s="931" t="s">
        <v>241</v>
      </c>
      <c r="C18" s="932">
        <v>70390.8</v>
      </c>
      <c r="D18" s="933">
        <v>79123.208000000013</v>
      </c>
      <c r="E18" s="934">
        <f t="shared" si="0"/>
        <v>2.7709999999933643</v>
      </c>
      <c r="F18" s="935">
        <f t="shared" si="1"/>
        <v>100.00350213302775</v>
      </c>
      <c r="G18" s="936">
        <f>SUM(G13:G17)</f>
        <v>79125.979000000007</v>
      </c>
      <c r="H18" s="937"/>
      <c r="I18" s="938" t="s">
        <v>10</v>
      </c>
      <c r="J18" s="939">
        <v>70573.631999999998</v>
      </c>
      <c r="K18" s="936">
        <v>79940.076000000001</v>
      </c>
      <c r="L18" s="936">
        <f>K18-N18</f>
        <v>1086.4290000000037</v>
      </c>
      <c r="M18" s="940">
        <f>N18/K18*100</f>
        <v>98.640945750414346</v>
      </c>
      <c r="N18" s="936">
        <f>SUM(N13:N17)</f>
        <v>78853.646999999997</v>
      </c>
      <c r="O18" s="15"/>
      <c r="P18" s="15"/>
    </row>
    <row r="19" spans="1:16" ht="16.5" thickBot="1" x14ac:dyDescent="0.3">
      <c r="A19" s="941" t="s">
        <v>230</v>
      </c>
      <c r="B19" s="942" t="s">
        <v>235</v>
      </c>
      <c r="C19" s="921">
        <v>816</v>
      </c>
      <c r="D19" s="943">
        <v>816.86800000000005</v>
      </c>
      <c r="E19" s="895">
        <f t="shared" si="0"/>
        <v>0</v>
      </c>
      <c r="F19" s="935">
        <f t="shared" si="1"/>
        <v>100</v>
      </c>
      <c r="G19" s="944">
        <f>'[2]Bevételek(Hivatal 2019)'!G8/1000</f>
        <v>816.86800000000005</v>
      </c>
      <c r="H19" s="945" t="s">
        <v>227</v>
      </c>
      <c r="I19" s="946" t="s">
        <v>629</v>
      </c>
      <c r="J19" s="927">
        <v>633.16800000000001</v>
      </c>
      <c r="K19" s="928">
        <v>0</v>
      </c>
      <c r="L19" s="901">
        <f>K19-N19</f>
        <v>0</v>
      </c>
      <c r="M19" s="928"/>
      <c r="N19" s="928">
        <f>'[2]Kiadások(Hivatal 2019)'!G35</f>
        <v>0</v>
      </c>
      <c r="O19" s="15"/>
      <c r="P19" s="15"/>
    </row>
    <row r="20" spans="1:16" ht="16.5" thickBot="1" x14ac:dyDescent="0.3">
      <c r="A20" s="1216" t="s">
        <v>7</v>
      </c>
      <c r="B20" s="1217"/>
      <c r="C20" s="952">
        <v>71206.8</v>
      </c>
      <c r="D20" s="953">
        <v>79940.076000000015</v>
      </c>
      <c r="E20" s="954">
        <f t="shared" si="0"/>
        <v>2.7709999999933643</v>
      </c>
      <c r="F20" s="955">
        <f t="shared" si="1"/>
        <v>100.00346634646682</v>
      </c>
      <c r="G20" s="954">
        <f>SUM(G18:G19)</f>
        <v>79942.847000000009</v>
      </c>
      <c r="H20" s="1218" t="s">
        <v>7</v>
      </c>
      <c r="I20" s="1219"/>
      <c r="J20" s="956">
        <v>71206.8</v>
      </c>
      <c r="K20" s="957">
        <v>79940.076000000001</v>
      </c>
      <c r="L20" s="957">
        <f>K20-N20</f>
        <v>1086.4290000000037</v>
      </c>
      <c r="M20" s="958">
        <f>N20/K20*100</f>
        <v>98.640945750414346</v>
      </c>
      <c r="N20" s="957">
        <f>SUM(N18:N19)</f>
        <v>78853.646999999997</v>
      </c>
      <c r="O20" s="15"/>
      <c r="P20" s="15"/>
    </row>
    <row r="23" spans="1:16" ht="16.5" thickBot="1" x14ac:dyDescent="0.3">
      <c r="D23" s="432"/>
      <c r="E23" s="432"/>
      <c r="F23" s="432"/>
      <c r="G23" s="432"/>
    </row>
    <row r="24" spans="1:16" ht="16.5" thickBot="1" x14ac:dyDescent="0.3">
      <c r="B24" s="959" t="s">
        <v>274</v>
      </c>
      <c r="C24" s="960">
        <v>1089200</v>
      </c>
      <c r="D24" s="432"/>
      <c r="E24" s="432"/>
      <c r="F24" s="432"/>
      <c r="G24" s="432"/>
    </row>
    <row r="25" spans="1:16" ht="15.75" x14ac:dyDescent="0.25">
      <c r="D25" s="433"/>
      <c r="E25" s="433"/>
      <c r="F25" s="433"/>
      <c r="G25" s="433"/>
    </row>
    <row r="26" spans="1:16" ht="15.75" x14ac:dyDescent="0.25">
      <c r="D26" s="432"/>
      <c r="E26" s="432"/>
      <c r="F26" s="432"/>
      <c r="G26" s="432"/>
    </row>
    <row r="27" spans="1:16" ht="15.75" x14ac:dyDescent="0.25">
      <c r="B27" s="434"/>
      <c r="C27" s="434"/>
      <c r="D27" s="435"/>
      <c r="E27" s="435"/>
      <c r="F27" s="435"/>
      <c r="G27" s="435"/>
      <c r="H27" s="434"/>
      <c r="I27" s="434"/>
      <c r="J27" s="434"/>
    </row>
    <row r="28" spans="1:16" x14ac:dyDescent="0.2">
      <c r="B28" s="434"/>
      <c r="C28" s="434"/>
      <c r="D28" s="434"/>
      <c r="E28" s="434"/>
      <c r="F28" s="434"/>
      <c r="G28" s="947"/>
      <c r="H28" s="434"/>
      <c r="I28" s="434"/>
      <c r="J28" s="434"/>
    </row>
    <row r="29" spans="1:16" x14ac:dyDescent="0.2">
      <c r="B29" s="434"/>
      <c r="C29" s="434"/>
      <c r="D29" s="434"/>
      <c r="E29" s="434"/>
      <c r="F29" s="434"/>
      <c r="G29" s="947"/>
      <c r="H29" s="434"/>
      <c r="I29" s="434"/>
      <c r="J29" s="434"/>
    </row>
    <row r="30" spans="1:16" x14ac:dyDescent="0.2">
      <c r="B30" s="434"/>
      <c r="C30" s="434"/>
      <c r="D30" s="434"/>
      <c r="E30" s="434"/>
      <c r="F30" s="434"/>
      <c r="G30" s="707"/>
      <c r="H30" s="434"/>
      <c r="I30" s="434"/>
      <c r="J30" s="434"/>
    </row>
    <row r="31" spans="1:16" x14ac:dyDescent="0.2">
      <c r="B31" s="434"/>
      <c r="C31" s="434"/>
      <c r="D31" s="434"/>
      <c r="E31" s="434"/>
      <c r="F31" s="434"/>
      <c r="G31" s="434"/>
      <c r="H31" s="434"/>
      <c r="I31" s="434"/>
      <c r="J31" s="434"/>
    </row>
  </sheetData>
  <mergeCells count="11">
    <mergeCell ref="H12:I12"/>
    <mergeCell ref="A20:B20"/>
    <mergeCell ref="H20:I20"/>
    <mergeCell ref="A2:N2"/>
    <mergeCell ref="B5:N5"/>
    <mergeCell ref="L3:N3"/>
    <mergeCell ref="B4:N4"/>
    <mergeCell ref="B8:N8"/>
    <mergeCell ref="A11:G11"/>
    <mergeCell ref="H11:N11"/>
    <mergeCell ref="A12:B1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&amp;R2019.12.31.</oddHeader>
    <oddFooter>&amp;C&amp;P/&amp;N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84F3F-1BA4-4DCC-A8FA-A2DB3FC09017}">
  <sheetPr>
    <pageSetUpPr fitToPage="1"/>
  </sheetPr>
  <dimension ref="A2:P30"/>
  <sheetViews>
    <sheetView zoomScaleNormal="100" workbookViewId="0">
      <selection activeCell="A9" sqref="A9:XFD9"/>
    </sheetView>
  </sheetViews>
  <sheetFormatPr defaultRowHeight="12.75" x14ac:dyDescent="0.2"/>
  <cols>
    <col min="2" max="2" width="34.28515625" customWidth="1"/>
    <col min="3" max="4" width="13.7109375" customWidth="1"/>
    <col min="5" max="5" width="12.140625" customWidth="1"/>
    <col min="6" max="6" width="10.7109375" customWidth="1"/>
    <col min="7" max="7" width="13.7109375" customWidth="1"/>
    <col min="8" max="8" width="11.28515625" customWidth="1"/>
    <col min="9" max="9" width="29.7109375" customWidth="1"/>
    <col min="10" max="10" width="13" customWidth="1"/>
    <col min="11" max="11" width="13.7109375" customWidth="1"/>
    <col min="12" max="12" width="11.85546875" customWidth="1"/>
    <col min="13" max="13" width="10.42578125" customWidth="1"/>
    <col min="14" max="14" width="13.7109375" customWidth="1"/>
    <col min="15" max="16" width="11.5703125" bestFit="1" customWidth="1"/>
  </cols>
  <sheetData>
    <row r="2" spans="1:16" ht="30" customHeight="1" x14ac:dyDescent="0.2">
      <c r="A2" s="1208" t="s">
        <v>646</v>
      </c>
      <c r="B2" s="1209"/>
      <c r="C2" s="1209"/>
      <c r="D2" s="1209"/>
      <c r="E2" s="1209"/>
      <c r="F2" s="1209"/>
      <c r="G2" s="1209"/>
      <c r="H2" s="1209"/>
      <c r="I2" s="1209"/>
      <c r="J2" s="1209"/>
      <c r="K2" s="1209"/>
      <c r="L2" s="1209"/>
      <c r="M2" s="1209"/>
      <c r="N2" s="1209"/>
    </row>
    <row r="3" spans="1:16" x14ac:dyDescent="0.2">
      <c r="K3" s="12"/>
      <c r="L3" s="1220"/>
      <c r="M3" s="1220"/>
      <c r="N3" s="1221"/>
    </row>
    <row r="4" spans="1:16" x14ac:dyDescent="0.2">
      <c r="A4" s="962"/>
      <c r="B4" s="1237" t="s">
        <v>267</v>
      </c>
      <c r="C4" s="1237"/>
      <c r="D4" s="1237"/>
      <c r="E4" s="1237"/>
      <c r="F4" s="1237"/>
      <c r="G4" s="1237"/>
      <c r="H4" s="1237"/>
      <c r="I4" s="1237"/>
      <c r="J4" s="1237"/>
      <c r="K4" s="1237"/>
      <c r="L4" s="1237"/>
      <c r="M4" s="1237"/>
      <c r="N4" s="1237"/>
    </row>
    <row r="5" spans="1:16" x14ac:dyDescent="0.2">
      <c r="A5" s="962"/>
      <c r="B5" s="1237" t="s">
        <v>544</v>
      </c>
      <c r="C5" s="1237"/>
      <c r="D5" s="1237"/>
      <c r="E5" s="1237"/>
      <c r="F5" s="1237"/>
      <c r="G5" s="1237"/>
      <c r="H5" s="1237"/>
      <c r="I5" s="1237"/>
      <c r="J5" s="1237"/>
      <c r="K5" s="1237"/>
      <c r="L5" s="1237"/>
      <c r="M5" s="1237"/>
      <c r="N5" s="1237"/>
    </row>
    <row r="6" spans="1:16" x14ac:dyDescent="0.2">
      <c r="A6" s="962"/>
      <c r="B6" s="1035"/>
      <c r="C6" s="1035"/>
      <c r="D6" s="1035"/>
      <c r="E6" s="1035"/>
      <c r="F6" s="1035"/>
      <c r="G6" s="1035"/>
      <c r="H6" s="1035"/>
      <c r="I6" s="1035"/>
      <c r="J6" s="1035"/>
      <c r="K6" s="1035"/>
      <c r="L6" s="1035"/>
      <c r="M6" s="1035"/>
      <c r="N6" s="1035"/>
    </row>
    <row r="7" spans="1:16" x14ac:dyDescent="0.2">
      <c r="A7" s="962"/>
      <c r="B7" s="962"/>
      <c r="C7" s="962"/>
      <c r="D7" s="962"/>
      <c r="E7" s="962"/>
      <c r="F7" s="962"/>
      <c r="G7" s="962"/>
      <c r="H7" s="962"/>
      <c r="I7" s="962"/>
      <c r="J7" s="962"/>
      <c r="K7" s="962"/>
      <c r="L7" s="962"/>
      <c r="M7" s="962"/>
      <c r="N7" s="962"/>
    </row>
    <row r="8" spans="1:16" x14ac:dyDescent="0.2">
      <c r="A8" s="962"/>
      <c r="B8" s="1237" t="s">
        <v>233</v>
      </c>
      <c r="C8" s="1237"/>
      <c r="D8" s="1237"/>
      <c r="E8" s="1237"/>
      <c r="F8" s="1237"/>
      <c r="G8" s="1237"/>
      <c r="H8" s="1237"/>
      <c r="I8" s="1237"/>
      <c r="J8" s="1237"/>
      <c r="K8" s="1237"/>
      <c r="L8" s="1237"/>
      <c r="M8" s="1237"/>
      <c r="N8" s="1237"/>
    </row>
    <row r="9" spans="1:16" x14ac:dyDescent="0.2">
      <c r="A9" s="962"/>
      <c r="B9" s="1035"/>
      <c r="C9" s="1035"/>
      <c r="D9" s="1035"/>
      <c r="E9" s="1035"/>
      <c r="F9" s="1035"/>
      <c r="G9" s="1035"/>
      <c r="H9" s="1035"/>
      <c r="I9" s="1035"/>
      <c r="J9" s="1035"/>
      <c r="K9" s="1035"/>
      <c r="L9" s="1035"/>
      <c r="M9" s="1035"/>
      <c r="N9" s="1035"/>
    </row>
    <row r="10" spans="1:16" ht="13.5" thickBot="1" x14ac:dyDescent="0.25">
      <c r="A10" s="962"/>
      <c r="B10" s="963"/>
      <c r="C10" s="963"/>
      <c r="D10" s="963"/>
      <c r="E10" s="963"/>
      <c r="F10" s="963"/>
      <c r="G10" s="963"/>
      <c r="H10" s="963"/>
      <c r="I10" s="963"/>
      <c r="J10" s="963"/>
      <c r="K10" s="963"/>
      <c r="L10" s="963"/>
      <c r="M10" s="963"/>
      <c r="N10" s="964" t="s">
        <v>128</v>
      </c>
    </row>
    <row r="11" spans="1:16" x14ac:dyDescent="0.2">
      <c r="A11" s="1238" t="s">
        <v>1</v>
      </c>
      <c r="B11" s="1239"/>
      <c r="C11" s="1239"/>
      <c r="D11" s="1239"/>
      <c r="E11" s="1239"/>
      <c r="F11" s="1239"/>
      <c r="G11" s="1239"/>
      <c r="H11" s="1238" t="s">
        <v>2</v>
      </c>
      <c r="I11" s="1240"/>
      <c r="J11" s="1240"/>
      <c r="K11" s="1240"/>
      <c r="L11" s="1240"/>
      <c r="M11" s="1240"/>
      <c r="N11" s="1241"/>
    </row>
    <row r="12" spans="1:16" ht="21.75" thickBot="1" x14ac:dyDescent="0.25">
      <c r="A12" s="1229" t="s">
        <v>8</v>
      </c>
      <c r="B12" s="1230"/>
      <c r="C12" s="1012" t="s">
        <v>82</v>
      </c>
      <c r="D12" s="1012" t="s">
        <v>525</v>
      </c>
      <c r="E12" s="1012" t="s">
        <v>236</v>
      </c>
      <c r="F12" s="1012" t="s">
        <v>63</v>
      </c>
      <c r="G12" s="1012" t="s">
        <v>272</v>
      </c>
      <c r="H12" s="1231" t="s">
        <v>8</v>
      </c>
      <c r="I12" s="1232"/>
      <c r="J12" s="1013" t="s">
        <v>82</v>
      </c>
      <c r="K12" s="1013" t="s">
        <v>525</v>
      </c>
      <c r="L12" s="1013" t="s">
        <v>236</v>
      </c>
      <c r="M12" s="1013" t="s">
        <v>63</v>
      </c>
      <c r="N12" s="1013" t="s">
        <v>272</v>
      </c>
    </row>
    <row r="13" spans="1:16" x14ac:dyDescent="0.2">
      <c r="A13" s="965" t="s">
        <v>630</v>
      </c>
      <c r="B13" s="966" t="s">
        <v>65</v>
      </c>
      <c r="C13" s="967">
        <v>0</v>
      </c>
      <c r="D13" s="968">
        <v>28</v>
      </c>
      <c r="E13" s="969">
        <f>G13-D13</f>
        <v>0</v>
      </c>
      <c r="F13" s="970">
        <f t="shared" ref="F13:F18" si="0">G13/D13*100</f>
        <v>100</v>
      </c>
      <c r="G13" s="971">
        <f>'[3]Bevételek(Óvoda 2019)'!G9/1000</f>
        <v>28</v>
      </c>
      <c r="H13" s="972" t="s">
        <v>217</v>
      </c>
      <c r="I13" s="973" t="s">
        <v>3</v>
      </c>
      <c r="J13" s="967">
        <v>47033.02</v>
      </c>
      <c r="K13" s="971">
        <v>47667.351000000002</v>
      </c>
      <c r="L13" s="974">
        <f>K13-N13</f>
        <v>332.63000000000466</v>
      </c>
      <c r="M13" s="975">
        <f>N13/K13*100</f>
        <v>99.30218484345815</v>
      </c>
      <c r="N13" s="971">
        <f>'[3]Kiadások(Óvoda 2019)'!G16/1000</f>
        <v>47334.720999999998</v>
      </c>
    </row>
    <row r="14" spans="1:16" x14ac:dyDescent="0.2">
      <c r="A14" s="965" t="s">
        <v>254</v>
      </c>
      <c r="B14" s="966" t="s">
        <v>47</v>
      </c>
      <c r="C14" s="967">
        <v>0</v>
      </c>
      <c r="D14" s="976">
        <v>1370.0119999999999</v>
      </c>
      <c r="E14" s="969">
        <f t="shared" ref="E14:E16" si="1">G14-D14</f>
        <v>-6.01299999999992</v>
      </c>
      <c r="F14" s="970">
        <f t="shared" si="0"/>
        <v>99.561098734901606</v>
      </c>
      <c r="G14" s="976">
        <f>'[3]Bevételek(Óvoda 2019)'!G10/1000</f>
        <v>1363.999</v>
      </c>
      <c r="H14" s="977" t="s">
        <v>220</v>
      </c>
      <c r="I14" s="973" t="s">
        <v>234</v>
      </c>
      <c r="J14" s="967">
        <v>9222.3809999999994</v>
      </c>
      <c r="K14" s="974">
        <v>9168.0499999999993</v>
      </c>
      <c r="L14" s="974">
        <f t="shared" ref="L14:L15" si="2">K14-N14</f>
        <v>188.80999999999949</v>
      </c>
      <c r="M14" s="978">
        <f t="shared" ref="M14:M15" si="3">N14/K14*100</f>
        <v>97.940565332867962</v>
      </c>
      <c r="N14" s="974">
        <f>'[3]Kiadások(Óvoda 2019)'!G19/1000</f>
        <v>8979.24</v>
      </c>
      <c r="O14" s="15"/>
      <c r="P14" s="15"/>
    </row>
    <row r="15" spans="1:16" ht="15.75" x14ac:dyDescent="0.25">
      <c r="A15" s="979" t="s">
        <v>255</v>
      </c>
      <c r="B15" s="980" t="s">
        <v>256</v>
      </c>
      <c r="C15" s="981">
        <v>63412.300999999999</v>
      </c>
      <c r="D15" s="982">
        <v>57505.633999999998</v>
      </c>
      <c r="E15" s="969">
        <f t="shared" si="1"/>
        <v>0</v>
      </c>
      <c r="F15" s="970">
        <f t="shared" si="0"/>
        <v>100</v>
      </c>
      <c r="G15" s="983">
        <f>'[3]Bevételek COFOG'!G11/1000</f>
        <v>57505.633999999998</v>
      </c>
      <c r="H15" s="984" t="s">
        <v>223</v>
      </c>
      <c r="I15" s="981" t="s">
        <v>5</v>
      </c>
      <c r="J15" s="967">
        <v>7454.9</v>
      </c>
      <c r="K15" s="974">
        <v>6699.5990000000002</v>
      </c>
      <c r="L15" s="974">
        <f t="shared" si="2"/>
        <v>813.69800000000032</v>
      </c>
      <c r="M15" s="985">
        <f t="shared" si="3"/>
        <v>87.854526815709406</v>
      </c>
      <c r="N15" s="986">
        <f>'[3]Kiadások(Óvoda 2019)'!G31/1000</f>
        <v>5885.9009999999998</v>
      </c>
      <c r="O15" s="431"/>
      <c r="P15" s="431"/>
    </row>
    <row r="16" spans="1:16" ht="16.5" thickBot="1" x14ac:dyDescent="0.3">
      <c r="A16" s="987" t="s">
        <v>255</v>
      </c>
      <c r="B16" s="988" t="s">
        <v>257</v>
      </c>
      <c r="C16" s="989">
        <v>0</v>
      </c>
      <c r="D16" s="990">
        <v>5906.6670000000004</v>
      </c>
      <c r="E16" s="969">
        <f t="shared" si="1"/>
        <v>-1044.8960000000006</v>
      </c>
      <c r="F16" s="970">
        <f t="shared" si="0"/>
        <v>82.309888131496152</v>
      </c>
      <c r="G16" s="991">
        <f>'[3]Bevételek COFOG'!G12/1000</f>
        <v>4861.7709999999997</v>
      </c>
      <c r="H16" s="992"/>
      <c r="I16" s="993"/>
      <c r="J16" s="994"/>
      <c r="K16" s="995"/>
      <c r="L16" s="995"/>
      <c r="M16" s="995"/>
      <c r="N16" s="996"/>
      <c r="O16" s="431"/>
      <c r="P16" s="431"/>
    </row>
    <row r="17" spans="1:16" ht="13.5" thickBot="1" x14ac:dyDescent="0.25">
      <c r="A17" s="997"/>
      <c r="B17" s="998" t="s">
        <v>241</v>
      </c>
      <c r="C17" s="999">
        <f>SUM(C13:C16)</f>
        <v>63412.300999999999</v>
      </c>
      <c r="D17" s="999">
        <v>64810.313000000002</v>
      </c>
      <c r="E17" s="1000">
        <f>G17-D17</f>
        <v>-1050.9089999999997</v>
      </c>
      <c r="F17" s="1001">
        <f>G17/D17*100</f>
        <v>98.378484917979023</v>
      </c>
      <c r="G17" s="1002">
        <f>SUM(G13:G16)</f>
        <v>63759.404000000002</v>
      </c>
      <c r="H17" s="1003"/>
      <c r="I17" s="1004" t="s">
        <v>10</v>
      </c>
      <c r="J17" s="1002">
        <f>SUM(J13:J16)</f>
        <v>63710.300999999999</v>
      </c>
      <c r="K17" s="1002">
        <v>63535</v>
      </c>
      <c r="L17" s="1002">
        <f>SUM(L13:L15)</f>
        <v>1335.1380000000045</v>
      </c>
      <c r="M17" s="1005">
        <f>N17/K17*100</f>
        <v>97.898578736129679</v>
      </c>
      <c r="N17" s="1002">
        <f>SUM(N13:N16)</f>
        <v>62199.861999999994</v>
      </c>
      <c r="O17" s="15"/>
      <c r="P17" s="15"/>
    </row>
    <row r="18" spans="1:16" ht="13.5" thickBot="1" x14ac:dyDescent="0.25">
      <c r="A18" s="1006" t="s">
        <v>230</v>
      </c>
      <c r="B18" s="1007" t="s">
        <v>235</v>
      </c>
      <c r="C18" s="1007">
        <v>298</v>
      </c>
      <c r="D18" s="1008">
        <v>298.68700000000001</v>
      </c>
      <c r="E18" s="969">
        <f>G18-D18</f>
        <v>0</v>
      </c>
      <c r="F18" s="1001">
        <f t="shared" si="0"/>
        <v>100</v>
      </c>
      <c r="G18" s="1009">
        <f>'[3]Bevételek COFOG'!G9/1000</f>
        <v>298.68700000000001</v>
      </c>
      <c r="H18" s="1010" t="s">
        <v>258</v>
      </c>
      <c r="I18" s="989" t="s">
        <v>631</v>
      </c>
      <c r="J18" s="994">
        <v>0</v>
      </c>
      <c r="K18" s="995">
        <v>1574</v>
      </c>
      <c r="L18" s="974">
        <f>K18-N18</f>
        <v>22.527000000000044</v>
      </c>
      <c r="M18" s="1011">
        <f>N18/K18*100</f>
        <v>98.568805590851326</v>
      </c>
      <c r="N18" s="995">
        <f>'[3]Kiadások(Óvoda 2019)'!G34/1000</f>
        <v>1551.473</v>
      </c>
      <c r="O18" s="15"/>
      <c r="P18" s="15"/>
    </row>
    <row r="19" spans="1:16" ht="13.5" thickBot="1" x14ac:dyDescent="0.25">
      <c r="A19" s="1233" t="s">
        <v>7</v>
      </c>
      <c r="B19" s="1234"/>
      <c r="C19" s="1014">
        <f>C17+C18</f>
        <v>63710.300999999999</v>
      </c>
      <c r="D19" s="1014">
        <v>65109</v>
      </c>
      <c r="E19" s="1015">
        <f>G19-D19</f>
        <v>-1050.9089999999997</v>
      </c>
      <c r="F19" s="1016">
        <f>G19/D19*100</f>
        <v>98.385923605031564</v>
      </c>
      <c r="G19" s="1015">
        <f>SUM(G17:G18)</f>
        <v>64058.091</v>
      </c>
      <c r="H19" s="1235" t="s">
        <v>7</v>
      </c>
      <c r="I19" s="1236"/>
      <c r="J19" s="1017">
        <f>J17+J18</f>
        <v>63710.300999999999</v>
      </c>
      <c r="K19" s="1017">
        <v>65109</v>
      </c>
      <c r="L19" s="1017">
        <f>L17+L18</f>
        <v>1357.6650000000045</v>
      </c>
      <c r="M19" s="1018">
        <f>N19/K19*100</f>
        <v>97.914781366631331</v>
      </c>
      <c r="N19" s="1017">
        <f>SUM(N17:N18)</f>
        <v>63751.334999999992</v>
      </c>
      <c r="O19" s="15"/>
      <c r="P19" s="15"/>
    </row>
    <row r="22" spans="1:16" ht="15.75" x14ac:dyDescent="0.25">
      <c r="D22" s="432"/>
      <c r="E22" s="432"/>
      <c r="F22" s="432"/>
      <c r="G22" s="432"/>
    </row>
    <row r="23" spans="1:16" ht="15.75" x14ac:dyDescent="0.25">
      <c r="B23" s="1019" t="s">
        <v>274</v>
      </c>
      <c r="C23" s="1020">
        <f>'[3]Kiadások(Óvoda 2019)'!E35+'[3]Bevételek(Óvoda 2019)'!E15</f>
        <v>306756</v>
      </c>
      <c r="D23" s="432"/>
      <c r="E23" s="432"/>
      <c r="F23" s="432"/>
      <c r="G23" s="432"/>
    </row>
    <row r="24" spans="1:16" ht="15.75" x14ac:dyDescent="0.25">
      <c r="D24" s="433"/>
      <c r="E24" s="433"/>
      <c r="F24" s="433"/>
      <c r="G24" s="433"/>
    </row>
    <row r="25" spans="1:16" ht="15.75" x14ac:dyDescent="0.25">
      <c r="D25" s="432"/>
      <c r="E25" s="432"/>
      <c r="F25" s="432"/>
      <c r="G25" s="432"/>
    </row>
    <row r="26" spans="1:16" ht="15.75" x14ac:dyDescent="0.25">
      <c r="B26" s="434"/>
      <c r="C26" s="434"/>
      <c r="D26" s="435"/>
      <c r="E26" s="435"/>
      <c r="F26" s="435"/>
      <c r="G26" s="435"/>
      <c r="H26" s="434"/>
      <c r="I26" s="434"/>
      <c r="J26" s="434"/>
    </row>
    <row r="27" spans="1:16" x14ac:dyDescent="0.2">
      <c r="B27" s="434"/>
      <c r="C27" s="434"/>
      <c r="D27" s="434"/>
      <c r="E27" s="434"/>
      <c r="F27" s="434"/>
      <c r="G27" s="947"/>
      <c r="H27" s="434"/>
      <c r="I27" s="434"/>
      <c r="J27" s="434"/>
    </row>
    <row r="28" spans="1:16" x14ac:dyDescent="0.2">
      <c r="B28" s="434"/>
      <c r="C28" s="434"/>
      <c r="D28" s="434"/>
      <c r="E28" s="434"/>
      <c r="F28" s="434"/>
      <c r="G28" s="947"/>
      <c r="H28" s="434"/>
      <c r="I28" s="434"/>
      <c r="J28" s="434"/>
    </row>
    <row r="29" spans="1:16" x14ac:dyDescent="0.2">
      <c r="B29" s="434"/>
      <c r="C29" s="434"/>
      <c r="D29" s="434"/>
      <c r="E29" s="434"/>
      <c r="F29" s="434"/>
      <c r="G29" s="707"/>
      <c r="H29" s="434"/>
      <c r="I29" s="434"/>
      <c r="J29" s="434"/>
    </row>
    <row r="30" spans="1:16" x14ac:dyDescent="0.2">
      <c r="B30" s="434"/>
      <c r="C30" s="434"/>
      <c r="D30" s="434"/>
      <c r="E30" s="434"/>
      <c r="F30" s="434"/>
      <c r="G30" s="434"/>
      <c r="H30" s="434"/>
      <c r="I30" s="434"/>
      <c r="J30" s="434"/>
    </row>
  </sheetData>
  <mergeCells count="11">
    <mergeCell ref="A12:B12"/>
    <mergeCell ref="H12:I12"/>
    <mergeCell ref="A19:B19"/>
    <mergeCell ref="H19:I19"/>
    <mergeCell ref="A2:N2"/>
    <mergeCell ref="L3:N3"/>
    <mergeCell ref="B4:N4"/>
    <mergeCell ref="B5:N5"/>
    <mergeCell ref="B8:N8"/>
    <mergeCell ref="A11:G11"/>
    <mergeCell ref="H11:N11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&amp;R2019.12.31.</oddHeader>
    <oddFooter>&amp;C&amp;P/&amp;N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219F2-8426-48D3-A0B2-AB034DF15166}">
  <sheetPr>
    <pageSetUpPr fitToPage="1"/>
  </sheetPr>
  <dimension ref="A2:P29"/>
  <sheetViews>
    <sheetView tabSelected="1" zoomScaleNormal="100" workbookViewId="0">
      <selection activeCell="A8" sqref="A8:XFD8"/>
    </sheetView>
  </sheetViews>
  <sheetFormatPr defaultRowHeight="12.75" x14ac:dyDescent="0.2"/>
  <cols>
    <col min="2" max="2" width="34.28515625" customWidth="1"/>
    <col min="3" max="3" width="15.28515625" customWidth="1"/>
    <col min="4" max="4" width="13.7109375" customWidth="1"/>
    <col min="5" max="5" width="11.7109375" customWidth="1"/>
    <col min="6" max="6" width="10.7109375" customWidth="1"/>
    <col min="7" max="7" width="13.7109375" customWidth="1"/>
    <col min="8" max="8" width="11.28515625" customWidth="1"/>
    <col min="9" max="9" width="29.7109375" customWidth="1"/>
    <col min="10" max="10" width="14.5703125" customWidth="1"/>
    <col min="11" max="11" width="13.7109375" customWidth="1"/>
    <col min="12" max="12" width="11.140625" customWidth="1"/>
    <col min="13" max="13" width="10.42578125" customWidth="1"/>
    <col min="14" max="14" width="13.7109375" customWidth="1"/>
    <col min="15" max="16" width="11.5703125" bestFit="1" customWidth="1"/>
  </cols>
  <sheetData>
    <row r="2" spans="1:16" ht="20.25" customHeight="1" x14ac:dyDescent="0.2">
      <c r="A2" s="1208" t="s">
        <v>647</v>
      </c>
      <c r="B2" s="1209"/>
      <c r="C2" s="1209"/>
      <c r="D2" s="1209"/>
      <c r="E2" s="1209"/>
      <c r="F2" s="1209"/>
      <c r="G2" s="1209"/>
      <c r="H2" s="1209"/>
      <c r="I2" s="1209"/>
      <c r="J2" s="1209"/>
      <c r="K2" s="1209"/>
      <c r="L2" s="1209"/>
      <c r="M2" s="1209"/>
      <c r="N2" s="1209"/>
    </row>
    <row r="3" spans="1:16" x14ac:dyDescent="0.2">
      <c r="K3" s="12"/>
      <c r="L3" s="1220"/>
      <c r="M3" s="1220"/>
      <c r="N3" s="1221"/>
    </row>
    <row r="4" spans="1:16" x14ac:dyDescent="0.2">
      <c r="A4" s="962"/>
      <c r="B4" s="1237" t="s">
        <v>267</v>
      </c>
      <c r="C4" s="1237"/>
      <c r="D4" s="1237"/>
      <c r="E4" s="1237"/>
      <c r="F4" s="1237"/>
      <c r="G4" s="1237"/>
      <c r="H4" s="1237"/>
      <c r="I4" s="1237"/>
      <c r="J4" s="1237"/>
      <c r="K4" s="1237"/>
      <c r="L4" s="1237"/>
      <c r="M4" s="1237"/>
      <c r="N4" s="1237"/>
    </row>
    <row r="5" spans="1:16" x14ac:dyDescent="0.2">
      <c r="A5" s="962"/>
      <c r="B5" s="1237" t="s">
        <v>555</v>
      </c>
      <c r="C5" s="1237"/>
      <c r="D5" s="1237"/>
      <c r="E5" s="1237"/>
      <c r="F5" s="1237"/>
      <c r="G5" s="1237"/>
      <c r="H5" s="1237"/>
      <c r="I5" s="1237"/>
      <c r="J5" s="1237"/>
      <c r="K5" s="1237"/>
      <c r="L5" s="1237"/>
      <c r="M5" s="1237"/>
      <c r="N5" s="1237"/>
    </row>
    <row r="6" spans="1:16" x14ac:dyDescent="0.2">
      <c r="A6" s="962"/>
      <c r="B6" s="962"/>
      <c r="C6" s="962"/>
      <c r="D6" s="962"/>
      <c r="E6" s="962"/>
      <c r="F6" s="962"/>
      <c r="G6" s="962"/>
      <c r="H6" s="962"/>
      <c r="I6" s="962"/>
      <c r="J6" s="962"/>
      <c r="K6" s="962"/>
      <c r="L6" s="962"/>
      <c r="M6" s="962"/>
      <c r="N6" s="962"/>
    </row>
    <row r="7" spans="1:16" x14ac:dyDescent="0.2">
      <c r="A7" s="962"/>
      <c r="B7" s="1237" t="s">
        <v>233</v>
      </c>
      <c r="C7" s="1237"/>
      <c r="D7" s="1237"/>
      <c r="E7" s="1237"/>
      <c r="F7" s="1237"/>
      <c r="G7" s="1237"/>
      <c r="H7" s="1237"/>
      <c r="I7" s="1237"/>
      <c r="J7" s="1237"/>
      <c r="K7" s="1237"/>
      <c r="L7" s="1237"/>
      <c r="M7" s="1237"/>
      <c r="N7" s="1237"/>
    </row>
    <row r="8" spans="1:16" x14ac:dyDescent="0.2">
      <c r="A8" s="962"/>
      <c r="B8" s="1035"/>
      <c r="C8" s="1035"/>
      <c r="D8" s="1035"/>
      <c r="E8" s="1035"/>
      <c r="F8" s="1035"/>
      <c r="G8" s="1035"/>
      <c r="H8" s="1035"/>
      <c r="I8" s="1035"/>
      <c r="J8" s="1035"/>
      <c r="K8" s="1035"/>
      <c r="L8" s="1035"/>
      <c r="M8" s="1035"/>
      <c r="N8" s="1035"/>
    </row>
    <row r="9" spans="1:16" ht="13.5" thickBot="1" x14ac:dyDescent="0.25">
      <c r="A9" s="962"/>
      <c r="B9" s="963"/>
      <c r="C9" s="963"/>
      <c r="D9" s="963"/>
      <c r="E9" s="963"/>
      <c r="F9" s="963"/>
      <c r="G9" s="963"/>
      <c r="H9" s="963"/>
      <c r="I9" s="963"/>
      <c r="J9" s="963"/>
      <c r="K9" s="963"/>
      <c r="L9" s="963"/>
      <c r="M9" s="963"/>
      <c r="N9" s="964" t="s">
        <v>128</v>
      </c>
    </row>
    <row r="10" spans="1:16" x14ac:dyDescent="0.2">
      <c r="A10" s="1238" t="s">
        <v>1</v>
      </c>
      <c r="B10" s="1239"/>
      <c r="C10" s="1239"/>
      <c r="D10" s="1239"/>
      <c r="E10" s="1239"/>
      <c r="F10" s="1239"/>
      <c r="G10" s="1239"/>
      <c r="H10" s="1238" t="s">
        <v>2</v>
      </c>
      <c r="I10" s="1240"/>
      <c r="J10" s="1240"/>
      <c r="K10" s="1240"/>
      <c r="L10" s="1240"/>
      <c r="M10" s="1240"/>
      <c r="N10" s="1241"/>
    </row>
    <row r="11" spans="1:16" ht="21.75" thickBot="1" x14ac:dyDescent="0.25">
      <c r="A11" s="1242" t="s">
        <v>8</v>
      </c>
      <c r="B11" s="1243"/>
      <c r="C11" s="1012" t="s">
        <v>82</v>
      </c>
      <c r="D11" s="1012" t="s">
        <v>525</v>
      </c>
      <c r="E11" s="1012" t="s">
        <v>236</v>
      </c>
      <c r="F11" s="1012" t="s">
        <v>63</v>
      </c>
      <c r="G11" s="1012" t="s">
        <v>272</v>
      </c>
      <c r="H11" s="1231" t="s">
        <v>8</v>
      </c>
      <c r="I11" s="1232"/>
      <c r="J11" s="1013" t="s">
        <v>82</v>
      </c>
      <c r="K11" s="1013" t="s">
        <v>525</v>
      </c>
      <c r="L11" s="1013" t="s">
        <v>236</v>
      </c>
      <c r="M11" s="1013" t="s">
        <v>63</v>
      </c>
      <c r="N11" s="1013" t="s">
        <v>272</v>
      </c>
    </row>
    <row r="12" spans="1:16" x14ac:dyDescent="0.2">
      <c r="A12" s="965" t="s">
        <v>321</v>
      </c>
      <c r="B12" s="1021" t="s">
        <v>627</v>
      </c>
      <c r="C12" s="1022"/>
      <c r="D12" s="968"/>
      <c r="E12" s="969"/>
      <c r="F12" s="1023"/>
      <c r="G12" s="971"/>
      <c r="H12" s="972" t="s">
        <v>217</v>
      </c>
      <c r="I12" s="973" t="s">
        <v>3</v>
      </c>
      <c r="J12" s="967">
        <v>7296</v>
      </c>
      <c r="K12" s="971">
        <v>7123</v>
      </c>
      <c r="L12" s="974">
        <f>K12-N12</f>
        <v>0.3999999999996362</v>
      </c>
      <c r="M12" s="975">
        <f>N12/K12*100</f>
        <v>99.994384388600309</v>
      </c>
      <c r="N12" s="971">
        <f>'[4]Kiadások(Műv.Ház 2019)'!G15/1000</f>
        <v>7122.6</v>
      </c>
    </row>
    <row r="13" spans="1:16" x14ac:dyDescent="0.2">
      <c r="A13" s="965" t="s">
        <v>630</v>
      </c>
      <c r="B13" s="966" t="s">
        <v>65</v>
      </c>
      <c r="C13" s="1024">
        <v>100</v>
      </c>
      <c r="D13" s="976">
        <v>98.911000000000001</v>
      </c>
      <c r="E13" s="969">
        <f t="shared" ref="E13:E15" si="0">G13-D13</f>
        <v>25.697000000000003</v>
      </c>
      <c r="F13" s="970"/>
      <c r="G13" s="976">
        <f>('[4]Bevételek COFOG'!G18+'[4]Bevételek COFOG'!G17)/1000</f>
        <v>124.608</v>
      </c>
      <c r="H13" s="977" t="s">
        <v>220</v>
      </c>
      <c r="I13" s="973" t="s">
        <v>234</v>
      </c>
      <c r="J13" s="967">
        <v>1367.9</v>
      </c>
      <c r="K13" s="974">
        <v>1334.9</v>
      </c>
      <c r="L13" s="974">
        <f t="shared" ref="L13:L15" si="1">K13-N13</f>
        <v>19.600000000000136</v>
      </c>
      <c r="M13" s="978">
        <f t="shared" ref="M13:M14" si="2">N13/K13*100</f>
        <v>98.531725222863116</v>
      </c>
      <c r="N13" s="974">
        <f>'[4]Kiadások(Műv.Ház 2019)'!G18/1000</f>
        <v>1315.3</v>
      </c>
      <c r="O13" s="15"/>
      <c r="P13" s="15"/>
    </row>
    <row r="14" spans="1:16" ht="15.75" x14ac:dyDescent="0.25">
      <c r="A14" s="979" t="s">
        <v>255</v>
      </c>
      <c r="B14" s="980" t="s">
        <v>256</v>
      </c>
      <c r="C14" s="1025">
        <v>3017.74</v>
      </c>
      <c r="D14" s="982">
        <v>3017.74</v>
      </c>
      <c r="E14" s="969">
        <f t="shared" si="0"/>
        <v>470.32900000000018</v>
      </c>
      <c r="F14" s="970">
        <f t="shared" ref="F14:F17" si="3">G14/D14*100</f>
        <v>115.58547124669457</v>
      </c>
      <c r="G14" s="983">
        <f>'[4]Bevételek COFOG'!G11/1000</f>
        <v>3488.069</v>
      </c>
      <c r="H14" s="984" t="s">
        <v>223</v>
      </c>
      <c r="I14" s="981" t="s">
        <v>5</v>
      </c>
      <c r="J14" s="967">
        <v>4723.5</v>
      </c>
      <c r="K14" s="974">
        <v>4294.5</v>
      </c>
      <c r="L14" s="974">
        <f t="shared" si="1"/>
        <v>2183.1619999999998</v>
      </c>
      <c r="M14" s="985">
        <f t="shared" si="2"/>
        <v>49.163767609733384</v>
      </c>
      <c r="N14" s="986">
        <f>'[4]Kiadások(Műv.Ház 2019)'!G29/1000</f>
        <v>2111.3380000000002</v>
      </c>
      <c r="O14" s="431"/>
      <c r="P14" s="431"/>
    </row>
    <row r="15" spans="1:16" ht="16.5" thickBot="1" x14ac:dyDescent="0.3">
      <c r="A15" s="987" t="s">
        <v>255</v>
      </c>
      <c r="B15" s="988" t="s">
        <v>257</v>
      </c>
      <c r="C15" s="1026">
        <v>10548.66</v>
      </c>
      <c r="D15" s="990">
        <v>10548.66</v>
      </c>
      <c r="E15" s="969">
        <f t="shared" si="0"/>
        <v>-3149.4690000000001</v>
      </c>
      <c r="F15" s="1027">
        <f>G15/D15*100</f>
        <v>70.143421060115699</v>
      </c>
      <c r="G15" s="991">
        <f>'[4]Bevételek COFOG'!G12/1000</f>
        <v>7399.1909999999998</v>
      </c>
      <c r="H15" s="992"/>
      <c r="I15" s="993"/>
      <c r="J15" s="994"/>
      <c r="K15" s="995"/>
      <c r="L15" s="974">
        <f t="shared" si="1"/>
        <v>0</v>
      </c>
      <c r="M15" s="995"/>
      <c r="N15" s="996"/>
      <c r="O15" s="431"/>
      <c r="P15" s="431"/>
    </row>
    <row r="16" spans="1:16" ht="13.5" thickBot="1" x14ac:dyDescent="0.25">
      <c r="A16" s="997"/>
      <c r="B16" s="998" t="s">
        <v>241</v>
      </c>
      <c r="C16" s="1028">
        <v>13666.4</v>
      </c>
      <c r="D16" s="999">
        <v>13665.311</v>
      </c>
      <c r="E16" s="1000">
        <f>G16-D16</f>
        <v>-2653.4429999999993</v>
      </c>
      <c r="F16" s="1001">
        <f>G16/D16*100</f>
        <v>80.582637306973851</v>
      </c>
      <c r="G16" s="1002">
        <f>SUM(G12:G15)</f>
        <v>11011.868</v>
      </c>
      <c r="H16" s="1003"/>
      <c r="I16" s="1004" t="s">
        <v>10</v>
      </c>
      <c r="J16" s="1029">
        <v>13387.4</v>
      </c>
      <c r="K16" s="1002">
        <v>12752.4</v>
      </c>
      <c r="L16" s="1002">
        <f>SUM(L12:L15)</f>
        <v>2203.1619999999994</v>
      </c>
      <c r="M16" s="1005">
        <f>N16/K16*100</f>
        <v>82.723550076848269</v>
      </c>
      <c r="N16" s="1002">
        <f>SUM(N12:N15)</f>
        <v>10549.237999999999</v>
      </c>
      <c r="O16" s="15"/>
      <c r="P16" s="15"/>
    </row>
    <row r="17" spans="1:16" ht="13.5" thickBot="1" x14ac:dyDescent="0.25">
      <c r="A17" s="1006" t="s">
        <v>230</v>
      </c>
      <c r="B17" s="1007" t="s">
        <v>235</v>
      </c>
      <c r="C17" s="1026">
        <v>102</v>
      </c>
      <c r="D17" s="1008">
        <v>103.089</v>
      </c>
      <c r="E17" s="969">
        <f>G17-D17</f>
        <v>0</v>
      </c>
      <c r="F17" s="1001">
        <f t="shared" si="3"/>
        <v>100</v>
      </c>
      <c r="G17" s="1009">
        <f>'[4]Bevételek COFOG'!G9/1000</f>
        <v>103.089</v>
      </c>
      <c r="H17" s="1010" t="s">
        <v>258</v>
      </c>
      <c r="I17" s="989" t="s">
        <v>631</v>
      </c>
      <c r="J17" s="994">
        <v>381</v>
      </c>
      <c r="K17" s="995">
        <v>1016</v>
      </c>
      <c r="L17" s="974">
        <f>K17-N17</f>
        <v>476.63499999999999</v>
      </c>
      <c r="M17" s="995"/>
      <c r="N17" s="995">
        <f>('[4]Kiadások(Műv.Ház 2019)'!G31+'[4]Kiadások(Műv.Ház 2019)'!G30)/1000</f>
        <v>539.36500000000001</v>
      </c>
      <c r="O17" s="15"/>
      <c r="P17" s="15"/>
    </row>
    <row r="18" spans="1:16" ht="13.5" thickBot="1" x14ac:dyDescent="0.25">
      <c r="A18" s="1233" t="s">
        <v>7</v>
      </c>
      <c r="B18" s="1234"/>
      <c r="C18" s="1030">
        <v>13768.4</v>
      </c>
      <c r="D18" s="1014">
        <v>13768.4</v>
      </c>
      <c r="E18" s="1015">
        <f>G18-D18</f>
        <v>-2653.4429999999993</v>
      </c>
      <c r="F18" s="1016">
        <f>G18/D18*100</f>
        <v>80.728022137648537</v>
      </c>
      <c r="G18" s="1015">
        <f>SUM(G16:G17)</f>
        <v>11114.957</v>
      </c>
      <c r="H18" s="1235" t="s">
        <v>7</v>
      </c>
      <c r="I18" s="1236"/>
      <c r="J18" s="1031">
        <v>13768.4</v>
      </c>
      <c r="K18" s="1017">
        <v>13768.4</v>
      </c>
      <c r="L18" s="1017">
        <f>L16+L17</f>
        <v>2679.7969999999996</v>
      </c>
      <c r="M18" s="1018">
        <f>N18/K18*100</f>
        <v>80.536612823566998</v>
      </c>
      <c r="N18" s="1017">
        <f>SUM(N16:N17)</f>
        <v>11088.602999999999</v>
      </c>
      <c r="O18" s="15"/>
      <c r="P18" s="15"/>
    </row>
    <row r="21" spans="1:16" ht="16.5" thickBot="1" x14ac:dyDescent="0.3">
      <c r="D21" s="432"/>
      <c r="E21" s="432"/>
      <c r="F21" s="432"/>
      <c r="G21" s="432"/>
    </row>
    <row r="22" spans="1:16" ht="16.5" thickBot="1" x14ac:dyDescent="0.3">
      <c r="B22" s="959" t="s">
        <v>274</v>
      </c>
      <c r="C22" s="1032">
        <v>26354</v>
      </c>
      <c r="D22" s="432"/>
      <c r="E22" s="432"/>
      <c r="F22" s="432"/>
      <c r="G22" s="432"/>
    </row>
    <row r="23" spans="1:16" ht="15.75" x14ac:dyDescent="0.25">
      <c r="D23" s="433"/>
      <c r="E23" s="433"/>
      <c r="F23" s="433"/>
      <c r="G23" s="433"/>
    </row>
    <row r="24" spans="1:16" ht="15.75" x14ac:dyDescent="0.25">
      <c r="D24" s="432"/>
      <c r="E24" s="432"/>
      <c r="F24" s="432"/>
      <c r="G24" s="432"/>
    </row>
    <row r="25" spans="1:16" ht="15.75" x14ac:dyDescent="0.25">
      <c r="B25" s="434"/>
      <c r="C25" s="434"/>
      <c r="D25" s="435"/>
      <c r="E25" s="435"/>
      <c r="F25" s="435"/>
      <c r="G25" s="435"/>
      <c r="H25" s="434"/>
      <c r="I25" s="434"/>
      <c r="J25" s="434"/>
    </row>
    <row r="26" spans="1:16" x14ac:dyDescent="0.2">
      <c r="B26" s="434"/>
      <c r="C26" s="434"/>
      <c r="D26" s="434"/>
      <c r="E26" s="434"/>
      <c r="F26" s="434"/>
      <c r="G26" s="947"/>
      <c r="H26" s="434"/>
      <c r="I26" s="434"/>
      <c r="J26" s="434"/>
    </row>
    <row r="27" spans="1:16" x14ac:dyDescent="0.2">
      <c r="B27" s="434"/>
      <c r="C27" s="434"/>
      <c r="D27" s="434"/>
      <c r="E27" s="434"/>
      <c r="F27" s="434"/>
      <c r="G27" s="947"/>
      <c r="H27" s="434"/>
      <c r="I27" s="434"/>
      <c r="J27" s="434"/>
    </row>
    <row r="28" spans="1:16" x14ac:dyDescent="0.2">
      <c r="B28" s="434"/>
      <c r="C28" s="434"/>
      <c r="D28" s="434"/>
      <c r="E28" s="434"/>
      <c r="F28" s="434"/>
      <c r="G28" s="707"/>
      <c r="H28" s="434"/>
      <c r="I28" s="434"/>
      <c r="J28" s="434"/>
    </row>
    <row r="29" spans="1:16" x14ac:dyDescent="0.2">
      <c r="B29" s="434"/>
      <c r="C29" s="434"/>
      <c r="D29" s="434"/>
      <c r="E29" s="434"/>
      <c r="F29" s="434"/>
      <c r="G29" s="434"/>
      <c r="H29" s="434"/>
      <c r="I29" s="434"/>
      <c r="J29" s="434"/>
    </row>
  </sheetData>
  <mergeCells count="11">
    <mergeCell ref="A11:B11"/>
    <mergeCell ref="H11:I11"/>
    <mergeCell ref="A18:B18"/>
    <mergeCell ref="H18:I18"/>
    <mergeCell ref="A2:N2"/>
    <mergeCell ref="L3:N3"/>
    <mergeCell ref="B4:N4"/>
    <mergeCell ref="B5:N5"/>
    <mergeCell ref="B7:N7"/>
    <mergeCell ref="A10:G10"/>
    <mergeCell ref="H10:N10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&amp;R2019.12.31.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EB44-1288-4A40-B760-D76B07AAF48B}">
  <dimension ref="A1:G27"/>
  <sheetViews>
    <sheetView zoomScaleNormal="100" workbookViewId="0">
      <selection activeCell="A24" sqref="A24:G24"/>
    </sheetView>
  </sheetViews>
  <sheetFormatPr defaultRowHeight="12.75" x14ac:dyDescent="0.2"/>
  <cols>
    <col min="1" max="1" width="12.28515625" customWidth="1"/>
    <col min="2" max="2" width="37.28515625" customWidth="1"/>
    <col min="3" max="3" width="14.28515625" customWidth="1"/>
    <col min="4" max="4" width="11.85546875" customWidth="1"/>
    <col min="5" max="5" width="11.7109375" customWidth="1"/>
    <col min="6" max="6" width="11.42578125" customWidth="1"/>
    <col min="7" max="7" width="12.28515625" customWidth="1"/>
  </cols>
  <sheetData>
    <row r="1" spans="1:7" x14ac:dyDescent="0.2">
      <c r="F1" s="12"/>
      <c r="G1" s="12"/>
    </row>
    <row r="2" spans="1:7" ht="15.75" x14ac:dyDescent="0.25">
      <c r="A2" s="1039" t="s">
        <v>267</v>
      </c>
      <c r="B2" s="1039"/>
      <c r="C2" s="1039"/>
      <c r="D2" s="1039"/>
      <c r="E2" s="1039"/>
      <c r="F2" s="1039"/>
      <c r="G2" s="1039"/>
    </row>
    <row r="3" spans="1:7" ht="15.75" x14ac:dyDescent="0.25">
      <c r="A3" s="1039" t="s">
        <v>508</v>
      </c>
      <c r="B3" s="1039"/>
      <c r="C3" s="1039"/>
      <c r="D3" s="1039"/>
      <c r="E3" s="1039"/>
      <c r="F3" s="1039"/>
      <c r="G3" s="1039"/>
    </row>
    <row r="4" spans="1:7" ht="13.5" thickBot="1" x14ac:dyDescent="0.25">
      <c r="G4" s="519" t="s">
        <v>305</v>
      </c>
    </row>
    <row r="5" spans="1:7" ht="15.75" x14ac:dyDescent="0.25">
      <c r="A5" s="1062" t="s">
        <v>509</v>
      </c>
      <c r="B5" s="1063"/>
      <c r="C5" s="1063"/>
      <c r="D5" s="1063"/>
      <c r="E5" s="1063"/>
      <c r="F5" s="1063"/>
      <c r="G5" s="1064"/>
    </row>
    <row r="6" spans="1:7" ht="14.25" x14ac:dyDescent="0.2">
      <c r="A6" s="1065" t="s">
        <v>306</v>
      </c>
      <c r="B6" s="1067" t="s">
        <v>307</v>
      </c>
      <c r="C6" s="1069">
        <v>2019</v>
      </c>
      <c r="D6" s="1070"/>
      <c r="E6" s="1070"/>
      <c r="F6" s="1071"/>
      <c r="G6" s="647">
        <v>2019</v>
      </c>
    </row>
    <row r="7" spans="1:7" ht="24.75" thickBot="1" x14ac:dyDescent="0.25">
      <c r="A7" s="1066"/>
      <c r="B7" s="1068"/>
      <c r="C7" s="648" t="s">
        <v>82</v>
      </c>
      <c r="D7" s="649" t="s">
        <v>510</v>
      </c>
      <c r="E7" s="648" t="s">
        <v>236</v>
      </c>
      <c r="F7" s="648" t="s">
        <v>63</v>
      </c>
      <c r="G7" s="650" t="s">
        <v>272</v>
      </c>
    </row>
    <row r="8" spans="1:7" ht="24" x14ac:dyDescent="0.2">
      <c r="A8" s="665" t="s">
        <v>371</v>
      </c>
      <c r="B8" s="666" t="s">
        <v>372</v>
      </c>
      <c r="C8" s="667">
        <v>816000</v>
      </c>
      <c r="D8" s="668">
        <v>816868</v>
      </c>
      <c r="E8" s="668">
        <f>G8-D8</f>
        <v>0</v>
      </c>
      <c r="F8" s="669">
        <f>G8/D8*100</f>
        <v>100</v>
      </c>
      <c r="G8" s="670">
        <v>816868</v>
      </c>
    </row>
    <row r="9" spans="1:7" x14ac:dyDescent="0.2">
      <c r="A9" s="1072" t="s">
        <v>511</v>
      </c>
      <c r="B9" s="671" t="s">
        <v>512</v>
      </c>
      <c r="C9" s="672">
        <v>64890800</v>
      </c>
      <c r="D9" s="673">
        <v>72398400</v>
      </c>
      <c r="E9" s="668">
        <f>G9-D9</f>
        <v>0</v>
      </c>
      <c r="F9" s="669">
        <f t="shared" ref="F9:F12" si="0">G9/D9*100</f>
        <v>100</v>
      </c>
      <c r="G9" s="674">
        <f>G10+G12+G11</f>
        <v>72398400</v>
      </c>
    </row>
    <row r="10" spans="1:7" x14ac:dyDescent="0.2">
      <c r="A10" s="1073"/>
      <c r="B10" s="675" t="s">
        <v>513</v>
      </c>
      <c r="C10" s="676">
        <v>59390800</v>
      </c>
      <c r="D10" s="677">
        <v>59390800</v>
      </c>
      <c r="E10" s="678">
        <f t="shared" ref="E10:E12" si="1">G10-D10</f>
        <v>0</v>
      </c>
      <c r="F10" s="679">
        <f t="shared" si="0"/>
        <v>100</v>
      </c>
      <c r="G10" s="680">
        <f>57295800+2095000</f>
        <v>59390800</v>
      </c>
    </row>
    <row r="11" spans="1:7" x14ac:dyDescent="0.2">
      <c r="A11" s="1073"/>
      <c r="B11" s="675" t="s">
        <v>514</v>
      </c>
      <c r="C11" s="681">
        <v>0</v>
      </c>
      <c r="D11" s="682">
        <v>9507600</v>
      </c>
      <c r="E11" s="678">
        <f t="shared" si="1"/>
        <v>0</v>
      </c>
      <c r="F11" s="679">
        <f t="shared" si="0"/>
        <v>100</v>
      </c>
      <c r="G11" s="683">
        <v>9507600</v>
      </c>
    </row>
    <row r="12" spans="1:7" ht="13.5" thickBot="1" x14ac:dyDescent="0.25">
      <c r="A12" s="1073"/>
      <c r="B12" s="684" t="s">
        <v>515</v>
      </c>
      <c r="C12" s="681">
        <v>5500000</v>
      </c>
      <c r="D12" s="682">
        <v>3500000</v>
      </c>
      <c r="E12" s="678">
        <f t="shared" si="1"/>
        <v>0</v>
      </c>
      <c r="F12" s="679">
        <f t="shared" si="0"/>
        <v>100</v>
      </c>
      <c r="G12" s="683">
        <v>3500000</v>
      </c>
    </row>
    <row r="13" spans="1:7" ht="16.5" thickBot="1" x14ac:dyDescent="0.3">
      <c r="A13" s="1058" t="s">
        <v>516</v>
      </c>
      <c r="B13" s="1059"/>
      <c r="C13" s="651">
        <v>65706800</v>
      </c>
      <c r="D13" s="652">
        <v>73215268</v>
      </c>
      <c r="E13" s="653">
        <f>SUM(E8:E9)</f>
        <v>0</v>
      </c>
      <c r="F13" s="654">
        <f>G13/D13*100</f>
        <v>100</v>
      </c>
      <c r="G13" s="652">
        <f>SUM(G8:G9)</f>
        <v>73215268</v>
      </c>
    </row>
    <row r="14" spans="1:7" ht="15.75" x14ac:dyDescent="0.25">
      <c r="A14" s="1062" t="s">
        <v>517</v>
      </c>
      <c r="B14" s="1063"/>
      <c r="C14" s="1063"/>
      <c r="D14" s="1063"/>
      <c r="E14" s="1063"/>
      <c r="F14" s="1063"/>
      <c r="G14" s="1064"/>
    </row>
    <row r="15" spans="1:7" ht="14.25" x14ac:dyDescent="0.2">
      <c r="A15" s="1065" t="s">
        <v>306</v>
      </c>
      <c r="B15" s="1067" t="s">
        <v>307</v>
      </c>
      <c r="C15" s="1069">
        <v>2019</v>
      </c>
      <c r="D15" s="1070"/>
      <c r="E15" s="1070"/>
      <c r="F15" s="1071"/>
      <c r="G15" s="647">
        <v>2019</v>
      </c>
    </row>
    <row r="16" spans="1:7" ht="24.75" thickBot="1" x14ac:dyDescent="0.25">
      <c r="A16" s="1066"/>
      <c r="B16" s="1068"/>
      <c r="C16" s="648" t="s">
        <v>82</v>
      </c>
      <c r="D16" s="649" t="s">
        <v>510</v>
      </c>
      <c r="E16" s="648" t="s">
        <v>236</v>
      </c>
      <c r="F16" s="648" t="s">
        <v>63</v>
      </c>
      <c r="G16" s="650" t="s">
        <v>272</v>
      </c>
    </row>
    <row r="17" spans="1:7" ht="24" x14ac:dyDescent="0.2">
      <c r="A17" s="685" t="s">
        <v>321</v>
      </c>
      <c r="B17" s="686" t="s">
        <v>518</v>
      </c>
      <c r="C17" s="687">
        <v>5500000</v>
      </c>
      <c r="D17" s="687">
        <v>3500000</v>
      </c>
      <c r="E17" s="667">
        <f>G17-D17</f>
        <v>0</v>
      </c>
      <c r="F17" s="669">
        <f>G17/D17*100</f>
        <v>100</v>
      </c>
      <c r="G17" s="688">
        <v>3500000</v>
      </c>
    </row>
    <row r="18" spans="1:7" ht="24" x14ac:dyDescent="0.2">
      <c r="A18" s="665" t="s">
        <v>519</v>
      </c>
      <c r="B18" s="689" t="s">
        <v>520</v>
      </c>
      <c r="C18" s="667">
        <v>0</v>
      </c>
      <c r="D18" s="667">
        <v>93000</v>
      </c>
      <c r="E18" s="667">
        <f>G18-D18</f>
        <v>4549</v>
      </c>
      <c r="F18" s="669">
        <f t="shared" ref="F18:F19" si="2">G18/D18*100</f>
        <v>104.89139784946238</v>
      </c>
      <c r="G18" s="690">
        <v>97549</v>
      </c>
    </row>
    <row r="19" spans="1:7" ht="13.5" thickBot="1" x14ac:dyDescent="0.25">
      <c r="A19" s="665" t="s">
        <v>254</v>
      </c>
      <c r="B19" s="666" t="s">
        <v>521</v>
      </c>
      <c r="C19" s="667">
        <v>0</v>
      </c>
      <c r="D19" s="667">
        <v>5616</v>
      </c>
      <c r="E19" s="667">
        <f>G19-D19</f>
        <v>-1778</v>
      </c>
      <c r="F19" s="669">
        <f t="shared" si="2"/>
        <v>68.340455840455832</v>
      </c>
      <c r="G19" s="690">
        <v>3838</v>
      </c>
    </row>
    <row r="20" spans="1:7" ht="16.5" thickBot="1" x14ac:dyDescent="0.3">
      <c r="A20" s="1060" t="s">
        <v>516</v>
      </c>
      <c r="B20" s="1061"/>
      <c r="C20" s="657">
        <v>5500000</v>
      </c>
      <c r="D20" s="658">
        <v>3598616</v>
      </c>
      <c r="E20" s="658">
        <f>SUM(E17:E19)</f>
        <v>2771</v>
      </c>
      <c r="F20" s="659">
        <f>G20/D20*100</f>
        <v>100.07700182514611</v>
      </c>
      <c r="G20" s="658">
        <f>SUM(G17:G19)</f>
        <v>3601387</v>
      </c>
    </row>
    <row r="21" spans="1:7" ht="15.75" x14ac:dyDescent="0.25">
      <c r="A21" s="1062" t="s">
        <v>522</v>
      </c>
      <c r="B21" s="1063"/>
      <c r="C21" s="1063"/>
      <c r="D21" s="1063"/>
      <c r="E21" s="1063"/>
      <c r="F21" s="1063"/>
      <c r="G21" s="1064"/>
    </row>
    <row r="22" spans="1:7" ht="14.25" x14ac:dyDescent="0.2">
      <c r="A22" s="1065" t="s">
        <v>306</v>
      </c>
      <c r="B22" s="1067" t="s">
        <v>307</v>
      </c>
      <c r="C22" s="1069">
        <v>2019</v>
      </c>
      <c r="D22" s="1070"/>
      <c r="E22" s="1070"/>
      <c r="F22" s="1071"/>
      <c r="G22" s="647">
        <v>2019</v>
      </c>
    </row>
    <row r="23" spans="1:7" ht="24.75" thickBot="1" x14ac:dyDescent="0.25">
      <c r="A23" s="1066"/>
      <c r="B23" s="1068"/>
      <c r="C23" s="648" t="s">
        <v>82</v>
      </c>
      <c r="D23" s="649" t="s">
        <v>510</v>
      </c>
      <c r="E23" s="648" t="s">
        <v>236</v>
      </c>
      <c r="F23" s="648" t="s">
        <v>63</v>
      </c>
      <c r="G23" s="650" t="s">
        <v>272</v>
      </c>
    </row>
    <row r="24" spans="1:7" ht="24.75" thickBot="1" x14ac:dyDescent="0.25">
      <c r="A24" s="685" t="s">
        <v>321</v>
      </c>
      <c r="B24" s="686" t="s">
        <v>523</v>
      </c>
      <c r="C24" s="691">
        <v>0</v>
      </c>
      <c r="D24" s="687">
        <v>3126192</v>
      </c>
      <c r="E24" s="667">
        <f>G24-D24</f>
        <v>0</v>
      </c>
      <c r="F24" s="669">
        <f>G24/D24*100</f>
        <v>100</v>
      </c>
      <c r="G24" s="688">
        <v>3126192</v>
      </c>
    </row>
    <row r="25" spans="1:7" ht="16.5" thickBot="1" x14ac:dyDescent="0.3">
      <c r="A25" s="1058" t="s">
        <v>516</v>
      </c>
      <c r="B25" s="1059"/>
      <c r="C25" s="660">
        <v>0</v>
      </c>
      <c r="D25" s="652">
        <v>3126192</v>
      </c>
      <c r="E25" s="652">
        <f>SUM(E24:E24)</f>
        <v>0</v>
      </c>
      <c r="F25" s="654">
        <f>G25/D25*100</f>
        <v>100</v>
      </c>
      <c r="G25" s="652">
        <f>SUM(G24:G24)</f>
        <v>3126192</v>
      </c>
    </row>
    <row r="26" spans="1:7" ht="16.5" thickBot="1" x14ac:dyDescent="0.3">
      <c r="A26" s="481"/>
      <c r="B26" s="481"/>
      <c r="C26" s="481"/>
      <c r="D26" s="661"/>
      <c r="E26" s="661"/>
      <c r="F26" s="662"/>
      <c r="G26" s="661"/>
    </row>
    <row r="27" spans="1:7" ht="16.5" thickBot="1" x14ac:dyDescent="0.3">
      <c r="A27" s="1058" t="s">
        <v>524</v>
      </c>
      <c r="B27" s="1059"/>
      <c r="C27" s="663"/>
      <c r="D27" s="652">
        <f>D13+D20+D25</f>
        <v>79940076</v>
      </c>
      <c r="E27" s="652">
        <f>E13+E20+E25</f>
        <v>2771</v>
      </c>
      <c r="F27" s="664">
        <f>G27/D27*100</f>
        <v>100.00346634646682</v>
      </c>
      <c r="G27" s="652">
        <f>G13+G20+G25</f>
        <v>79942847</v>
      </c>
    </row>
  </sheetData>
  <mergeCells count="19">
    <mergeCell ref="A2:G2"/>
    <mergeCell ref="A3:G3"/>
    <mergeCell ref="A5:G5"/>
    <mergeCell ref="A6:A7"/>
    <mergeCell ref="B6:B7"/>
    <mergeCell ref="C6:F6"/>
    <mergeCell ref="A9:A12"/>
    <mergeCell ref="A13:B13"/>
    <mergeCell ref="A14:G14"/>
    <mergeCell ref="A15:A16"/>
    <mergeCell ref="B15:B16"/>
    <mergeCell ref="C15:F15"/>
    <mergeCell ref="A27:B27"/>
    <mergeCell ref="A20:B20"/>
    <mergeCell ref="A21:G21"/>
    <mergeCell ref="A22:A23"/>
    <mergeCell ref="B22:B23"/>
    <mergeCell ref="C22:F22"/>
    <mergeCell ref="A25:B25"/>
  </mergeCell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EB415-ADBB-48F9-9497-7C95A6DE6AB9}">
  <dimension ref="A1:K50"/>
  <sheetViews>
    <sheetView topLeftCell="A7" workbookViewId="0">
      <selection activeCell="K29" sqref="K29:K50"/>
    </sheetView>
  </sheetViews>
  <sheetFormatPr defaultRowHeight="12.75" x14ac:dyDescent="0.2"/>
  <cols>
    <col min="1" max="1" width="12.28515625" customWidth="1"/>
    <col min="2" max="2" width="38.140625" customWidth="1"/>
    <col min="3" max="3" width="16.42578125" customWidth="1"/>
    <col min="4" max="4" width="15.28515625" customWidth="1"/>
    <col min="5" max="5" width="13.140625" customWidth="1"/>
    <col min="6" max="6" width="9.7109375" customWidth="1"/>
    <col min="7" max="7" width="17" customWidth="1"/>
    <col min="8" max="9" width="10.140625" bestFit="1" customWidth="1"/>
  </cols>
  <sheetData>
    <row r="1" spans="1:8" x14ac:dyDescent="0.2">
      <c r="F1" s="12"/>
      <c r="G1" s="12"/>
    </row>
    <row r="2" spans="1:8" ht="15.75" x14ac:dyDescent="0.25">
      <c r="A2" s="1039" t="s">
        <v>267</v>
      </c>
      <c r="B2" s="1039"/>
      <c r="C2" s="1039"/>
      <c r="D2" s="1039"/>
      <c r="E2" s="1039"/>
      <c r="F2" s="1039"/>
      <c r="G2" s="1039"/>
    </row>
    <row r="3" spans="1:8" ht="15.75" x14ac:dyDescent="0.25">
      <c r="A3" s="1039" t="s">
        <v>508</v>
      </c>
      <c r="B3" s="1039"/>
      <c r="C3" s="1039"/>
      <c r="D3" s="1039"/>
      <c r="E3" s="1039"/>
      <c r="F3" s="1039"/>
      <c r="G3" s="1039"/>
    </row>
    <row r="4" spans="1:8" ht="13.5" thickBot="1" x14ac:dyDescent="0.25">
      <c r="G4" s="519" t="s">
        <v>305</v>
      </c>
    </row>
    <row r="5" spans="1:8" ht="16.5" thickBot="1" x14ac:dyDescent="0.3">
      <c r="A5" s="1079" t="s">
        <v>2</v>
      </c>
      <c r="B5" s="1080"/>
      <c r="C5" s="1080"/>
      <c r="D5" s="1080"/>
      <c r="E5" s="1080"/>
      <c r="F5" s="1080"/>
      <c r="G5" s="1081"/>
    </row>
    <row r="6" spans="1:8" x14ac:dyDescent="0.2">
      <c r="A6" s="1082" t="s">
        <v>306</v>
      </c>
      <c r="B6" s="1084" t="s">
        <v>307</v>
      </c>
      <c r="C6" s="1086">
        <v>2019</v>
      </c>
      <c r="D6" s="1087"/>
      <c r="E6" s="1087"/>
      <c r="F6" s="1088"/>
      <c r="G6" s="692">
        <v>2019</v>
      </c>
    </row>
    <row r="7" spans="1:8" ht="24.75" thickBot="1" x14ac:dyDescent="0.25">
      <c r="A7" s="1083"/>
      <c r="B7" s="1085"/>
      <c r="C7" s="693" t="s">
        <v>82</v>
      </c>
      <c r="D7" s="694" t="s">
        <v>525</v>
      </c>
      <c r="E7" s="693" t="s">
        <v>236</v>
      </c>
      <c r="F7" s="693" t="s">
        <v>63</v>
      </c>
      <c r="G7" s="695" t="s">
        <v>272</v>
      </c>
    </row>
    <row r="8" spans="1:8" x14ac:dyDescent="0.2">
      <c r="A8" s="708" t="s">
        <v>377</v>
      </c>
      <c r="B8" s="709" t="s">
        <v>378</v>
      </c>
      <c r="C8" s="710">
        <v>41152225</v>
      </c>
      <c r="D8" s="710">
        <v>51705000</v>
      </c>
      <c r="E8" s="710">
        <f>D8-G8</f>
        <v>297907</v>
      </c>
      <c r="F8" s="669">
        <f>G8/D8*100</f>
        <v>99.423833284982109</v>
      </c>
      <c r="G8" s="690">
        <f>'[2]Kiadások COFOG szerint'!G9</f>
        <v>51407093</v>
      </c>
      <c r="H8" s="711"/>
    </row>
    <row r="9" spans="1:8" x14ac:dyDescent="0.2">
      <c r="A9" s="712" t="s">
        <v>526</v>
      </c>
      <c r="B9" s="713" t="s">
        <v>527</v>
      </c>
      <c r="C9" s="710">
        <v>0</v>
      </c>
      <c r="D9" s="710">
        <v>0</v>
      </c>
      <c r="E9" s="710">
        <f t="shared" ref="E9:E20" si="0">D9-G9</f>
        <v>0</v>
      </c>
      <c r="F9" s="669"/>
      <c r="G9" s="714">
        <f>'[2]Kiadások COFOG szerint'!G10</f>
        <v>0</v>
      </c>
      <c r="H9" s="711"/>
    </row>
    <row r="10" spans="1:8" x14ac:dyDescent="0.2">
      <c r="A10" s="712" t="s">
        <v>528</v>
      </c>
      <c r="B10" s="713" t="s">
        <v>529</v>
      </c>
      <c r="C10" s="710">
        <v>0</v>
      </c>
      <c r="D10" s="710">
        <v>1338000</v>
      </c>
      <c r="E10" s="710">
        <f t="shared" si="0"/>
        <v>10900</v>
      </c>
      <c r="F10" s="669">
        <f t="shared" ref="F10:F33" si="1">G10/D10*100</f>
        <v>99.18535127055307</v>
      </c>
      <c r="G10" s="714">
        <f>'[2]Kiadások COFOG szerint'!G11</f>
        <v>1327100</v>
      </c>
      <c r="H10" s="711"/>
    </row>
    <row r="11" spans="1:8" ht="24" x14ac:dyDescent="0.2">
      <c r="A11" s="712" t="s">
        <v>381</v>
      </c>
      <c r="B11" s="713" t="s">
        <v>530</v>
      </c>
      <c r="C11" s="710">
        <v>500000</v>
      </c>
      <c r="D11" s="710">
        <v>0</v>
      </c>
      <c r="E11" s="710">
        <f t="shared" si="0"/>
        <v>0</v>
      </c>
      <c r="F11" s="669"/>
      <c r="G11" s="714">
        <f>'[2]Kiadások COFOG szerint'!G12</f>
        <v>0</v>
      </c>
      <c r="H11" s="711"/>
    </row>
    <row r="12" spans="1:8" x14ac:dyDescent="0.2">
      <c r="A12" s="712" t="s">
        <v>531</v>
      </c>
      <c r="B12" s="713" t="s">
        <v>532</v>
      </c>
      <c r="C12" s="710">
        <v>2823468</v>
      </c>
      <c r="D12" s="710">
        <v>3298000</v>
      </c>
      <c r="E12" s="710">
        <f t="shared" si="0"/>
        <v>200</v>
      </c>
      <c r="F12" s="669">
        <f t="shared" si="1"/>
        <v>99.993935718617337</v>
      </c>
      <c r="G12" s="714">
        <f>'[2]Kiadások COFOG szerint'!G13</f>
        <v>3297800</v>
      </c>
      <c r="H12" s="238"/>
    </row>
    <row r="13" spans="1:8" x14ac:dyDescent="0.2">
      <c r="A13" s="712" t="s">
        <v>383</v>
      </c>
      <c r="B13" s="713" t="s">
        <v>384</v>
      </c>
      <c r="C13" s="710">
        <v>2812000</v>
      </c>
      <c r="D13" s="710">
        <v>2500000</v>
      </c>
      <c r="E13" s="710">
        <f t="shared" si="0"/>
        <v>110287</v>
      </c>
      <c r="F13" s="669">
        <f t="shared" si="1"/>
        <v>95.588520000000003</v>
      </c>
      <c r="G13" s="714">
        <f>'[2]Kiadások COFOG szerint'!G14</f>
        <v>2389713</v>
      </c>
      <c r="H13" s="238"/>
    </row>
    <row r="14" spans="1:8" x14ac:dyDescent="0.2">
      <c r="A14" s="712" t="s">
        <v>385</v>
      </c>
      <c r="B14" s="713" t="s">
        <v>386</v>
      </c>
      <c r="C14" s="710">
        <v>550000</v>
      </c>
      <c r="D14" s="710">
        <v>150000</v>
      </c>
      <c r="E14" s="710">
        <f t="shared" si="0"/>
        <v>48063</v>
      </c>
      <c r="F14" s="669">
        <f t="shared" si="1"/>
        <v>67.957999999999998</v>
      </c>
      <c r="G14" s="714">
        <f>'[2]Kiadások COFOG szerint'!G15</f>
        <v>101937</v>
      </c>
      <c r="H14" s="711"/>
    </row>
    <row r="15" spans="1:8" x14ac:dyDescent="0.2">
      <c r="A15" s="712" t="s">
        <v>387</v>
      </c>
      <c r="B15" s="713" t="s">
        <v>388</v>
      </c>
      <c r="C15" s="710">
        <v>156000</v>
      </c>
      <c r="D15" s="710">
        <v>156000</v>
      </c>
      <c r="E15" s="710">
        <f t="shared" si="0"/>
        <v>1381</v>
      </c>
      <c r="F15" s="669">
        <f t="shared" si="1"/>
        <v>99.114743589743597</v>
      </c>
      <c r="G15" s="714">
        <f>'[2]Kiadások COFOG szerint'!G16</f>
        <v>154619</v>
      </c>
      <c r="H15" s="711"/>
    </row>
    <row r="16" spans="1:8" x14ac:dyDescent="0.2">
      <c r="A16" s="712" t="s">
        <v>389</v>
      </c>
      <c r="B16" s="713" t="s">
        <v>390</v>
      </c>
      <c r="C16" s="710">
        <v>100000</v>
      </c>
      <c r="D16" s="710">
        <v>0</v>
      </c>
      <c r="E16" s="710">
        <f t="shared" si="0"/>
        <v>0</v>
      </c>
      <c r="F16" s="669"/>
      <c r="G16" s="714">
        <f>'[2]Kiadások COFOG szerint'!G17</f>
        <v>0</v>
      </c>
      <c r="H16" s="711"/>
    </row>
    <row r="17" spans="1:11" x14ac:dyDescent="0.2">
      <c r="A17" s="712" t="s">
        <v>391</v>
      </c>
      <c r="B17" s="713" t="s">
        <v>392</v>
      </c>
      <c r="C17" s="710">
        <v>0</v>
      </c>
      <c r="D17" s="710">
        <v>3150800</v>
      </c>
      <c r="E17" s="710">
        <f t="shared" si="0"/>
        <v>27751</v>
      </c>
      <c r="F17" s="669">
        <f t="shared" si="1"/>
        <v>99.11923955820744</v>
      </c>
      <c r="G17" s="714">
        <f>'[2]Kiadások COFOG szerint'!G18+'[2]Kiadások COFOG szerint'!G39</f>
        <v>3123049</v>
      </c>
      <c r="H17" s="238"/>
    </row>
    <row r="18" spans="1:11" x14ac:dyDescent="0.2">
      <c r="A18" s="712" t="s">
        <v>533</v>
      </c>
      <c r="B18" s="713" t="s">
        <v>534</v>
      </c>
      <c r="C18" s="710">
        <v>0</v>
      </c>
      <c r="D18" s="710">
        <v>0</v>
      </c>
      <c r="E18" s="710">
        <f t="shared" si="0"/>
        <v>0</v>
      </c>
      <c r="F18" s="669"/>
      <c r="G18" s="714">
        <v>0</v>
      </c>
      <c r="H18" s="238"/>
    </row>
    <row r="19" spans="1:11" ht="21" x14ac:dyDescent="0.2">
      <c r="A19" s="715" t="s">
        <v>395</v>
      </c>
      <c r="B19" s="716" t="s">
        <v>396</v>
      </c>
      <c r="C19" s="717">
        <v>8400000</v>
      </c>
      <c r="D19" s="718">
        <v>633000</v>
      </c>
      <c r="E19" s="710">
        <f t="shared" si="0"/>
        <v>14200</v>
      </c>
      <c r="F19" s="669">
        <f t="shared" si="1"/>
        <v>97.756714060031584</v>
      </c>
      <c r="G19" s="714">
        <f>'[2]Kiadások COFOG szerint'!G19</f>
        <v>618800</v>
      </c>
      <c r="H19" s="238"/>
    </row>
    <row r="20" spans="1:11" ht="13.5" thickBot="1" x14ac:dyDescent="0.25">
      <c r="A20" s="715" t="s">
        <v>397</v>
      </c>
      <c r="B20" s="719" t="s">
        <v>535</v>
      </c>
      <c r="C20" s="720"/>
      <c r="D20" s="720">
        <v>1209480</v>
      </c>
      <c r="E20" s="710">
        <f t="shared" si="0"/>
        <v>21677</v>
      </c>
      <c r="F20" s="669">
        <f t="shared" si="1"/>
        <v>98.207742170188837</v>
      </c>
      <c r="G20" s="714">
        <f>'[2]Kiadások COFOG szerint'!G41</f>
        <v>1187803</v>
      </c>
      <c r="H20" s="238"/>
    </row>
    <row r="21" spans="1:11" ht="13.5" thickBot="1" x14ac:dyDescent="0.25">
      <c r="A21" s="1074" t="s">
        <v>3</v>
      </c>
      <c r="B21" s="1075"/>
      <c r="C21" s="696">
        <v>56493693</v>
      </c>
      <c r="D21" s="697">
        <v>64140280</v>
      </c>
      <c r="E21" s="698">
        <f>SUM(E8:E20)</f>
        <v>532366</v>
      </c>
      <c r="F21" s="699">
        <f t="shared" si="1"/>
        <v>99.169997386977414</v>
      </c>
      <c r="G21" s="697">
        <f>SUM(G8:G20)</f>
        <v>63607914</v>
      </c>
      <c r="I21" s="15"/>
    </row>
    <row r="22" spans="1:11" x14ac:dyDescent="0.2">
      <c r="A22" s="708" t="s">
        <v>399</v>
      </c>
      <c r="B22" s="709" t="s">
        <v>400</v>
      </c>
      <c r="C22" s="710">
        <v>11579939</v>
      </c>
      <c r="D22" s="710">
        <v>11795552</v>
      </c>
      <c r="E22" s="710">
        <f>D22-G22</f>
        <v>68976</v>
      </c>
      <c r="F22" s="669">
        <f t="shared" si="1"/>
        <v>99.415237201277222</v>
      </c>
      <c r="G22" s="690">
        <f>'[2]Kiadások COFOG szerint'!G21+'[2]Kiadások COFOG szerint'!G43</f>
        <v>11726576</v>
      </c>
      <c r="H22" s="711"/>
    </row>
    <row r="23" spans="1:11" ht="13.5" thickBot="1" x14ac:dyDescent="0.25">
      <c r="A23" s="715" t="s">
        <v>401</v>
      </c>
      <c r="B23" s="719" t="s">
        <v>402</v>
      </c>
      <c r="C23" s="720">
        <v>0</v>
      </c>
      <c r="D23" s="720">
        <v>294000</v>
      </c>
      <c r="E23" s="710">
        <f>D23-G23</f>
        <v>28233</v>
      </c>
      <c r="F23" s="669">
        <f t="shared" si="1"/>
        <v>90.396938775510208</v>
      </c>
      <c r="G23" s="690">
        <f>'[2]Kiadások COFOG szerint'!G22+'[2]Kiadások COFOG szerint'!G44</f>
        <v>265767</v>
      </c>
      <c r="H23" s="711"/>
    </row>
    <row r="24" spans="1:11" ht="13.5" thickBot="1" x14ac:dyDescent="0.25">
      <c r="A24" s="1076" t="s">
        <v>60</v>
      </c>
      <c r="B24" s="1075"/>
      <c r="C24" s="696">
        <v>11579939</v>
      </c>
      <c r="D24" s="697">
        <v>12089552</v>
      </c>
      <c r="E24" s="697">
        <f>SUM(E22:E23)</f>
        <v>97209</v>
      </c>
      <c r="F24" s="699">
        <f t="shared" si="1"/>
        <v>99.195925539672601</v>
      </c>
      <c r="G24" s="697">
        <f>SUM(G22:G23)</f>
        <v>11992343</v>
      </c>
    </row>
    <row r="25" spans="1:11" x14ac:dyDescent="0.2">
      <c r="A25" s="721" t="s">
        <v>403</v>
      </c>
      <c r="B25" s="722" t="s">
        <v>404</v>
      </c>
      <c r="C25" s="710">
        <v>100000</v>
      </c>
      <c r="D25" s="710">
        <v>100000</v>
      </c>
      <c r="E25" s="710">
        <f>D25-G25</f>
        <v>91480</v>
      </c>
      <c r="F25" s="669">
        <f t="shared" si="1"/>
        <v>8.52</v>
      </c>
      <c r="G25" s="690">
        <f>'[2]Kiadások COFOG szerint'!G24</f>
        <v>8520</v>
      </c>
      <c r="H25" s="711"/>
      <c r="I25" s="238"/>
      <c r="J25" s="238"/>
    </row>
    <row r="26" spans="1:11" x14ac:dyDescent="0.2">
      <c r="A26" s="721" t="s">
        <v>411</v>
      </c>
      <c r="B26" s="723" t="s">
        <v>412</v>
      </c>
      <c r="C26" s="724">
        <v>100000</v>
      </c>
      <c r="D26" s="724">
        <v>161000</v>
      </c>
      <c r="E26" s="710">
        <f t="shared" ref="E26:E33" si="2">D26-G26</f>
        <v>56162</v>
      </c>
      <c r="F26" s="725">
        <f t="shared" si="1"/>
        <v>65.116770186335401</v>
      </c>
      <c r="G26" s="714">
        <f>'[2]Kiadások COFOG szerint'!G25+'[2]Kiadások COFOG szerint'!G46</f>
        <v>104838</v>
      </c>
      <c r="H26" s="711"/>
      <c r="I26" s="238"/>
      <c r="J26" s="238"/>
    </row>
    <row r="27" spans="1:11" x14ac:dyDescent="0.2">
      <c r="A27" s="721" t="s">
        <v>536</v>
      </c>
      <c r="B27" s="713" t="s">
        <v>426</v>
      </c>
      <c r="C27" s="724">
        <v>435000</v>
      </c>
      <c r="D27" s="724">
        <v>435000</v>
      </c>
      <c r="E27" s="710">
        <f t="shared" si="2"/>
        <v>206568</v>
      </c>
      <c r="F27" s="725">
        <f t="shared" si="1"/>
        <v>52.513103448275864</v>
      </c>
      <c r="G27" s="714">
        <f>'[2]Kiadások COFOG szerint'!G26</f>
        <v>228432</v>
      </c>
      <c r="H27" s="711"/>
      <c r="I27" s="238"/>
      <c r="J27" s="238"/>
    </row>
    <row r="28" spans="1:11" x14ac:dyDescent="0.2">
      <c r="A28" s="721" t="s">
        <v>537</v>
      </c>
      <c r="B28" s="723" t="s">
        <v>538</v>
      </c>
      <c r="C28" s="724">
        <v>40000</v>
      </c>
      <c r="D28" s="724">
        <v>40000</v>
      </c>
      <c r="E28" s="710">
        <f t="shared" si="2"/>
        <v>7468</v>
      </c>
      <c r="F28" s="725">
        <f t="shared" si="1"/>
        <v>81.33</v>
      </c>
      <c r="G28" s="714">
        <f>'[2]Kiadások COFOG szerint'!G27</f>
        <v>32532</v>
      </c>
      <c r="H28" s="711"/>
      <c r="I28" s="238"/>
      <c r="J28" s="238"/>
    </row>
    <row r="29" spans="1:11" x14ac:dyDescent="0.2">
      <c r="A29" s="721" t="s">
        <v>445</v>
      </c>
      <c r="B29" s="723" t="s">
        <v>446</v>
      </c>
      <c r="C29" s="724">
        <v>1000000</v>
      </c>
      <c r="D29" s="724">
        <v>1737168</v>
      </c>
      <c r="E29" s="710">
        <f t="shared" si="2"/>
        <v>28</v>
      </c>
      <c r="F29" s="725">
        <f t="shared" si="1"/>
        <v>99.998388181223703</v>
      </c>
      <c r="G29" s="714">
        <f>'[2]Kiadások COFOG szerint'!G28</f>
        <v>1737140</v>
      </c>
      <c r="H29" s="711"/>
      <c r="I29" s="238"/>
      <c r="J29" s="238"/>
      <c r="K29" s="238"/>
    </row>
    <row r="30" spans="1:11" x14ac:dyDescent="0.2">
      <c r="A30" s="721" t="s">
        <v>447</v>
      </c>
      <c r="B30" s="723" t="s">
        <v>448</v>
      </c>
      <c r="C30" s="724">
        <v>400000</v>
      </c>
      <c r="D30" s="724">
        <v>445735</v>
      </c>
      <c r="E30" s="710">
        <f t="shared" si="2"/>
        <v>12474</v>
      </c>
      <c r="F30" s="725">
        <f t="shared" si="1"/>
        <v>97.201476213445204</v>
      </c>
      <c r="G30" s="714">
        <f>'[2]Kiadások COFOG szerint'!G29</f>
        <v>433261</v>
      </c>
      <c r="H30" s="711"/>
      <c r="I30" s="238"/>
      <c r="J30" s="238"/>
      <c r="K30" s="711"/>
    </row>
    <row r="31" spans="1:11" x14ac:dyDescent="0.2">
      <c r="A31" s="708" t="s">
        <v>539</v>
      </c>
      <c r="B31" s="713" t="s">
        <v>540</v>
      </c>
      <c r="C31" s="724">
        <v>0</v>
      </c>
      <c r="D31" s="724">
        <v>395000</v>
      </c>
      <c r="E31" s="710">
        <f t="shared" si="2"/>
        <v>818</v>
      </c>
      <c r="F31" s="725">
        <f t="shared" si="1"/>
        <v>99.79291139240506</v>
      </c>
      <c r="G31" s="714">
        <f>'[2]Kiadások COFOG szerint'!G30</f>
        <v>394182</v>
      </c>
      <c r="H31" s="711"/>
      <c r="I31" s="238"/>
      <c r="J31" s="238"/>
      <c r="K31" s="711"/>
    </row>
    <row r="32" spans="1:11" ht="24" x14ac:dyDescent="0.2">
      <c r="A32" s="712" t="s">
        <v>451</v>
      </c>
      <c r="B32" s="713" t="s">
        <v>541</v>
      </c>
      <c r="C32" s="724">
        <v>425000</v>
      </c>
      <c r="D32" s="724">
        <v>213076</v>
      </c>
      <c r="E32" s="710">
        <f t="shared" si="2"/>
        <v>80746</v>
      </c>
      <c r="F32" s="725">
        <f t="shared" si="1"/>
        <v>62.104601175167552</v>
      </c>
      <c r="G32" s="714">
        <f>'[2]Kiadások COFOG szerint'!G31+'[2]Kiadások COFOG szerint'!G47</f>
        <v>132330</v>
      </c>
      <c r="H32" s="711"/>
      <c r="I32" s="238"/>
      <c r="J32" s="238"/>
      <c r="K32" s="711"/>
    </row>
    <row r="33" spans="1:11" ht="13.5" thickBot="1" x14ac:dyDescent="0.25">
      <c r="A33" s="715" t="s">
        <v>457</v>
      </c>
      <c r="B33" s="719" t="s">
        <v>458</v>
      </c>
      <c r="C33" s="726">
        <v>0</v>
      </c>
      <c r="D33" s="726">
        <v>183265</v>
      </c>
      <c r="E33" s="710">
        <f t="shared" si="2"/>
        <v>1110</v>
      </c>
      <c r="F33" s="725">
        <f t="shared" si="1"/>
        <v>99.394319700979466</v>
      </c>
      <c r="G33" s="727">
        <f>'[2]Kiadások COFOG szerint'!G32+'[2]Kiadások COFOG szerint'!G48</f>
        <v>182155</v>
      </c>
      <c r="H33" s="711"/>
      <c r="I33" s="238"/>
      <c r="J33" s="238"/>
      <c r="K33" s="711"/>
    </row>
    <row r="34" spans="1:11" ht="13.5" thickBot="1" x14ac:dyDescent="0.25">
      <c r="A34" s="1074" t="s">
        <v>5</v>
      </c>
      <c r="B34" s="1075"/>
      <c r="C34" s="696">
        <v>2500000</v>
      </c>
      <c r="D34" s="697">
        <v>3710244</v>
      </c>
      <c r="E34" s="697">
        <f>SUM(E25:E33)</f>
        <v>456854</v>
      </c>
      <c r="F34" s="700">
        <f>G34/D34*100</f>
        <v>87.686685835217304</v>
      </c>
      <c r="G34" s="697">
        <f>SUM(G25:G33)</f>
        <v>3253390</v>
      </c>
      <c r="K34" s="711"/>
    </row>
    <row r="35" spans="1:11" ht="13.5" thickBot="1" x14ac:dyDescent="0.25">
      <c r="A35" s="598" t="s">
        <v>542</v>
      </c>
      <c r="B35" s="701" t="s">
        <v>543</v>
      </c>
      <c r="C35" s="702">
        <v>633168</v>
      </c>
      <c r="D35" s="702">
        <v>0</v>
      </c>
      <c r="E35" s="656">
        <f>D35-G35</f>
        <v>0</v>
      </c>
      <c r="F35" s="703"/>
      <c r="G35" s="655">
        <f>'[2]Kiadások COFOG szerint'!G34</f>
        <v>0</v>
      </c>
      <c r="K35" s="711"/>
    </row>
    <row r="36" spans="1:11" ht="16.5" thickBot="1" x14ac:dyDescent="0.25">
      <c r="A36" s="1077" t="s">
        <v>507</v>
      </c>
      <c r="B36" s="1078"/>
      <c r="C36" s="704">
        <v>71206800</v>
      </c>
      <c r="D36" s="705">
        <v>79940076</v>
      </c>
      <c r="E36" s="705">
        <f t="shared" ref="E36:G36" si="3">E21+E24+E34+E35</f>
        <v>1086429</v>
      </c>
      <c r="F36" s="706">
        <f>G36/D36*100</f>
        <v>98.640945750414346</v>
      </c>
      <c r="G36" s="705">
        <f t="shared" si="3"/>
        <v>78853647</v>
      </c>
      <c r="H36" s="707"/>
      <c r="K36" s="711"/>
    </row>
    <row r="37" spans="1:11" x14ac:dyDescent="0.2">
      <c r="K37" s="711"/>
    </row>
    <row r="38" spans="1:11" x14ac:dyDescent="0.2">
      <c r="A38" s="582"/>
      <c r="B38" s="582" t="s">
        <v>375</v>
      </c>
      <c r="C38" s="583">
        <f>C36-'[2]Kiadások COFOG szerint'!C52</f>
        <v>0</v>
      </c>
      <c r="D38" s="583">
        <f>D36-'[2]Kiadások COFOG szerint'!D52</f>
        <v>0</v>
      </c>
      <c r="E38" s="583">
        <f>E36-'[2]Kiadások COFOG szerint'!E52</f>
        <v>0</v>
      </c>
      <c r="F38" s="583"/>
      <c r="G38" s="583">
        <f>G36-'[2]Kiadások COFOG szerint'!G52</f>
        <v>0</v>
      </c>
      <c r="K38" s="711"/>
    </row>
    <row r="39" spans="1:11" x14ac:dyDescent="0.2">
      <c r="K39" s="711"/>
    </row>
    <row r="40" spans="1:11" x14ac:dyDescent="0.2">
      <c r="K40" s="711"/>
    </row>
    <row r="41" spans="1:11" x14ac:dyDescent="0.2">
      <c r="K41" s="711"/>
    </row>
    <row r="42" spans="1:11" x14ac:dyDescent="0.2">
      <c r="K42" s="711"/>
    </row>
    <row r="43" spans="1:11" x14ac:dyDescent="0.2">
      <c r="K43" s="711"/>
    </row>
    <row r="44" spans="1:11" x14ac:dyDescent="0.2">
      <c r="K44" s="711"/>
    </row>
    <row r="45" spans="1:11" x14ac:dyDescent="0.2">
      <c r="K45" s="238"/>
    </row>
    <row r="46" spans="1:11" x14ac:dyDescent="0.2">
      <c r="K46" s="238"/>
    </row>
    <row r="47" spans="1:11" x14ac:dyDescent="0.2">
      <c r="K47" s="238"/>
    </row>
    <row r="48" spans="1:11" x14ac:dyDescent="0.2">
      <c r="K48" s="238"/>
    </row>
    <row r="49" spans="11:11" x14ac:dyDescent="0.2">
      <c r="K49" s="238"/>
    </row>
    <row r="50" spans="11:11" x14ac:dyDescent="0.2">
      <c r="K50" s="238"/>
    </row>
  </sheetData>
  <mergeCells count="10">
    <mergeCell ref="A21:B21"/>
    <mergeCell ref="A24:B24"/>
    <mergeCell ref="A34:B34"/>
    <mergeCell ref="A36:B36"/>
    <mergeCell ref="A2:G2"/>
    <mergeCell ref="A3:G3"/>
    <mergeCell ref="A5:G5"/>
    <mergeCell ref="A6:A7"/>
    <mergeCell ref="B6:B7"/>
    <mergeCell ref="C6: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3784-BF3C-475A-ADF4-126A71E64275}">
  <dimension ref="A1:G16"/>
  <sheetViews>
    <sheetView workbookViewId="0">
      <selection activeCell="A8" sqref="A8:G14"/>
    </sheetView>
  </sheetViews>
  <sheetFormatPr defaultRowHeight="12.75" x14ac:dyDescent="0.2"/>
  <cols>
    <col min="1" max="1" width="12.28515625" customWidth="1"/>
    <col min="2" max="2" width="37.28515625" customWidth="1"/>
    <col min="3" max="3" width="13.42578125" customWidth="1"/>
    <col min="4" max="4" width="11.85546875" customWidth="1"/>
    <col min="5" max="5" width="11.7109375" customWidth="1"/>
    <col min="6" max="6" width="11.42578125" customWidth="1"/>
    <col min="7" max="7" width="12.28515625" customWidth="1"/>
  </cols>
  <sheetData>
    <row r="1" spans="1:7" x14ac:dyDescent="0.2">
      <c r="F1" s="12"/>
      <c r="G1" s="12"/>
    </row>
    <row r="2" spans="1:7" x14ac:dyDescent="0.2">
      <c r="A2" s="1093" t="s">
        <v>267</v>
      </c>
      <c r="B2" s="1093"/>
      <c r="C2" s="1093"/>
      <c r="D2" s="1093"/>
      <c r="E2" s="1093"/>
      <c r="F2" s="1093"/>
      <c r="G2" s="1093"/>
    </row>
    <row r="3" spans="1:7" x14ac:dyDescent="0.2">
      <c r="A3" s="1093" t="s">
        <v>544</v>
      </c>
      <c r="B3" s="1093"/>
      <c r="C3" s="1093"/>
      <c r="D3" s="1093"/>
      <c r="E3" s="1093"/>
      <c r="F3" s="1093"/>
      <c r="G3" s="1093"/>
    </row>
    <row r="4" spans="1:7" ht="13.5" thickBot="1" x14ac:dyDescent="0.25">
      <c r="A4" s="728"/>
      <c r="B4" s="728"/>
      <c r="C4" s="728"/>
      <c r="D4" s="728"/>
      <c r="E4" s="728"/>
      <c r="F4" s="728"/>
      <c r="G4" s="729" t="s">
        <v>305</v>
      </c>
    </row>
    <row r="5" spans="1:7" ht="24" customHeight="1" x14ac:dyDescent="0.2">
      <c r="A5" s="1094" t="s">
        <v>1</v>
      </c>
      <c r="B5" s="1095"/>
      <c r="C5" s="1095"/>
      <c r="D5" s="1095"/>
      <c r="E5" s="1095"/>
      <c r="F5" s="1095"/>
      <c r="G5" s="1096"/>
    </row>
    <row r="6" spans="1:7" ht="18.75" customHeight="1" x14ac:dyDescent="0.2">
      <c r="A6" s="1097" t="s">
        <v>306</v>
      </c>
      <c r="B6" s="1099" t="s">
        <v>307</v>
      </c>
      <c r="C6" s="1101">
        <v>2019</v>
      </c>
      <c r="D6" s="1070"/>
      <c r="E6" s="1070"/>
      <c r="F6" s="1071"/>
      <c r="G6" s="730">
        <v>2019</v>
      </c>
    </row>
    <row r="7" spans="1:7" ht="21.75" thickBot="1" x14ac:dyDescent="0.25">
      <c r="A7" s="1098"/>
      <c r="B7" s="1100"/>
      <c r="C7" s="731" t="s">
        <v>82</v>
      </c>
      <c r="D7" s="731" t="s">
        <v>510</v>
      </c>
      <c r="E7" s="732" t="s">
        <v>236</v>
      </c>
      <c r="F7" s="731" t="s">
        <v>63</v>
      </c>
      <c r="G7" s="733" t="s">
        <v>272</v>
      </c>
    </row>
    <row r="8" spans="1:7" ht="21" x14ac:dyDescent="0.2">
      <c r="A8" s="739" t="s">
        <v>321</v>
      </c>
      <c r="B8" s="740" t="s">
        <v>545</v>
      </c>
      <c r="C8" s="741">
        <v>0</v>
      </c>
      <c r="D8" s="741">
        <v>0</v>
      </c>
      <c r="E8" s="742">
        <f>G8-D8</f>
        <v>0</v>
      </c>
      <c r="F8" s="743"/>
      <c r="G8" s="744">
        <v>0</v>
      </c>
    </row>
    <row r="9" spans="1:7" x14ac:dyDescent="0.2">
      <c r="A9" s="745" t="s">
        <v>347</v>
      </c>
      <c r="B9" s="746" t="s">
        <v>47</v>
      </c>
      <c r="C9" s="742">
        <v>0</v>
      </c>
      <c r="D9" s="742">
        <v>28000</v>
      </c>
      <c r="E9" s="742">
        <f>G9-D9</f>
        <v>0</v>
      </c>
      <c r="F9" s="743">
        <f t="shared" ref="F9:F10" si="0">G9/D9*100</f>
        <v>100</v>
      </c>
      <c r="G9" s="747">
        <f>'[3]Bevételek COFOG'!G18</f>
        <v>28000</v>
      </c>
    </row>
    <row r="10" spans="1:7" x14ac:dyDescent="0.2">
      <c r="A10" s="745" t="s">
        <v>254</v>
      </c>
      <c r="B10" s="748" t="s">
        <v>521</v>
      </c>
      <c r="C10" s="742">
        <v>0</v>
      </c>
      <c r="D10" s="742">
        <v>1370012</v>
      </c>
      <c r="E10" s="742">
        <f t="shared" ref="E10:E11" si="1">G10-D10</f>
        <v>-6013</v>
      </c>
      <c r="F10" s="743">
        <f t="shared" si="0"/>
        <v>99.561098734901591</v>
      </c>
      <c r="G10" s="747">
        <f>'[3]Bevételek COFOG'!G19</f>
        <v>1363999</v>
      </c>
    </row>
    <row r="11" spans="1:7" ht="21" x14ac:dyDescent="0.2">
      <c r="A11" s="745" t="s">
        <v>371</v>
      </c>
      <c r="B11" s="748" t="s">
        <v>372</v>
      </c>
      <c r="C11" s="742">
        <v>298000</v>
      </c>
      <c r="D11" s="749">
        <v>298687</v>
      </c>
      <c r="E11" s="742">
        <f t="shared" si="1"/>
        <v>0</v>
      </c>
      <c r="F11" s="743">
        <f>G11/D11*100</f>
        <v>100</v>
      </c>
      <c r="G11" s="750">
        <f>'[3]Bevételek COFOG'!G9</f>
        <v>298687</v>
      </c>
    </row>
    <row r="12" spans="1:7" x14ac:dyDescent="0.2">
      <c r="A12" s="1089" t="s">
        <v>511</v>
      </c>
      <c r="B12" s="751" t="s">
        <v>512</v>
      </c>
      <c r="C12" s="752">
        <v>63412301</v>
      </c>
      <c r="D12" s="753">
        <v>63412301</v>
      </c>
      <c r="E12" s="749">
        <f>G12-D12</f>
        <v>-1044896</v>
      </c>
      <c r="F12" s="743">
        <f t="shared" ref="F12:F14" si="2">G12/D12*100</f>
        <v>98.35221875957474</v>
      </c>
      <c r="G12" s="754">
        <f>G13+G14</f>
        <v>62367405</v>
      </c>
    </row>
    <row r="13" spans="1:7" x14ac:dyDescent="0.2">
      <c r="A13" s="1090"/>
      <c r="B13" s="755" t="s">
        <v>513</v>
      </c>
      <c r="C13" s="756">
        <v>63412301</v>
      </c>
      <c r="D13" s="757">
        <v>57505634</v>
      </c>
      <c r="E13" s="749">
        <f t="shared" ref="E13:E14" si="3">G13-D13</f>
        <v>0</v>
      </c>
      <c r="F13" s="743">
        <f t="shared" si="2"/>
        <v>100</v>
      </c>
      <c r="G13" s="758">
        <f>'[3]Bevételek COFOG'!G11</f>
        <v>57505634</v>
      </c>
    </row>
    <row r="14" spans="1:7" ht="13.5" thickBot="1" x14ac:dyDescent="0.25">
      <c r="A14" s="1090"/>
      <c r="B14" s="759" t="s">
        <v>546</v>
      </c>
      <c r="C14" s="760"/>
      <c r="D14" s="761">
        <v>5906667</v>
      </c>
      <c r="E14" s="749">
        <f t="shared" si="3"/>
        <v>-1044896</v>
      </c>
      <c r="F14" s="743">
        <f t="shared" si="2"/>
        <v>82.309888131496152</v>
      </c>
      <c r="G14" s="762">
        <f>'[3]Bevételek COFOG'!G12</f>
        <v>4861771</v>
      </c>
    </row>
    <row r="15" spans="1:7" ht="13.5" thickBot="1" x14ac:dyDescent="0.25">
      <c r="A15" s="1091" t="s">
        <v>374</v>
      </c>
      <c r="B15" s="1092"/>
      <c r="C15" s="734">
        <f>C8+C9+C10+C11+C12</f>
        <v>63710301</v>
      </c>
      <c r="D15" s="734">
        <v>65109000</v>
      </c>
      <c r="E15" s="734">
        <f>E8+E9+E10+E11+E12</f>
        <v>-1050909</v>
      </c>
      <c r="F15" s="735">
        <f>G15/D15*100</f>
        <v>98.385923605031564</v>
      </c>
      <c r="G15" s="734">
        <f t="shared" ref="G15" si="4">G8+G9+G10+G11+G12</f>
        <v>64058091</v>
      </c>
    </row>
    <row r="16" spans="1:7" ht="24.95" customHeight="1" x14ac:dyDescent="0.2">
      <c r="A16" s="736"/>
      <c r="B16" s="736"/>
      <c r="C16" s="736"/>
      <c r="D16" s="737"/>
      <c r="E16" s="737"/>
      <c r="F16" s="738"/>
      <c r="G16" s="737"/>
    </row>
  </sheetData>
  <mergeCells count="8">
    <mergeCell ref="A12:A14"/>
    <mergeCell ref="A15:B15"/>
    <mergeCell ref="A2:G2"/>
    <mergeCell ref="A3:G3"/>
    <mergeCell ref="A5:G5"/>
    <mergeCell ref="A6:A7"/>
    <mergeCell ref="B6:B7"/>
    <mergeCell ref="C6:F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6D78C-F61D-48B8-995E-D9D28B18B3A1}">
  <dimension ref="A1:K43"/>
  <sheetViews>
    <sheetView workbookViewId="0">
      <selection activeCell="K26" sqref="K26:K43"/>
    </sheetView>
  </sheetViews>
  <sheetFormatPr defaultRowHeight="12.75" x14ac:dyDescent="0.2"/>
  <cols>
    <col min="1" max="1" width="12.28515625" customWidth="1"/>
    <col min="2" max="2" width="38.140625" customWidth="1"/>
    <col min="3" max="3" width="15.140625" customWidth="1"/>
    <col min="4" max="4" width="15.28515625" customWidth="1"/>
    <col min="5" max="5" width="13.140625" customWidth="1"/>
    <col min="6" max="6" width="9.7109375" customWidth="1"/>
    <col min="7" max="7" width="17" customWidth="1"/>
    <col min="8" max="9" width="10.140625" bestFit="1" customWidth="1"/>
  </cols>
  <sheetData>
    <row r="1" spans="1:9" x14ac:dyDescent="0.2">
      <c r="F1" s="12"/>
      <c r="G1" s="12"/>
    </row>
    <row r="2" spans="1:9" x14ac:dyDescent="0.2">
      <c r="A2" s="1093" t="s">
        <v>267</v>
      </c>
      <c r="B2" s="1093"/>
      <c r="C2" s="1093"/>
      <c r="D2" s="1093"/>
      <c r="E2" s="1093"/>
      <c r="F2" s="1093"/>
      <c r="G2" s="1093"/>
    </row>
    <row r="3" spans="1:9" x14ac:dyDescent="0.2">
      <c r="A3" s="1093" t="s">
        <v>544</v>
      </c>
      <c r="B3" s="1093"/>
      <c r="C3" s="1093"/>
      <c r="D3" s="1093"/>
      <c r="E3" s="1093"/>
      <c r="F3" s="1093"/>
      <c r="G3" s="1093"/>
    </row>
    <row r="4" spans="1:9" ht="13.5" thickBot="1" x14ac:dyDescent="0.25">
      <c r="G4" s="519" t="s">
        <v>305</v>
      </c>
    </row>
    <row r="5" spans="1:9" ht="13.5" thickBot="1" x14ac:dyDescent="0.25">
      <c r="A5" s="1107" t="s">
        <v>2</v>
      </c>
      <c r="B5" s="1108"/>
      <c r="C5" s="1108"/>
      <c r="D5" s="1108"/>
      <c r="E5" s="1108"/>
      <c r="F5" s="1108"/>
      <c r="G5" s="1109"/>
    </row>
    <row r="6" spans="1:9" ht="15.75" customHeight="1" x14ac:dyDescent="0.2">
      <c r="A6" s="1110" t="s">
        <v>306</v>
      </c>
      <c r="B6" s="1112" t="s">
        <v>307</v>
      </c>
      <c r="C6" s="1114">
        <v>2019</v>
      </c>
      <c r="D6" s="1087"/>
      <c r="E6" s="1087"/>
      <c r="F6" s="1088"/>
      <c r="G6" s="763">
        <v>2019</v>
      </c>
    </row>
    <row r="7" spans="1:9" ht="21.75" thickBot="1" x14ac:dyDescent="0.25">
      <c r="A7" s="1111"/>
      <c r="B7" s="1113"/>
      <c r="C7" s="764" t="s">
        <v>82</v>
      </c>
      <c r="D7" s="765" t="s">
        <v>525</v>
      </c>
      <c r="E7" s="764" t="s">
        <v>236</v>
      </c>
      <c r="F7" s="764" t="s">
        <v>63</v>
      </c>
      <c r="G7" s="766" t="s">
        <v>272</v>
      </c>
    </row>
    <row r="8" spans="1:9" x14ac:dyDescent="0.2">
      <c r="A8" s="787" t="s">
        <v>377</v>
      </c>
      <c r="B8" s="788" t="s">
        <v>378</v>
      </c>
      <c r="C8" s="789">
        <v>44564940</v>
      </c>
      <c r="D8" s="789">
        <v>41993771</v>
      </c>
      <c r="E8" s="789">
        <f>D8-G8</f>
        <v>200102</v>
      </c>
      <c r="F8" s="790">
        <f>G8/D8*100</f>
        <v>99.523495996584828</v>
      </c>
      <c r="G8" s="791">
        <f>'[3]Kiadások COFOG szerint'!G9+'[3]Kiadások COFOG szerint'!G24+'[3]Kiadások COFOG szerint'!G63+'[3]Kiadások COFOG szerint'!G77</f>
        <v>41793669</v>
      </c>
      <c r="H8" s="711"/>
    </row>
    <row r="9" spans="1:9" x14ac:dyDescent="0.2">
      <c r="A9" s="787" t="s">
        <v>528</v>
      </c>
      <c r="B9" s="788" t="s">
        <v>547</v>
      </c>
      <c r="C9" s="789">
        <v>0</v>
      </c>
      <c r="D9" s="789">
        <v>1606000</v>
      </c>
      <c r="E9" s="789">
        <f t="shared" ref="E9:E15" si="0">D9-G9</f>
        <v>50142</v>
      </c>
      <c r="F9" s="790"/>
      <c r="G9" s="791">
        <f>'[3]Kiadások COFOG szerint'!G10+'[3]Kiadások COFOG szerint'!G25+'[3]Kiadások COFOG szerint'!G64+'[3]Kiadások COFOG szerint'!G78</f>
        <v>1555858</v>
      </c>
      <c r="H9" s="711"/>
    </row>
    <row r="10" spans="1:9" x14ac:dyDescent="0.2">
      <c r="A10" s="787" t="s">
        <v>531</v>
      </c>
      <c r="B10" s="788" t="s">
        <v>532</v>
      </c>
      <c r="C10" s="789">
        <v>938080</v>
      </c>
      <c r="D10" s="789">
        <v>503080</v>
      </c>
      <c r="E10" s="789">
        <f t="shared" si="0"/>
        <v>0</v>
      </c>
      <c r="F10" s="790">
        <f t="shared" ref="F10:F14" si="1">G10/D10*100</f>
        <v>100</v>
      </c>
      <c r="G10" s="791">
        <f>'[3]Kiadások COFOG szerint'!G26</f>
        <v>503080</v>
      </c>
      <c r="H10" s="711"/>
    </row>
    <row r="11" spans="1:9" x14ac:dyDescent="0.2">
      <c r="A11" s="792" t="s">
        <v>383</v>
      </c>
      <c r="B11" s="793" t="s">
        <v>384</v>
      </c>
      <c r="C11" s="789">
        <v>360000</v>
      </c>
      <c r="D11" s="789">
        <v>1184000</v>
      </c>
      <c r="E11" s="789">
        <f t="shared" si="0"/>
        <v>14078</v>
      </c>
      <c r="F11" s="790">
        <f t="shared" si="1"/>
        <v>98.810979729729738</v>
      </c>
      <c r="G11" s="794">
        <f>'[3]Kiadások COFOG szerint'!G11+'[3]Kiadások COFOG szerint'!G27+'[3]Kiadások COFOG szerint'!G65+'[3]Kiadások COFOG szerint'!G79</f>
        <v>1169922</v>
      </c>
      <c r="H11" s="238"/>
    </row>
    <row r="12" spans="1:9" x14ac:dyDescent="0.2">
      <c r="A12" s="792" t="s">
        <v>385</v>
      </c>
      <c r="B12" s="793" t="s">
        <v>386</v>
      </c>
      <c r="C12" s="789">
        <v>450000</v>
      </c>
      <c r="D12" s="789">
        <v>215000</v>
      </c>
      <c r="E12" s="789">
        <f t="shared" si="0"/>
        <v>765</v>
      </c>
      <c r="F12" s="790">
        <f t="shared" si="1"/>
        <v>99.644186046511635</v>
      </c>
      <c r="G12" s="794">
        <f>'[3]Kiadások COFOG szerint'!G12+'[3]Kiadások COFOG szerint'!G28</f>
        <v>214235</v>
      </c>
      <c r="H12" s="711"/>
    </row>
    <row r="13" spans="1:9" x14ac:dyDescent="0.2">
      <c r="A13" s="792" t="s">
        <v>387</v>
      </c>
      <c r="B13" s="793" t="s">
        <v>388</v>
      </c>
      <c r="C13" s="789">
        <v>360000</v>
      </c>
      <c r="D13" s="789">
        <v>345000</v>
      </c>
      <c r="E13" s="789">
        <f t="shared" si="0"/>
        <v>12000</v>
      </c>
      <c r="F13" s="790">
        <f t="shared" si="1"/>
        <v>96.521739130434781</v>
      </c>
      <c r="G13" s="794">
        <f>'[3]Kiadások COFOG szerint'!G13+'[3]Kiadások COFOG szerint'!G29+'[3]Kiadások COFOG szerint'!G66+'[3]Kiadások COFOG szerint'!G80</f>
        <v>333000</v>
      </c>
      <c r="H13" s="711"/>
    </row>
    <row r="14" spans="1:9" x14ac:dyDescent="0.2">
      <c r="A14" s="792" t="s">
        <v>391</v>
      </c>
      <c r="B14" s="793" t="s">
        <v>392</v>
      </c>
      <c r="C14" s="789">
        <v>360000</v>
      </c>
      <c r="D14" s="789">
        <v>1279000</v>
      </c>
      <c r="E14" s="789">
        <f t="shared" si="0"/>
        <v>55543</v>
      </c>
      <c r="F14" s="790">
        <f t="shared" si="1"/>
        <v>95.657310398749019</v>
      </c>
      <c r="G14" s="794">
        <f>'[3]Kiadások COFOG szerint'!G14+'[3]Kiadások COFOG szerint'!G67+'[3]Kiadások COFOG szerint'!G81+'[3]Kiadások COFOG szerint'!G30</f>
        <v>1223457</v>
      </c>
      <c r="H14" s="238"/>
    </row>
    <row r="15" spans="1:9" ht="32.25" thickBot="1" x14ac:dyDescent="0.25">
      <c r="A15" s="792" t="s">
        <v>395</v>
      </c>
      <c r="B15" s="793" t="s">
        <v>548</v>
      </c>
      <c r="C15" s="789">
        <v>0</v>
      </c>
      <c r="D15" s="789">
        <v>541500</v>
      </c>
      <c r="E15" s="789">
        <f t="shared" si="0"/>
        <v>0</v>
      </c>
      <c r="F15" s="790"/>
      <c r="G15" s="794">
        <f>'[3]Kiadások COFOG szerint'!G40</f>
        <v>541500</v>
      </c>
      <c r="H15" s="238"/>
    </row>
    <row r="16" spans="1:9" ht="13.5" thickBot="1" x14ac:dyDescent="0.25">
      <c r="A16" s="1102" t="s">
        <v>3</v>
      </c>
      <c r="B16" s="1103"/>
      <c r="C16" s="767">
        <v>47033020</v>
      </c>
      <c r="D16" s="768">
        <v>47667351</v>
      </c>
      <c r="E16" s="769">
        <f>SUM(E8:E15)</f>
        <v>332630</v>
      </c>
      <c r="F16" s="770">
        <f>G16/D16*100</f>
        <v>99.30218484345815</v>
      </c>
      <c r="G16" s="768">
        <f>SUM(G8:G15)</f>
        <v>47334721</v>
      </c>
      <c r="I16" s="15"/>
    </row>
    <row r="17" spans="1:11" x14ac:dyDescent="0.2">
      <c r="A17" s="787" t="s">
        <v>399</v>
      </c>
      <c r="B17" s="788" t="s">
        <v>400</v>
      </c>
      <c r="C17" s="789">
        <v>9222381</v>
      </c>
      <c r="D17" s="789">
        <v>8957050</v>
      </c>
      <c r="E17" s="789">
        <f>D17-G17</f>
        <v>210980</v>
      </c>
      <c r="F17" s="790">
        <f>G17/D17*100</f>
        <v>97.644536984833181</v>
      </c>
      <c r="G17" s="791">
        <f>'[3]Kiadások COFOG szerint'!G17+'[3]Kiadások COFOG szerint'!G33+'[3]Kiadások COFOG szerint'!G70+'[3]Kiadások COFOG szerint'!G84+'[3]Kiadások COFOG szerint'!G41</f>
        <v>8746070</v>
      </c>
      <c r="H17" s="711"/>
    </row>
    <row r="18" spans="1:11" ht="13.5" thickBot="1" x14ac:dyDescent="0.25">
      <c r="A18" s="795" t="s">
        <v>401</v>
      </c>
      <c r="B18" s="796" t="s">
        <v>402</v>
      </c>
      <c r="C18" s="797">
        <v>0</v>
      </c>
      <c r="D18" s="797">
        <v>211000</v>
      </c>
      <c r="E18" s="789">
        <f>D18-G18</f>
        <v>-22170</v>
      </c>
      <c r="F18" s="790"/>
      <c r="G18" s="791">
        <f>'[3]Kiadások COFOG szerint'!G18+'[3]Kiadások COFOG szerint'!G34+'[3]Kiadások COFOG szerint'!G71+'[3]Kiadások COFOG szerint'!G85</f>
        <v>233170</v>
      </c>
      <c r="H18" s="711"/>
    </row>
    <row r="19" spans="1:11" ht="13.5" thickBot="1" x14ac:dyDescent="0.25">
      <c r="A19" s="1104" t="s">
        <v>60</v>
      </c>
      <c r="B19" s="1103"/>
      <c r="C19" s="767">
        <v>9222381</v>
      </c>
      <c r="D19" s="768">
        <v>9168050</v>
      </c>
      <c r="E19" s="768">
        <f>SUM(E17:E18)</f>
        <v>188810</v>
      </c>
      <c r="F19" s="770">
        <f>G19/D19*100</f>
        <v>97.940565332867948</v>
      </c>
      <c r="G19" s="768">
        <f>SUM(G17:G18)</f>
        <v>8979240</v>
      </c>
    </row>
    <row r="20" spans="1:11" x14ac:dyDescent="0.2">
      <c r="A20" s="798" t="s">
        <v>403</v>
      </c>
      <c r="B20" s="799" t="s">
        <v>404</v>
      </c>
      <c r="C20" s="789">
        <v>270000</v>
      </c>
      <c r="D20" s="789">
        <v>240000</v>
      </c>
      <c r="E20" s="789">
        <f>D20-G20</f>
        <v>43848</v>
      </c>
      <c r="F20" s="790">
        <f>G20/D20*100</f>
        <v>81.73</v>
      </c>
      <c r="G20" s="791">
        <f>'[3]Kiadások COFOG szerint'!G42</f>
        <v>196152</v>
      </c>
      <c r="H20" s="711"/>
      <c r="I20" s="238"/>
    </row>
    <row r="21" spans="1:11" x14ac:dyDescent="0.2">
      <c r="A21" s="798" t="s">
        <v>411</v>
      </c>
      <c r="B21" s="800" t="s">
        <v>412</v>
      </c>
      <c r="C21" s="801">
        <v>750000</v>
      </c>
      <c r="D21" s="801">
        <v>825000</v>
      </c>
      <c r="E21" s="789">
        <f t="shared" ref="E21:E30" si="2">D21-G21</f>
        <v>59060</v>
      </c>
      <c r="F21" s="790">
        <f t="shared" ref="F21:F30" si="3">G21/D21*100</f>
        <v>92.841212121212124</v>
      </c>
      <c r="G21" s="794">
        <f>'[3]Kiadások COFOG szerint'!G43</f>
        <v>765940</v>
      </c>
      <c r="H21" s="711"/>
      <c r="I21" s="238"/>
    </row>
    <row r="22" spans="1:11" x14ac:dyDescent="0.2">
      <c r="A22" s="798" t="s">
        <v>536</v>
      </c>
      <c r="B22" s="793" t="s">
        <v>426</v>
      </c>
      <c r="C22" s="801">
        <v>100000</v>
      </c>
      <c r="D22" s="801">
        <v>100000</v>
      </c>
      <c r="E22" s="789">
        <f t="shared" si="2"/>
        <v>31719</v>
      </c>
      <c r="F22" s="790">
        <f t="shared" si="3"/>
        <v>68.281000000000006</v>
      </c>
      <c r="G22" s="794">
        <f>'[3]Kiadások COFOG szerint'!G44</f>
        <v>68281</v>
      </c>
      <c r="H22" s="711"/>
      <c r="I22" s="238"/>
    </row>
    <row r="23" spans="1:11" x14ac:dyDescent="0.2">
      <c r="A23" s="798" t="s">
        <v>537</v>
      </c>
      <c r="B23" s="800" t="s">
        <v>538</v>
      </c>
      <c r="C23" s="801">
        <v>200000</v>
      </c>
      <c r="D23" s="801">
        <v>150000</v>
      </c>
      <c r="E23" s="789">
        <f t="shared" si="2"/>
        <v>83846</v>
      </c>
      <c r="F23" s="790">
        <f t="shared" si="3"/>
        <v>44.102666666666664</v>
      </c>
      <c r="G23" s="794">
        <f>'[3]Kiadások COFOG szerint'!G45</f>
        <v>66154</v>
      </c>
      <c r="H23" s="711"/>
      <c r="I23" s="238"/>
    </row>
    <row r="24" spans="1:11" x14ac:dyDescent="0.2">
      <c r="A24" s="798" t="s">
        <v>429</v>
      </c>
      <c r="B24" s="800" t="s">
        <v>549</v>
      </c>
      <c r="C24" s="801">
        <v>2650000</v>
      </c>
      <c r="D24" s="801">
        <v>2870000</v>
      </c>
      <c r="E24" s="789">
        <f t="shared" si="2"/>
        <v>247221</v>
      </c>
      <c r="F24" s="790">
        <f t="shared" si="3"/>
        <v>91.386027874564462</v>
      </c>
      <c r="G24" s="794">
        <f>'[3]Kiadások COFOG szerint'!G46+'[3]Kiadások COFOG szerint'!G47+'[3]Kiadások COFOG szerint'!G48</f>
        <v>2622779</v>
      </c>
      <c r="H24" s="711"/>
      <c r="I24" s="238"/>
    </row>
    <row r="25" spans="1:11" x14ac:dyDescent="0.2">
      <c r="A25" s="798" t="s">
        <v>441</v>
      </c>
      <c r="B25" s="800" t="s">
        <v>550</v>
      </c>
      <c r="C25" s="801">
        <v>1000000</v>
      </c>
      <c r="D25" s="801">
        <v>574000</v>
      </c>
      <c r="E25" s="789">
        <f t="shared" si="2"/>
        <v>97444</v>
      </c>
      <c r="F25" s="790">
        <f t="shared" si="3"/>
        <v>83.023693379790942</v>
      </c>
      <c r="G25" s="794">
        <f>'[3]Kiadások COFOG szerint'!G49</f>
        <v>476556</v>
      </c>
      <c r="H25" s="711"/>
      <c r="I25" s="238"/>
    </row>
    <row r="26" spans="1:11" x14ac:dyDescent="0.2">
      <c r="A26" s="798" t="s">
        <v>445</v>
      </c>
      <c r="B26" s="800" t="s">
        <v>551</v>
      </c>
      <c r="C26" s="801">
        <v>150000</v>
      </c>
      <c r="D26" s="801">
        <v>226000</v>
      </c>
      <c r="E26" s="789">
        <f t="shared" si="2"/>
        <v>670</v>
      </c>
      <c r="F26" s="790">
        <f t="shared" si="3"/>
        <v>99.703539823008853</v>
      </c>
      <c r="G26" s="794">
        <f>'[3]Kiadások COFOG szerint'!G50</f>
        <v>225330</v>
      </c>
      <c r="H26" s="711"/>
      <c r="I26" s="238"/>
      <c r="K26" s="238"/>
    </row>
    <row r="27" spans="1:11" x14ac:dyDescent="0.2">
      <c r="A27" s="798" t="s">
        <v>447</v>
      </c>
      <c r="B27" s="800" t="s">
        <v>448</v>
      </c>
      <c r="C27" s="801">
        <v>700000</v>
      </c>
      <c r="D27" s="801">
        <v>445000</v>
      </c>
      <c r="E27" s="789">
        <f t="shared" si="2"/>
        <v>143517</v>
      </c>
      <c r="F27" s="790">
        <f t="shared" si="3"/>
        <v>67.748988764044952</v>
      </c>
      <c r="G27" s="794">
        <f>'[3]Kiadások COFOG szerint'!G51</f>
        <v>301483</v>
      </c>
      <c r="H27" s="711"/>
      <c r="I27" s="238"/>
      <c r="K27" s="711"/>
    </row>
    <row r="28" spans="1:11" x14ac:dyDescent="0.2">
      <c r="A28" s="802" t="s">
        <v>539</v>
      </c>
      <c r="B28" s="800" t="s">
        <v>540</v>
      </c>
      <c r="C28" s="801">
        <v>50000</v>
      </c>
      <c r="D28" s="801">
        <v>60000</v>
      </c>
      <c r="E28" s="789">
        <f t="shared" si="2"/>
        <v>9319</v>
      </c>
      <c r="F28" s="790">
        <f t="shared" si="3"/>
        <v>84.468333333333334</v>
      </c>
      <c r="G28" s="794">
        <f>'[3]Kiadások COFOG szerint'!G52</f>
        <v>50681</v>
      </c>
      <c r="H28" s="711"/>
      <c r="I28" s="238"/>
      <c r="K28" s="711"/>
    </row>
    <row r="29" spans="1:11" ht="21" x14ac:dyDescent="0.2">
      <c r="A29" s="792" t="s">
        <v>451</v>
      </c>
      <c r="B29" s="793" t="s">
        <v>541</v>
      </c>
      <c r="C29" s="801">
        <v>1584900</v>
      </c>
      <c r="D29" s="801">
        <v>1202599</v>
      </c>
      <c r="E29" s="789">
        <f t="shared" si="2"/>
        <v>95920</v>
      </c>
      <c r="F29" s="790">
        <f t="shared" si="3"/>
        <v>92.023941480077724</v>
      </c>
      <c r="G29" s="794">
        <f>'[3]Kiadások COFOG szerint'!G53</f>
        <v>1106679</v>
      </c>
      <c r="H29" s="711"/>
      <c r="I29" s="238"/>
      <c r="K29" s="711"/>
    </row>
    <row r="30" spans="1:11" ht="13.5" thickBot="1" x14ac:dyDescent="0.25">
      <c r="A30" s="795" t="s">
        <v>457</v>
      </c>
      <c r="B30" s="796" t="s">
        <v>458</v>
      </c>
      <c r="C30" s="803">
        <v>0</v>
      </c>
      <c r="D30" s="803">
        <v>7000</v>
      </c>
      <c r="E30" s="789">
        <f t="shared" si="2"/>
        <v>1134</v>
      </c>
      <c r="F30" s="790">
        <f t="shared" si="3"/>
        <v>83.8</v>
      </c>
      <c r="G30" s="804">
        <f>'[3]Kiadások COFOG szerint'!G54</f>
        <v>5866</v>
      </c>
      <c r="H30" s="711"/>
      <c r="I30" s="238"/>
      <c r="K30" s="711"/>
    </row>
    <row r="31" spans="1:11" ht="13.5" thickBot="1" x14ac:dyDescent="0.25">
      <c r="A31" s="1102" t="s">
        <v>5</v>
      </c>
      <c r="B31" s="1103"/>
      <c r="C31" s="767">
        <v>7454900</v>
      </c>
      <c r="D31" s="768">
        <v>6699599</v>
      </c>
      <c r="E31" s="768">
        <f>SUM(E20:E30)</f>
        <v>813698</v>
      </c>
      <c r="F31" s="771">
        <f>G31/D31*100</f>
        <v>87.85452681570942</v>
      </c>
      <c r="G31" s="768">
        <f>SUM(G20:G30)</f>
        <v>5885901</v>
      </c>
      <c r="K31" s="711"/>
    </row>
    <row r="32" spans="1:11" x14ac:dyDescent="0.2">
      <c r="A32" s="772" t="s">
        <v>491</v>
      </c>
      <c r="B32" s="773" t="s">
        <v>552</v>
      </c>
      <c r="C32" s="774">
        <v>0</v>
      </c>
      <c r="D32" s="774">
        <v>1270000</v>
      </c>
      <c r="E32" s="775">
        <f>D32-G32</f>
        <v>16378</v>
      </c>
      <c r="F32" s="776">
        <f>G32/D32*100</f>
        <v>98.710393700787407</v>
      </c>
      <c r="G32" s="777">
        <f>'[3]Kiadások COFOG szerint'!G56</f>
        <v>1253622</v>
      </c>
      <c r="K32" s="711"/>
    </row>
    <row r="33" spans="1:11" ht="21.75" thickBot="1" x14ac:dyDescent="0.25">
      <c r="A33" s="778" t="s">
        <v>492</v>
      </c>
      <c r="B33" s="779" t="s">
        <v>553</v>
      </c>
      <c r="C33" s="780">
        <v>0</v>
      </c>
      <c r="D33" s="780">
        <v>304000</v>
      </c>
      <c r="E33" s="781">
        <f>D33-G33</f>
        <v>6149</v>
      </c>
      <c r="F33" s="782">
        <f>G33/D33*100</f>
        <v>97.977302631578951</v>
      </c>
      <c r="G33" s="783">
        <f>'[3]Kiadások COFOG szerint'!G57</f>
        <v>297851</v>
      </c>
      <c r="K33" s="711"/>
    </row>
    <row r="34" spans="1:11" ht="13.5" thickBot="1" x14ac:dyDescent="0.25">
      <c r="A34" s="1102" t="s">
        <v>554</v>
      </c>
      <c r="B34" s="1103"/>
      <c r="C34" s="767">
        <v>0</v>
      </c>
      <c r="D34" s="768">
        <v>1574000</v>
      </c>
      <c r="E34" s="768">
        <f>SUM(E32:E33)</f>
        <v>22527</v>
      </c>
      <c r="F34" s="771">
        <f>G34/D34*100</f>
        <v>98.568805590851341</v>
      </c>
      <c r="G34" s="768">
        <f>SUM(G32:G33)</f>
        <v>1551473</v>
      </c>
      <c r="K34" s="711"/>
    </row>
    <row r="35" spans="1:11" ht="13.5" thickBot="1" x14ac:dyDescent="0.25">
      <c r="A35" s="1105" t="s">
        <v>507</v>
      </c>
      <c r="B35" s="1106"/>
      <c r="C35" s="784">
        <f>C16+C19+C31+C34</f>
        <v>63710301</v>
      </c>
      <c r="D35" s="784">
        <v>65109000</v>
      </c>
      <c r="E35" s="784">
        <f>E16+E19+E31+E34</f>
        <v>1357665</v>
      </c>
      <c r="F35" s="785">
        <f>G35/D35*100</f>
        <v>97.914781366631345</v>
      </c>
      <c r="G35" s="786">
        <f t="shared" ref="G35" si="4">G16+G19+G31+G34</f>
        <v>63751335</v>
      </c>
      <c r="H35" s="707"/>
      <c r="K35" s="711"/>
    </row>
    <row r="36" spans="1:11" x14ac:dyDescent="0.2">
      <c r="K36" s="711"/>
    </row>
    <row r="37" spans="1:11" x14ac:dyDescent="0.2">
      <c r="B37" s="582" t="s">
        <v>375</v>
      </c>
      <c r="C37" s="583">
        <f>C35-'[3]Kiadások COFOG szerint'!C89</f>
        <v>0</v>
      </c>
      <c r="D37" s="583">
        <f>D35-'[3]Kiadások COFOG szerint'!D89</f>
        <v>0</v>
      </c>
      <c r="E37" s="583">
        <f>E35-'[3]Kiadások COFOG szerint'!E89</f>
        <v>0</v>
      </c>
      <c r="F37" s="583">
        <f>F35-'[3]Kiadások COFOG szerint'!F89</f>
        <v>0</v>
      </c>
      <c r="G37" s="583">
        <f>G35-'[3]Kiadások COFOG szerint'!G89</f>
        <v>0</v>
      </c>
      <c r="K37" s="711"/>
    </row>
    <row r="38" spans="1:11" x14ac:dyDescent="0.2">
      <c r="K38" s="711"/>
    </row>
    <row r="39" spans="1:11" x14ac:dyDescent="0.2">
      <c r="K39" s="711"/>
    </row>
    <row r="40" spans="1:11" x14ac:dyDescent="0.2">
      <c r="K40" s="711"/>
    </row>
    <row r="41" spans="1:11" x14ac:dyDescent="0.2">
      <c r="K41" s="711"/>
    </row>
    <row r="42" spans="1:11" x14ac:dyDescent="0.2">
      <c r="K42" s="711"/>
    </row>
    <row r="43" spans="1:11" x14ac:dyDescent="0.2">
      <c r="K43" s="711"/>
    </row>
  </sheetData>
  <mergeCells count="11">
    <mergeCell ref="A2:G2"/>
    <mergeCell ref="A3:G3"/>
    <mergeCell ref="A5:G5"/>
    <mergeCell ref="A6:A7"/>
    <mergeCell ref="B6:B7"/>
    <mergeCell ref="C6:F6"/>
    <mergeCell ref="A16:B16"/>
    <mergeCell ref="A19:B19"/>
    <mergeCell ref="A31:B31"/>
    <mergeCell ref="A34:B34"/>
    <mergeCell ref="A35:B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12280-1D7A-4E89-A36F-27E66EEE2689}">
  <dimension ref="A1:G15"/>
  <sheetViews>
    <sheetView workbookViewId="0">
      <selection activeCell="A8" sqref="A8:G13"/>
    </sheetView>
  </sheetViews>
  <sheetFormatPr defaultRowHeight="12.75" x14ac:dyDescent="0.2"/>
  <cols>
    <col min="1" max="1" width="12.28515625" customWidth="1"/>
    <col min="2" max="2" width="37.28515625" customWidth="1"/>
    <col min="3" max="3" width="12.85546875" customWidth="1"/>
    <col min="4" max="4" width="11.85546875" customWidth="1"/>
    <col min="5" max="5" width="11.7109375" customWidth="1"/>
    <col min="6" max="6" width="11.42578125" customWidth="1"/>
    <col min="7" max="7" width="12.28515625" customWidth="1"/>
  </cols>
  <sheetData>
    <row r="1" spans="1:7" x14ac:dyDescent="0.2">
      <c r="F1" s="12"/>
      <c r="G1" s="12"/>
    </row>
    <row r="2" spans="1:7" x14ac:dyDescent="0.2">
      <c r="A2" s="1093" t="s">
        <v>267</v>
      </c>
      <c r="B2" s="1093"/>
      <c r="C2" s="1093"/>
      <c r="D2" s="1093"/>
      <c r="E2" s="1093"/>
      <c r="F2" s="1093"/>
      <c r="G2" s="1093"/>
    </row>
    <row r="3" spans="1:7" x14ac:dyDescent="0.2">
      <c r="A3" s="1093" t="s">
        <v>555</v>
      </c>
      <c r="B3" s="1093"/>
      <c r="C3" s="1093"/>
      <c r="D3" s="1093"/>
      <c r="E3" s="1093"/>
      <c r="F3" s="1093"/>
      <c r="G3" s="1093"/>
    </row>
    <row r="4" spans="1:7" x14ac:dyDescent="0.2">
      <c r="A4" s="728"/>
      <c r="B4" s="728"/>
      <c r="C4" s="728"/>
      <c r="D4" s="728"/>
      <c r="E4" s="728"/>
      <c r="F4" s="728"/>
      <c r="G4" s="729" t="s">
        <v>305</v>
      </c>
    </row>
    <row r="5" spans="1:7" ht="13.5" thickBot="1" x14ac:dyDescent="0.25">
      <c r="A5" s="1115" t="s">
        <v>1</v>
      </c>
      <c r="B5" s="1115"/>
      <c r="C5" s="1115"/>
      <c r="D5" s="1115"/>
      <c r="E5" s="1115"/>
      <c r="F5" s="1115"/>
      <c r="G5" s="1115"/>
    </row>
    <row r="6" spans="1:7" ht="18.75" customHeight="1" x14ac:dyDescent="0.2">
      <c r="A6" s="1116" t="s">
        <v>306</v>
      </c>
      <c r="B6" s="1117" t="s">
        <v>307</v>
      </c>
      <c r="C6" s="1118">
        <v>2019</v>
      </c>
      <c r="D6" s="1087"/>
      <c r="E6" s="1087"/>
      <c r="F6" s="1088"/>
      <c r="G6" s="805">
        <v>2019</v>
      </c>
    </row>
    <row r="7" spans="1:7" ht="21.75" thickBot="1" x14ac:dyDescent="0.25">
      <c r="A7" s="1098"/>
      <c r="B7" s="1100"/>
      <c r="C7" s="731" t="s">
        <v>82</v>
      </c>
      <c r="D7" s="806" t="s">
        <v>510</v>
      </c>
      <c r="E7" s="731" t="s">
        <v>236</v>
      </c>
      <c r="F7" s="731" t="s">
        <v>63</v>
      </c>
      <c r="G7" s="733" t="s">
        <v>272</v>
      </c>
    </row>
    <row r="8" spans="1:7" x14ac:dyDescent="0.2">
      <c r="A8" s="745" t="s">
        <v>347</v>
      </c>
      <c r="B8" s="746" t="s">
        <v>47</v>
      </c>
      <c r="C8" s="742">
        <v>100000</v>
      </c>
      <c r="D8" s="742">
        <v>97400</v>
      </c>
      <c r="E8" s="742">
        <f>G8-D8</f>
        <v>22600</v>
      </c>
      <c r="F8" s="743">
        <f t="shared" ref="F8:F9" si="0">G8/D8*100</f>
        <v>123.20328542094457</v>
      </c>
      <c r="G8" s="747">
        <f>'[4]Bevételek COFOG'!G17</f>
        <v>120000</v>
      </c>
    </row>
    <row r="9" spans="1:7" x14ac:dyDescent="0.2">
      <c r="A9" s="745" t="s">
        <v>254</v>
      </c>
      <c r="B9" s="748" t="s">
        <v>521</v>
      </c>
      <c r="C9" s="742">
        <v>0</v>
      </c>
      <c r="D9" s="742">
        <v>1511</v>
      </c>
      <c r="E9" s="742">
        <f>G9-D9</f>
        <v>3097</v>
      </c>
      <c r="F9" s="743">
        <f t="shared" si="0"/>
        <v>304.96360026472536</v>
      </c>
      <c r="G9" s="747">
        <f>'[4]Bevételek COFOG'!G18</f>
        <v>4608</v>
      </c>
    </row>
    <row r="10" spans="1:7" ht="21" x14ac:dyDescent="0.2">
      <c r="A10" s="745" t="s">
        <v>371</v>
      </c>
      <c r="B10" s="748" t="s">
        <v>372</v>
      </c>
      <c r="C10" s="742">
        <v>102000</v>
      </c>
      <c r="D10" s="749">
        <v>103089</v>
      </c>
      <c r="E10" s="749">
        <f>G10-D10</f>
        <v>0</v>
      </c>
      <c r="F10" s="743">
        <f>G10/D10*100</f>
        <v>100</v>
      </c>
      <c r="G10" s="750">
        <f>'[4]Bevételek COFOG'!G9</f>
        <v>103089</v>
      </c>
    </row>
    <row r="11" spans="1:7" x14ac:dyDescent="0.2">
      <c r="A11" s="1089" t="s">
        <v>511</v>
      </c>
      <c r="B11" s="751" t="s">
        <v>512</v>
      </c>
      <c r="C11" s="752">
        <v>13566400</v>
      </c>
      <c r="D11" s="753">
        <v>13566400</v>
      </c>
      <c r="E11" s="749">
        <f>G11-D11</f>
        <v>-2679140</v>
      </c>
      <c r="F11" s="743">
        <f t="shared" ref="F11:F13" si="1">G11/D11*100</f>
        <v>80.251651138105899</v>
      </c>
      <c r="G11" s="754">
        <f>'[4]Bevételek COFOG'!G10</f>
        <v>10887260</v>
      </c>
    </row>
    <row r="12" spans="1:7" x14ac:dyDescent="0.2">
      <c r="A12" s="1090"/>
      <c r="B12" s="755" t="s">
        <v>513</v>
      </c>
      <c r="C12" s="756">
        <v>13566400</v>
      </c>
      <c r="D12" s="757">
        <v>3017740</v>
      </c>
      <c r="E12" s="808">
        <f t="shared" ref="E12:E13" si="2">G12-D12</f>
        <v>470329</v>
      </c>
      <c r="F12" s="743">
        <f t="shared" si="1"/>
        <v>115.58547124669454</v>
      </c>
      <c r="G12" s="758">
        <f>'[4]Bevételek COFOG'!G11</f>
        <v>3488069</v>
      </c>
    </row>
    <row r="13" spans="1:7" ht="13.5" thickBot="1" x14ac:dyDescent="0.25">
      <c r="A13" s="1090"/>
      <c r="B13" s="759" t="s">
        <v>546</v>
      </c>
      <c r="C13" s="760">
        <v>0</v>
      </c>
      <c r="D13" s="761">
        <v>10548660</v>
      </c>
      <c r="E13" s="808">
        <f t="shared" si="2"/>
        <v>-3149469</v>
      </c>
      <c r="F13" s="743">
        <f t="shared" si="1"/>
        <v>70.143421060115699</v>
      </c>
      <c r="G13" s="762">
        <f>'[4]Bevételek COFOG'!G12</f>
        <v>7399191</v>
      </c>
    </row>
    <row r="14" spans="1:7" ht="13.5" thickBot="1" x14ac:dyDescent="0.25">
      <c r="A14" s="1091" t="s">
        <v>374</v>
      </c>
      <c r="B14" s="1092"/>
      <c r="C14" s="807">
        <v>13768400</v>
      </c>
      <c r="D14" s="734">
        <v>13768400</v>
      </c>
      <c r="E14" s="734">
        <f>E8+E9+E10</f>
        <v>25697</v>
      </c>
      <c r="F14" s="735">
        <f>G14/D14*100</f>
        <v>80.728022137648523</v>
      </c>
      <c r="G14" s="734">
        <f>G8+G9+G10+G11</f>
        <v>11114957</v>
      </c>
    </row>
    <row r="15" spans="1:7" ht="24.95" customHeight="1" x14ac:dyDescent="0.2">
      <c r="A15" s="736"/>
      <c r="B15" s="736"/>
      <c r="C15" s="736"/>
      <c r="D15" s="737"/>
      <c r="E15" s="737"/>
      <c r="F15" s="738"/>
      <c r="G15" s="737"/>
    </row>
  </sheetData>
  <mergeCells count="8">
    <mergeCell ref="A11:A13"/>
    <mergeCell ref="A14:B14"/>
    <mergeCell ref="A2:G2"/>
    <mergeCell ref="A3:G3"/>
    <mergeCell ref="A5:G5"/>
    <mergeCell ref="A6:A7"/>
    <mergeCell ref="B6:B7"/>
    <mergeCell ref="C6:F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D168-1BFC-4B1C-AB6A-AB1D5CEE82E7}">
  <dimension ref="A1:K42"/>
  <sheetViews>
    <sheetView workbookViewId="0">
      <selection activeCell="L59" sqref="L59"/>
    </sheetView>
  </sheetViews>
  <sheetFormatPr defaultRowHeight="12.75" x14ac:dyDescent="0.2"/>
  <cols>
    <col min="1" max="1" width="12.28515625" customWidth="1"/>
    <col min="2" max="2" width="38.140625" customWidth="1"/>
    <col min="3" max="3" width="15.42578125" customWidth="1"/>
    <col min="4" max="4" width="15.28515625" customWidth="1"/>
    <col min="5" max="5" width="13.140625" customWidth="1"/>
    <col min="6" max="6" width="9.7109375" customWidth="1"/>
    <col min="7" max="7" width="17" customWidth="1"/>
    <col min="8" max="9" width="10.140625" bestFit="1" customWidth="1"/>
  </cols>
  <sheetData>
    <row r="1" spans="1:9" x14ac:dyDescent="0.2">
      <c r="F1" s="12"/>
      <c r="G1" s="12"/>
    </row>
    <row r="2" spans="1:9" x14ac:dyDescent="0.2">
      <c r="A2" s="1093" t="s">
        <v>267</v>
      </c>
      <c r="B2" s="1093"/>
      <c r="C2" s="1093"/>
      <c r="D2" s="1093"/>
      <c r="E2" s="1093"/>
      <c r="F2" s="1093"/>
      <c r="G2" s="1093"/>
    </row>
    <row r="3" spans="1:9" x14ac:dyDescent="0.2">
      <c r="A3" s="1093" t="s">
        <v>555</v>
      </c>
      <c r="B3" s="1093"/>
      <c r="C3" s="1093"/>
      <c r="D3" s="1093"/>
      <c r="E3" s="1093"/>
      <c r="F3" s="1093"/>
      <c r="G3" s="1093"/>
    </row>
    <row r="4" spans="1:9" ht="13.5" thickBot="1" x14ac:dyDescent="0.25">
      <c r="G4" s="519" t="s">
        <v>305</v>
      </c>
    </row>
    <row r="5" spans="1:9" ht="13.5" thickBot="1" x14ac:dyDescent="0.25">
      <c r="A5" s="1107" t="s">
        <v>2</v>
      </c>
      <c r="B5" s="1108"/>
      <c r="C5" s="1108"/>
      <c r="D5" s="1108"/>
      <c r="E5" s="1108"/>
      <c r="F5" s="1108"/>
      <c r="G5" s="1109"/>
    </row>
    <row r="6" spans="1:9" x14ac:dyDescent="0.2">
      <c r="A6" s="1110" t="s">
        <v>306</v>
      </c>
      <c r="B6" s="1112" t="s">
        <v>307</v>
      </c>
      <c r="C6" s="1114">
        <v>2019</v>
      </c>
      <c r="D6" s="1087"/>
      <c r="E6" s="1087"/>
      <c r="F6" s="1088"/>
      <c r="G6" s="763">
        <v>2019</v>
      </c>
    </row>
    <row r="7" spans="1:9" ht="21.75" thickBot="1" x14ac:dyDescent="0.25">
      <c r="A7" s="1111"/>
      <c r="B7" s="1113"/>
      <c r="C7" s="764" t="s">
        <v>82</v>
      </c>
      <c r="D7" s="765" t="s">
        <v>525</v>
      </c>
      <c r="E7" s="764" t="s">
        <v>236</v>
      </c>
      <c r="F7" s="764" t="s">
        <v>63</v>
      </c>
      <c r="G7" s="766" t="s">
        <v>272</v>
      </c>
    </row>
    <row r="8" spans="1:9" x14ac:dyDescent="0.2">
      <c r="A8" s="787" t="s">
        <v>377</v>
      </c>
      <c r="B8" s="810" t="s">
        <v>378</v>
      </c>
      <c r="C8" s="811">
        <v>6100000</v>
      </c>
      <c r="D8" s="789">
        <v>6103000</v>
      </c>
      <c r="E8" s="789">
        <f>D8-G8</f>
        <v>400</v>
      </c>
      <c r="F8" s="790">
        <f>G8/D8*100</f>
        <v>99.993445846305093</v>
      </c>
      <c r="G8" s="791">
        <f>'[4]Kiadások COFOG szerint'!G30</f>
        <v>6102600</v>
      </c>
      <c r="H8" s="711"/>
    </row>
    <row r="9" spans="1:9" x14ac:dyDescent="0.2">
      <c r="A9" s="792" t="s">
        <v>383</v>
      </c>
      <c r="B9" s="812" t="s">
        <v>384</v>
      </c>
      <c r="C9" s="813">
        <v>48000</v>
      </c>
      <c r="D9" s="789">
        <v>48000</v>
      </c>
      <c r="E9" s="789">
        <f t="shared" ref="E9:E14" si="0">D9-G9</f>
        <v>0</v>
      </c>
      <c r="F9" s="790">
        <f t="shared" ref="F9:F28" si="1">G9/D9*100</f>
        <v>100</v>
      </c>
      <c r="G9" s="794">
        <f>'[4]Kiadások COFOG szerint'!G31</f>
        <v>48000</v>
      </c>
      <c r="H9" s="238"/>
    </row>
    <row r="10" spans="1:9" x14ac:dyDescent="0.2">
      <c r="A10" s="792" t="s">
        <v>385</v>
      </c>
      <c r="B10" s="812" t="s">
        <v>386</v>
      </c>
      <c r="C10" s="813">
        <v>120000</v>
      </c>
      <c r="D10" s="789">
        <v>0</v>
      </c>
      <c r="E10" s="789">
        <f t="shared" si="0"/>
        <v>0</v>
      </c>
      <c r="F10" s="790"/>
      <c r="G10" s="794">
        <f>'[4]Kiadások COFOG szerint'!G32</f>
        <v>0</v>
      </c>
      <c r="H10" s="711"/>
    </row>
    <row r="11" spans="1:9" x14ac:dyDescent="0.2">
      <c r="A11" s="792" t="s">
        <v>387</v>
      </c>
      <c r="B11" s="812" t="s">
        <v>388</v>
      </c>
      <c r="C11" s="813">
        <v>24000</v>
      </c>
      <c r="D11" s="789">
        <v>24000</v>
      </c>
      <c r="E11" s="789">
        <f t="shared" si="0"/>
        <v>0</v>
      </c>
      <c r="F11" s="790">
        <f t="shared" si="1"/>
        <v>100</v>
      </c>
      <c r="G11" s="794">
        <f>'[4]Kiadások COFOG szerint'!G33</f>
        <v>24000</v>
      </c>
      <c r="H11" s="711"/>
    </row>
    <row r="12" spans="1:9" x14ac:dyDescent="0.2">
      <c r="A12" s="792" t="s">
        <v>391</v>
      </c>
      <c r="B12" s="812" t="s">
        <v>392</v>
      </c>
      <c r="C12" s="813">
        <v>84000</v>
      </c>
      <c r="D12" s="789">
        <v>228000</v>
      </c>
      <c r="E12" s="789">
        <f t="shared" si="0"/>
        <v>0</v>
      </c>
      <c r="F12" s="790">
        <f t="shared" si="1"/>
        <v>100</v>
      </c>
      <c r="G12" s="794">
        <f>'[4]Kiadások COFOG szerint'!G34</f>
        <v>228000</v>
      </c>
      <c r="H12" s="238"/>
    </row>
    <row r="13" spans="1:9" x14ac:dyDescent="0.2">
      <c r="A13" s="795" t="s">
        <v>556</v>
      </c>
      <c r="B13" s="814" t="s">
        <v>390</v>
      </c>
      <c r="C13" s="815">
        <v>0</v>
      </c>
      <c r="D13" s="789">
        <v>0</v>
      </c>
      <c r="E13" s="789">
        <f t="shared" si="0"/>
        <v>0</v>
      </c>
      <c r="F13" s="790"/>
      <c r="G13" s="794">
        <f>'[4]Kiadások COFOG szerint'!G35</f>
        <v>0</v>
      </c>
      <c r="H13" s="238"/>
    </row>
    <row r="14" spans="1:9" ht="32.25" thickBot="1" x14ac:dyDescent="0.25">
      <c r="A14" s="795" t="s">
        <v>395</v>
      </c>
      <c r="B14" s="816" t="s">
        <v>396</v>
      </c>
      <c r="C14" s="817">
        <v>920000</v>
      </c>
      <c r="D14" s="801">
        <v>720000</v>
      </c>
      <c r="E14" s="789">
        <f t="shared" si="0"/>
        <v>0</v>
      </c>
      <c r="F14" s="790">
        <f t="shared" si="1"/>
        <v>100</v>
      </c>
      <c r="G14" s="794">
        <f>'[4]Kiadások COFOG szerint'!G16+'[4]Kiadások COFOG szerint'!G36</f>
        <v>720000</v>
      </c>
      <c r="H14" s="238"/>
    </row>
    <row r="15" spans="1:9" ht="13.5" thickBot="1" x14ac:dyDescent="0.25">
      <c r="A15" s="1102" t="s">
        <v>3</v>
      </c>
      <c r="B15" s="1103"/>
      <c r="C15" s="767">
        <v>7296000</v>
      </c>
      <c r="D15" s="768">
        <v>7123000</v>
      </c>
      <c r="E15" s="769">
        <f>SUM(E8:E14)</f>
        <v>400</v>
      </c>
      <c r="F15" s="770">
        <f t="shared" si="1"/>
        <v>99.994384388600309</v>
      </c>
      <c r="G15" s="768">
        <f>SUM(G8:G14)</f>
        <v>7122600</v>
      </c>
      <c r="I15" s="15"/>
    </row>
    <row r="16" spans="1:9" x14ac:dyDescent="0.2">
      <c r="A16" s="787" t="s">
        <v>399</v>
      </c>
      <c r="B16" s="788" t="s">
        <v>400</v>
      </c>
      <c r="C16" s="789">
        <v>1347900</v>
      </c>
      <c r="D16" s="789">
        <v>1325400</v>
      </c>
      <c r="E16" s="789">
        <f>D16-G16</f>
        <v>11880</v>
      </c>
      <c r="F16" s="790">
        <f t="shared" si="1"/>
        <v>99.103666817564502</v>
      </c>
      <c r="G16" s="791">
        <f>'[4]Kiadások COFOG szerint'!G18+'[4]Kiadások COFOG szerint'!G38</f>
        <v>1313520</v>
      </c>
      <c r="H16" s="711"/>
    </row>
    <row r="17" spans="1:11" ht="13.5" thickBot="1" x14ac:dyDescent="0.25">
      <c r="A17" s="795" t="s">
        <v>401</v>
      </c>
      <c r="B17" s="796" t="s">
        <v>402</v>
      </c>
      <c r="C17" s="797">
        <v>20000</v>
      </c>
      <c r="D17" s="797">
        <v>9500</v>
      </c>
      <c r="E17" s="789">
        <f>D17-G17</f>
        <v>7720</v>
      </c>
      <c r="F17" s="790">
        <f t="shared" si="1"/>
        <v>18.736842105263158</v>
      </c>
      <c r="G17" s="791">
        <f>'[4]Kiadások COFOG szerint'!G39</f>
        <v>1780</v>
      </c>
      <c r="H17" s="711"/>
    </row>
    <row r="18" spans="1:11" ht="13.5" thickBot="1" x14ac:dyDescent="0.25">
      <c r="A18" s="1104" t="s">
        <v>60</v>
      </c>
      <c r="B18" s="1103"/>
      <c r="C18" s="767">
        <v>1367900</v>
      </c>
      <c r="D18" s="768">
        <v>1334900</v>
      </c>
      <c r="E18" s="768">
        <f>SUM(E16:E17)</f>
        <v>19600</v>
      </c>
      <c r="F18" s="770">
        <f t="shared" si="1"/>
        <v>98.53172522286313</v>
      </c>
      <c r="G18" s="768">
        <f>SUM(G16:G17)</f>
        <v>1315300</v>
      </c>
    </row>
    <row r="19" spans="1:11" x14ac:dyDescent="0.2">
      <c r="A19" s="798" t="s">
        <v>403</v>
      </c>
      <c r="B19" s="799" t="s">
        <v>404</v>
      </c>
      <c r="C19" s="789">
        <v>861000</v>
      </c>
      <c r="D19" s="789">
        <v>186500</v>
      </c>
      <c r="E19" s="789">
        <f>D19-G19</f>
        <v>107735</v>
      </c>
      <c r="F19" s="790">
        <f t="shared" si="1"/>
        <v>42.233243967828415</v>
      </c>
      <c r="G19" s="791">
        <f>'[4]Kiadások COFOG szerint'!G21+'[4]Kiadások COFOG szerint'!G41+'[4]Kiadások COFOG szerint'!G9</f>
        <v>78765</v>
      </c>
      <c r="H19" s="711"/>
    </row>
    <row r="20" spans="1:11" x14ac:dyDescent="0.2">
      <c r="A20" s="798" t="s">
        <v>411</v>
      </c>
      <c r="B20" s="800" t="s">
        <v>412</v>
      </c>
      <c r="C20" s="801">
        <v>466000</v>
      </c>
      <c r="D20" s="801">
        <v>719000</v>
      </c>
      <c r="E20" s="789">
        <f t="shared" ref="E20:E28" si="2">D20-G20</f>
        <v>2172</v>
      </c>
      <c r="F20" s="818">
        <f t="shared" si="1"/>
        <v>99.697913769123787</v>
      </c>
      <c r="G20" s="794">
        <f>'[4]Kiadások COFOG szerint'!G42+'[4]Kiadások COFOG szerint'!G22</f>
        <v>716828</v>
      </c>
      <c r="H20" s="711"/>
    </row>
    <row r="21" spans="1:11" x14ac:dyDescent="0.2">
      <c r="A21" s="798" t="s">
        <v>536</v>
      </c>
      <c r="B21" s="793" t="s">
        <v>426</v>
      </c>
      <c r="C21" s="801">
        <v>80000</v>
      </c>
      <c r="D21" s="801">
        <v>80000</v>
      </c>
      <c r="E21" s="789">
        <f t="shared" si="2"/>
        <v>15938</v>
      </c>
      <c r="F21" s="818">
        <f t="shared" si="1"/>
        <v>80.077500000000001</v>
      </c>
      <c r="G21" s="794">
        <f>'[4]Kiadások COFOG szerint'!G43</f>
        <v>64062</v>
      </c>
      <c r="H21" s="711"/>
    </row>
    <row r="22" spans="1:11" x14ac:dyDescent="0.2">
      <c r="A22" s="798" t="s">
        <v>537</v>
      </c>
      <c r="B22" s="800" t="s">
        <v>538</v>
      </c>
      <c r="C22" s="801">
        <v>60000</v>
      </c>
      <c r="D22" s="801">
        <v>80000</v>
      </c>
      <c r="E22" s="789">
        <f t="shared" si="2"/>
        <v>5781</v>
      </c>
      <c r="F22" s="818">
        <f t="shared" si="1"/>
        <v>92.773749999999993</v>
      </c>
      <c r="G22" s="794">
        <f>'[4]Kiadások COFOG szerint'!G44</f>
        <v>74219</v>
      </c>
      <c r="H22" s="711"/>
    </row>
    <row r="23" spans="1:11" x14ac:dyDescent="0.2">
      <c r="A23" s="798" t="s">
        <v>429</v>
      </c>
      <c r="B23" s="800" t="s">
        <v>549</v>
      </c>
      <c r="C23" s="801">
        <v>1330000</v>
      </c>
      <c r="D23" s="801">
        <v>1330000</v>
      </c>
      <c r="E23" s="789">
        <f t="shared" si="2"/>
        <v>1212897</v>
      </c>
      <c r="F23" s="818">
        <f t="shared" si="1"/>
        <v>8.8047368421052639</v>
      </c>
      <c r="G23" s="794">
        <f>'[4]Kiadások COFOG szerint'!G45+'[4]Kiadások COFOG szerint'!G46+'[4]Kiadások COFOG szerint'!G47</f>
        <v>117103</v>
      </c>
      <c r="H23" s="711"/>
    </row>
    <row r="24" spans="1:11" x14ac:dyDescent="0.2">
      <c r="A24" s="798" t="s">
        <v>441</v>
      </c>
      <c r="B24" s="800" t="s">
        <v>550</v>
      </c>
      <c r="C24" s="801">
        <v>574000</v>
      </c>
      <c r="D24" s="801">
        <v>450000</v>
      </c>
      <c r="E24" s="789">
        <f t="shared" si="2"/>
        <v>200773</v>
      </c>
      <c r="F24" s="818">
        <f t="shared" si="1"/>
        <v>55.383777777777773</v>
      </c>
      <c r="G24" s="794">
        <f>'[4]Kiadások COFOG szerint'!G48+'[4]Kiadások COFOG szerint'!G23</f>
        <v>249227</v>
      </c>
      <c r="H24" s="711"/>
      <c r="K24" s="238"/>
    </row>
    <row r="25" spans="1:11" x14ac:dyDescent="0.2">
      <c r="A25" s="798" t="s">
        <v>447</v>
      </c>
      <c r="B25" s="800" t="s">
        <v>448</v>
      </c>
      <c r="C25" s="801">
        <v>600000</v>
      </c>
      <c r="D25" s="801">
        <v>585000</v>
      </c>
      <c r="E25" s="789">
        <f t="shared" si="2"/>
        <v>360745</v>
      </c>
      <c r="F25" s="818">
        <f t="shared" si="1"/>
        <v>38.334188034188031</v>
      </c>
      <c r="G25" s="794">
        <f>'[4]Kiadások COFOG szerint'!G49</f>
        <v>224255</v>
      </c>
      <c r="H25" s="711"/>
      <c r="K25" s="711"/>
    </row>
    <row r="26" spans="1:11" x14ac:dyDescent="0.2">
      <c r="A26" s="802" t="s">
        <v>539</v>
      </c>
      <c r="B26" s="800" t="s">
        <v>540</v>
      </c>
      <c r="C26" s="801">
        <v>0</v>
      </c>
      <c r="D26" s="801">
        <v>260000</v>
      </c>
      <c r="E26" s="789">
        <f t="shared" si="2"/>
        <v>182</v>
      </c>
      <c r="F26" s="818">
        <f t="shared" si="1"/>
        <v>99.929999999999993</v>
      </c>
      <c r="G26" s="794">
        <f>'[4]Kiadások COFOG szerint'!G50</f>
        <v>259818</v>
      </c>
      <c r="H26" s="711"/>
      <c r="K26" s="711"/>
    </row>
    <row r="27" spans="1:11" ht="21" x14ac:dyDescent="0.2">
      <c r="A27" s="792" t="s">
        <v>451</v>
      </c>
      <c r="B27" s="793" t="s">
        <v>541</v>
      </c>
      <c r="C27" s="801">
        <v>752500</v>
      </c>
      <c r="D27" s="801">
        <v>599000</v>
      </c>
      <c r="E27" s="789">
        <f t="shared" si="2"/>
        <v>275390</v>
      </c>
      <c r="F27" s="818">
        <f t="shared" si="1"/>
        <v>54.025041736227038</v>
      </c>
      <c r="G27" s="794">
        <f>'[4]Kiadások COFOG szerint'!G51+'[4]Kiadások COFOG szerint'!G11+'[4]Kiadások COFOG szerint'!G24</f>
        <v>323610</v>
      </c>
      <c r="H27" s="711"/>
      <c r="K27" s="711"/>
    </row>
    <row r="28" spans="1:11" ht="13.5" thickBot="1" x14ac:dyDescent="0.25">
      <c r="A28" s="795" t="s">
        <v>457</v>
      </c>
      <c r="B28" s="796" t="s">
        <v>458</v>
      </c>
      <c r="C28" s="803">
        <v>0</v>
      </c>
      <c r="D28" s="803">
        <v>5000</v>
      </c>
      <c r="E28" s="789">
        <f t="shared" si="2"/>
        <v>1549</v>
      </c>
      <c r="F28" s="818">
        <f t="shared" si="1"/>
        <v>69.02000000000001</v>
      </c>
      <c r="G28" s="804">
        <f>'[4]Kiadások COFOG szerint'!G52</f>
        <v>3451</v>
      </c>
      <c r="H28" s="711"/>
      <c r="K28" s="711"/>
    </row>
    <row r="29" spans="1:11" ht="13.5" thickBot="1" x14ac:dyDescent="0.25">
      <c r="A29" s="1102" t="s">
        <v>5</v>
      </c>
      <c r="B29" s="1103"/>
      <c r="C29" s="767">
        <v>4723500</v>
      </c>
      <c r="D29" s="768">
        <v>4294500</v>
      </c>
      <c r="E29" s="768">
        <f>SUM(E19:E28)</f>
        <v>2183162</v>
      </c>
      <c r="F29" s="771">
        <f>G29/D29*100</f>
        <v>49.163767609733377</v>
      </c>
      <c r="G29" s="768">
        <f>SUM(G19:G28)</f>
        <v>2111338</v>
      </c>
      <c r="K29" s="711"/>
    </row>
    <row r="30" spans="1:11" x14ac:dyDescent="0.2">
      <c r="A30" s="772" t="s">
        <v>491</v>
      </c>
      <c r="B30" s="773" t="s">
        <v>552</v>
      </c>
      <c r="C30" s="774">
        <v>300000</v>
      </c>
      <c r="D30" s="774">
        <v>800000</v>
      </c>
      <c r="E30" s="775">
        <f>D30-G30</f>
        <v>373177</v>
      </c>
      <c r="F30" s="776">
        <f>G30/D30*100</f>
        <v>53.352874999999997</v>
      </c>
      <c r="G30" s="777">
        <f>'[4]Kiadások COFOG szerint'!G54</f>
        <v>426823</v>
      </c>
      <c r="K30" s="711"/>
    </row>
    <row r="31" spans="1:11" ht="21.75" thickBot="1" x14ac:dyDescent="0.25">
      <c r="A31" s="778" t="s">
        <v>492</v>
      </c>
      <c r="B31" s="779" t="s">
        <v>553</v>
      </c>
      <c r="C31" s="780">
        <v>81000</v>
      </c>
      <c r="D31" s="780">
        <v>216000</v>
      </c>
      <c r="E31" s="781">
        <f>D31-G31</f>
        <v>103458</v>
      </c>
      <c r="F31" s="782">
        <f>G31/D31*100</f>
        <v>52.102777777777774</v>
      </c>
      <c r="G31" s="783">
        <f>'[4]Kiadások COFOG szerint'!G55</f>
        <v>112542</v>
      </c>
      <c r="K31" s="711"/>
    </row>
    <row r="32" spans="1:11" ht="13.5" thickBot="1" x14ac:dyDescent="0.25">
      <c r="A32" s="1102" t="s">
        <v>554</v>
      </c>
      <c r="B32" s="1103"/>
      <c r="C32" s="767">
        <v>381000</v>
      </c>
      <c r="D32" s="768">
        <v>1016000</v>
      </c>
      <c r="E32" s="768">
        <f>SUM(E30:E31)</f>
        <v>476635</v>
      </c>
      <c r="F32" s="771">
        <f>G32/D32*100</f>
        <v>53.087106299212593</v>
      </c>
      <c r="G32" s="768">
        <f>SUM(G30:G31)</f>
        <v>539365</v>
      </c>
      <c r="K32" s="711"/>
    </row>
    <row r="33" spans="1:11" ht="13.5" thickBot="1" x14ac:dyDescent="0.25">
      <c r="A33" s="1105" t="s">
        <v>507</v>
      </c>
      <c r="B33" s="1106"/>
      <c r="C33" s="809">
        <v>13768400</v>
      </c>
      <c r="D33" s="784">
        <v>13768400</v>
      </c>
      <c r="E33" s="784">
        <f t="shared" ref="E33" si="3">E15+E18+E29+E32</f>
        <v>2679797</v>
      </c>
      <c r="F33" s="785">
        <f>G33/D33*100</f>
        <v>80.536612823567012</v>
      </c>
      <c r="G33" s="784">
        <f>G15+G18+G29+G32</f>
        <v>11088603</v>
      </c>
      <c r="H33" s="707"/>
      <c r="K33" s="711"/>
    </row>
    <row r="34" spans="1:11" x14ac:dyDescent="0.2">
      <c r="K34" s="711"/>
    </row>
    <row r="35" spans="1:11" x14ac:dyDescent="0.2">
      <c r="B35" s="582" t="s">
        <v>375</v>
      </c>
      <c r="C35" s="583">
        <f>C33-'[4]Kiadások COFOG szerint'!C59</f>
        <v>0</v>
      </c>
      <c r="D35" s="583">
        <f>D33-'[4]Kiadások COFOG szerint'!D59</f>
        <v>0</v>
      </c>
      <c r="E35" s="583">
        <f>E33-'[4]Kiadások COFOG szerint'!E59</f>
        <v>0</v>
      </c>
      <c r="F35" s="583">
        <f>F33-'[4]Kiadások COFOG szerint'!F59</f>
        <v>0</v>
      </c>
      <c r="G35" s="583">
        <f>G33-'[4]Kiadások COFOG szerint'!G59</f>
        <v>0</v>
      </c>
      <c r="K35" s="711"/>
    </row>
    <row r="36" spans="1:11" x14ac:dyDescent="0.2">
      <c r="K36" s="711"/>
    </row>
    <row r="37" spans="1:11" x14ac:dyDescent="0.2">
      <c r="K37" s="711"/>
    </row>
    <row r="38" spans="1:11" x14ac:dyDescent="0.2">
      <c r="K38" s="711"/>
    </row>
    <row r="39" spans="1:11" x14ac:dyDescent="0.2">
      <c r="K39" s="711"/>
    </row>
    <row r="40" spans="1:11" x14ac:dyDescent="0.2">
      <c r="K40" s="711"/>
    </row>
    <row r="41" spans="1:11" x14ac:dyDescent="0.2">
      <c r="K41" s="711"/>
    </row>
    <row r="42" spans="1:11" x14ac:dyDescent="0.2">
      <c r="K42" s="238"/>
    </row>
  </sheetData>
  <mergeCells count="11">
    <mergeCell ref="A2:G2"/>
    <mergeCell ref="A3:G3"/>
    <mergeCell ref="A5:G5"/>
    <mergeCell ref="A6:A7"/>
    <mergeCell ref="B6:B7"/>
    <mergeCell ref="C6:F6"/>
    <mergeCell ref="A15:B15"/>
    <mergeCell ref="A18:B18"/>
    <mergeCell ref="A29:B29"/>
    <mergeCell ref="A32:B32"/>
    <mergeCell ref="A33:B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2"/>
  <sheetViews>
    <sheetView view="pageBreakPreview" zoomScale="90" zoomScaleNormal="100" zoomScaleSheetLayoutView="90" workbookViewId="0">
      <selection activeCell="A3" sqref="A3:G3"/>
    </sheetView>
  </sheetViews>
  <sheetFormatPr defaultRowHeight="12.75" x14ac:dyDescent="0.2"/>
  <cols>
    <col min="1" max="1" width="43.7109375" customWidth="1"/>
    <col min="2" max="2" width="13.28515625" customWidth="1"/>
    <col min="3" max="3" width="13" customWidth="1"/>
    <col min="4" max="4" width="13.28515625" customWidth="1"/>
    <col min="5" max="5" width="44.7109375" customWidth="1"/>
    <col min="6" max="6" width="13" customWidth="1"/>
    <col min="7" max="7" width="13.5703125" customWidth="1"/>
    <col min="8" max="8" width="12.85546875" customWidth="1"/>
    <col min="9" max="9" width="11.5703125" customWidth="1"/>
    <col min="11" max="11" width="6" bestFit="1" customWidth="1"/>
    <col min="16" max="16" width="6" bestFit="1" customWidth="1"/>
    <col min="17" max="17" width="10" bestFit="1" customWidth="1"/>
  </cols>
  <sheetData>
    <row r="1" spans="1:9" ht="15" customHeight="1" x14ac:dyDescent="0.2">
      <c r="A1" s="1121" t="s">
        <v>633</v>
      </c>
      <c r="B1" s="1121"/>
      <c r="C1" s="1121"/>
      <c r="D1" s="1121"/>
      <c r="E1" s="1121"/>
      <c r="F1" s="1121"/>
      <c r="G1" s="1121"/>
    </row>
    <row r="2" spans="1:9" ht="15.75" customHeight="1" x14ac:dyDescent="0.2">
      <c r="A2" s="1125"/>
      <c r="B2" s="1126"/>
      <c r="C2" s="1126"/>
      <c r="D2" s="1126"/>
      <c r="E2" s="1126"/>
      <c r="F2" s="1126"/>
      <c r="G2" s="13"/>
      <c r="H2" s="13"/>
      <c r="I2" s="13"/>
    </row>
    <row r="3" spans="1:9" s="4" customFormat="1" ht="22.5" customHeight="1" x14ac:dyDescent="0.25">
      <c r="A3" s="1127" t="s">
        <v>303</v>
      </c>
      <c r="B3" s="1127"/>
      <c r="C3" s="1127"/>
      <c r="D3" s="1127"/>
      <c r="E3" s="1127"/>
      <c r="F3" s="1127"/>
      <c r="G3" s="1127"/>
    </row>
    <row r="4" spans="1:9" ht="33.75" customHeight="1" x14ac:dyDescent="0.2">
      <c r="A4" s="1128" t="s">
        <v>275</v>
      </c>
      <c r="B4" s="1128"/>
      <c r="C4" s="1128"/>
      <c r="D4" s="1128"/>
      <c r="E4" s="1128"/>
      <c r="F4" s="1128"/>
      <c r="G4" s="1128"/>
    </row>
    <row r="5" spans="1:9" ht="18.75" customHeight="1" thickBot="1" x14ac:dyDescent="0.3">
      <c r="A5" s="17"/>
      <c r="B5" s="17"/>
      <c r="C5" s="17"/>
      <c r="D5" s="17"/>
      <c r="E5" s="1129" t="s">
        <v>59</v>
      </c>
      <c r="F5" s="1130"/>
      <c r="G5" s="1130"/>
      <c r="H5" s="1130"/>
    </row>
    <row r="6" spans="1:9" ht="24.75" customHeight="1" thickBot="1" x14ac:dyDescent="0.25">
      <c r="A6" s="1122" t="s">
        <v>1</v>
      </c>
      <c r="B6" s="1123"/>
      <c r="C6" s="1123"/>
      <c r="D6" s="1124"/>
      <c r="E6" s="1122" t="s">
        <v>2</v>
      </c>
      <c r="F6" s="1123"/>
      <c r="G6" s="1123"/>
      <c r="H6" s="1124"/>
    </row>
    <row r="7" spans="1:9" ht="35.25" customHeight="1" thickBot="1" x14ac:dyDescent="0.3">
      <c r="A7" s="52"/>
      <c r="B7" s="140" t="s">
        <v>82</v>
      </c>
      <c r="C7" s="60" t="s">
        <v>83</v>
      </c>
      <c r="D7" s="51" t="s">
        <v>84</v>
      </c>
      <c r="E7" s="47" t="s">
        <v>40</v>
      </c>
      <c r="F7" s="166" t="s">
        <v>82</v>
      </c>
      <c r="G7" s="140" t="s">
        <v>83</v>
      </c>
      <c r="H7" s="140" t="s">
        <v>84</v>
      </c>
    </row>
    <row r="8" spans="1:9" ht="19.899999999999999" customHeight="1" x14ac:dyDescent="0.25">
      <c r="A8" s="53" t="s">
        <v>41</v>
      </c>
      <c r="B8" s="80">
        <f>'2019.telj.-Bev-Önk'!C14</f>
        <v>147636733</v>
      </c>
      <c r="C8" s="137">
        <f>'2019.telj.-Bev-Önk'!D14</f>
        <v>167582822</v>
      </c>
      <c r="D8" s="116">
        <f>'2019.telj.-Bev-Önk'!G14</f>
        <v>167582822</v>
      </c>
      <c r="E8" s="48" t="s">
        <v>18</v>
      </c>
      <c r="F8" s="167">
        <f>'2019.telj.-Kiad-Önk'!C19+'2019.telj.Kiad.Hiv.'!C21+'2019.telj.Kiad.Ovi'!C16+'2019.telj.Kiad.Műv.'!C15</f>
        <v>141130193</v>
      </c>
      <c r="G8" s="145">
        <f>'2019.telj.-Kiad-Önk'!D19+'2019.telj.Kiad.Hiv.'!D21+'2019.telj.Kiad.Ovi'!D16+'2019.telj.Kiad.Műv.'!D15</f>
        <v>159683061</v>
      </c>
      <c r="H8" s="158">
        <f>'2019.telj.-Kiad-Önk'!G19+'2019.telj.Kiad.Hiv.'!G21+'2019.telj.Kiad.Ovi'!G16+'2019.telj.Kiad.Műv.'!G15</f>
        <v>156752532</v>
      </c>
    </row>
    <row r="9" spans="1:9" ht="19.899999999999999" customHeight="1" x14ac:dyDescent="0.25">
      <c r="A9" s="54" t="s">
        <v>24</v>
      </c>
      <c r="B9" s="81">
        <f>'2019.telj.-Bev-Önk'!C17+'2019.telj.- Bev.Hiv.'!C17+'2019.telj.- Bev.Hiv.'!C24+'2019.telj.Bev.Ovi'!C8</f>
        <v>10636000</v>
      </c>
      <c r="C9" s="117">
        <f>'2019.telj.-Bev-Önk'!D17+'2019.telj.- Bev.Hiv.'!D17+'2019.telj.- Bev.Hiv.'!D24</f>
        <v>50427756</v>
      </c>
      <c r="D9" s="118">
        <f>'2019.telj.-Bev-Önk'!G17+'2019.telj.- Bev.Hiv.'!G17+'2019.telj.- Bev.Hiv.'!G24</f>
        <v>50324256</v>
      </c>
      <c r="E9" s="49" t="s">
        <v>19</v>
      </c>
      <c r="F9" s="168">
        <f>'2019.telj.-Kiad-Önk'!C22+'2019.telj.Kiad.Hiv.'!C24+'2019.telj.Kiad.Ovi'!C19+'2019.telj.Kiad.Műv.'!C18</f>
        <v>28177415</v>
      </c>
      <c r="G9" s="146">
        <f>'2019.telj.-Kiad-Önk'!D22+'2019.telj.Kiad.Hiv.'!D24+'2019.telj.Kiad.Ovi'!D19+'2019.telj.Kiad.Műv.'!D18</f>
        <v>29714986</v>
      </c>
      <c r="H9" s="159">
        <f>'2019.telj.-Kiad-Önk'!G22+'2019.telj.Kiad.Hiv.'!G24+'2019.telj.Kiad.Ovi'!G19+'2019.telj.Kiad.Műv.'!G18</f>
        <v>28620085</v>
      </c>
    </row>
    <row r="10" spans="1:9" ht="19.899999999999999" customHeight="1" x14ac:dyDescent="0.25">
      <c r="A10" s="54" t="s">
        <v>26</v>
      </c>
      <c r="B10" s="81">
        <f>'2019.telj.-Bev-Önk'!C29</f>
        <v>79500000</v>
      </c>
      <c r="C10" s="117">
        <f>'2019.telj.-Bev-Önk'!D29</f>
        <v>109208050</v>
      </c>
      <c r="D10" s="118">
        <f>'2019.telj.-Bev-Önk'!G29</f>
        <v>109921569</v>
      </c>
      <c r="E10" s="49" t="s">
        <v>20</v>
      </c>
      <c r="F10" s="168">
        <f>'2019.telj.-Kiad-Önk'!C52+'2019.telj.Kiad.Hiv.'!C34+'2019.telj.Kiad.Ovi'!C31+'2019.telj.Kiad.Műv.'!C29</f>
        <v>66710802</v>
      </c>
      <c r="G10" s="146">
        <f>'2019.telj.-Kiad-Önk'!D52+'2019.telj.Kiad.Hiv.'!D34+'2019.telj.Kiad.Ovi'!D31+'2019.telj.Kiad.Műv.'!D29</f>
        <v>89762506.930000007</v>
      </c>
      <c r="H10" s="159">
        <f>'2019.telj.-Kiad-Önk'!G52+'2019.telj.Kiad.Hiv.'!G34+'2019.telj.Kiad.Ovi'!G31+'2019.telj.Kiad.Műv.'!G29</f>
        <v>78271773</v>
      </c>
    </row>
    <row r="11" spans="1:9" ht="19.899999999999999" customHeight="1" x14ac:dyDescent="0.25">
      <c r="A11" s="54" t="s">
        <v>27</v>
      </c>
      <c r="B11" s="81">
        <f>'2019.telj.-Bev-Önk'!C40+'2019.telj.- Bev.Hiv.'!C18+'2019.telj.- Bev.Hiv.'!C19+'2019.telj.Bev.Ovi'!C9+'2019.telj.Bev.Ovi'!C19+'2019.telj.Bev.Műv.'!C8</f>
        <v>56023704.969999999</v>
      </c>
      <c r="C11" s="117">
        <f>'2019.telj.-Bev-Önk'!D40+'2019.telj.- Bev.Hiv.'!D18+'2019.telj.- Bev.Hiv.'!D19+'2019.telj.Bev.Ovi'!D9+'2019.telj.Bev.Ovi'!D10+'2019.telj.Bev.Műv.'!D8+'2019.telj.Bev.Műv.'!D9</f>
        <v>68599671</v>
      </c>
      <c r="D11" s="118">
        <f>'2019.telj.-Bev-Önk'!G40+'2019.telj.- Bev.Hiv.'!G18+'2019.telj.- Bev.Hiv.'!G19+'2019.telj.Bev.Ovi'!G9+'2019.telj.Bev.Ovi'!G10+'2019.telj.Bev.Műv.'!G8+'2019.telj.Bev.Műv.'!G9</f>
        <v>27845666</v>
      </c>
      <c r="E11" s="49" t="s">
        <v>21</v>
      </c>
      <c r="F11" s="168">
        <f>'2019.telj.-Kiad-Önk'!C60</f>
        <v>10707000</v>
      </c>
      <c r="G11" s="146">
        <f>'2019.telj.-Kiad-Önk'!D60</f>
        <v>10810500</v>
      </c>
      <c r="H11" s="160">
        <f>'2019.telj.-Kiad-Önk'!G60</f>
        <v>10059167</v>
      </c>
      <c r="I11" s="34"/>
    </row>
    <row r="12" spans="1:9" ht="19.899999999999999" customHeight="1" x14ac:dyDescent="0.25">
      <c r="A12" s="54"/>
      <c r="B12" s="81"/>
      <c r="C12" s="117"/>
      <c r="D12" s="118"/>
      <c r="E12" s="49" t="s">
        <v>86</v>
      </c>
      <c r="F12" s="168">
        <f>'2019.telj.-Kiad-Önk'!C63</f>
        <v>6956000</v>
      </c>
      <c r="G12" s="174">
        <f>'2019.telj.-Kiad-Önk'!D63</f>
        <v>7156000</v>
      </c>
      <c r="H12" s="161">
        <f>'2019.telj.-Kiad-Önk'!G63</f>
        <v>6951530</v>
      </c>
      <c r="I12" s="34"/>
    </row>
    <row r="13" spans="1:9" ht="19.899999999999999" customHeight="1" x14ac:dyDescent="0.25">
      <c r="A13" s="55" t="s">
        <v>31</v>
      </c>
      <c r="B13" s="82">
        <f>'2019.telj.-Kiad-Önk'!C78</f>
        <v>141869501</v>
      </c>
      <c r="C13" s="119">
        <f>'2019.telj.-Kiad-Önk'!D78</f>
        <v>149377101</v>
      </c>
      <c r="D13" s="118">
        <f>'2019.telj.-Kiad-Önk'!G78</f>
        <v>145653065</v>
      </c>
      <c r="E13" s="49" t="s">
        <v>87</v>
      </c>
      <c r="F13" s="168">
        <f>'2019.telj.-Kiad-Önk'!C65</f>
        <v>6297000</v>
      </c>
      <c r="G13" s="174">
        <f>'2019.telj.-Kiad-Önk'!D65</f>
        <v>6207000</v>
      </c>
      <c r="H13" s="162">
        <f>'2019.telj.-Kiad-Önk'!G65</f>
        <v>6089037</v>
      </c>
      <c r="I13" s="34"/>
    </row>
    <row r="14" spans="1:9" ht="19.899999999999999" customHeight="1" x14ac:dyDescent="0.25">
      <c r="A14" s="55"/>
      <c r="B14" s="82"/>
      <c r="C14" s="119"/>
      <c r="D14" s="118"/>
      <c r="E14" s="49" t="s">
        <v>66</v>
      </c>
      <c r="F14" s="168">
        <f>'2019.telj.-Kiad-Önk'!C78</f>
        <v>141869501</v>
      </c>
      <c r="G14" s="175">
        <f>'2019.telj.-Kiad-Önk'!D78</f>
        <v>149377101</v>
      </c>
      <c r="H14" s="161">
        <f>'2019.telj.-Kiad-Önk'!G78</f>
        <v>145653065</v>
      </c>
    </row>
    <row r="15" spans="1:9" s="12" customFormat="1" ht="19.899999999999999" customHeight="1" thickBot="1" x14ac:dyDescent="0.25">
      <c r="A15" s="58" t="s">
        <v>9</v>
      </c>
      <c r="B15" s="141">
        <f>SUM(B8:B14)</f>
        <v>435665938.97000003</v>
      </c>
      <c r="C15" s="120">
        <f>SUM(C8:C14)</f>
        <v>545195400</v>
      </c>
      <c r="D15" s="121">
        <f>SUM(D8:D14)</f>
        <v>501327378</v>
      </c>
      <c r="E15" s="59" t="s">
        <v>10</v>
      </c>
      <c r="F15" s="169">
        <f>SUM(F8:F14)</f>
        <v>401847911</v>
      </c>
      <c r="G15" s="169">
        <f t="shared" ref="G15" si="0">SUM(G8:G14)</f>
        <v>452711154.93000001</v>
      </c>
      <c r="H15" s="147">
        <f>SUM(H8:H14)</f>
        <v>432397189</v>
      </c>
      <c r="I15" s="36"/>
    </row>
    <row r="16" spans="1:9" s="2" customFormat="1" ht="19.899999999999999" customHeight="1" thickTop="1" x14ac:dyDescent="0.25">
      <c r="A16" s="56" t="s">
        <v>29</v>
      </c>
      <c r="B16" s="142">
        <f>'2019.telj.-Bev-Önk'!C49</f>
        <v>111000000</v>
      </c>
      <c r="C16" s="122">
        <f>'2019.telj.-Bev-Önk'!D49</f>
        <v>112562520</v>
      </c>
      <c r="D16" s="123">
        <f>'2019.telj.-Bev-Önk'!G49</f>
        <v>112562520</v>
      </c>
      <c r="E16" s="57" t="s">
        <v>22</v>
      </c>
      <c r="F16" s="170">
        <f>'2019.telj.Kiad.Műv.'!C32</f>
        <v>381000</v>
      </c>
      <c r="G16" s="163">
        <f>'2019.telj.-Kiad-Önk'!D67+'2019.telj.-Kiad-Önk'!D69+'2019.telj.-Kiad-Önk'!D70+'2019.telj.-Kiad-Önk'!D71+'2019.telj.Kiad.Ovi'!D34+'2019.telj.Kiad.Műv.'!D32</f>
        <v>9702500</v>
      </c>
      <c r="H16" s="163">
        <f>'2019.telj.-Kiad-Önk'!G67+'2019.telj.-Kiad-Önk'!G69+'2019.telj.-Kiad-Önk'!G70+'2019.telj.-Kiad-Önk'!G71+'2019.telj.Kiad.Ovi'!G34+'2019.telj.Kiad.Műv.'!G32</f>
        <v>4840780</v>
      </c>
    </row>
    <row r="17" spans="1:10" s="2" customFormat="1" ht="19.899999999999999" customHeight="1" x14ac:dyDescent="0.25">
      <c r="A17" s="54" t="s">
        <v>30</v>
      </c>
      <c r="B17" s="81">
        <f>'2019.telj.Bev.Ovi'!C11</f>
        <v>298000</v>
      </c>
      <c r="C17" s="117">
        <f>'2019.telj.Bev.Ovi'!D11</f>
        <v>298687</v>
      </c>
      <c r="D17" s="118">
        <f>'2019.telj.Bev.Ovi'!G11</f>
        <v>298687</v>
      </c>
      <c r="E17" s="112" t="s">
        <v>23</v>
      </c>
      <c r="F17" s="171">
        <f>'2019.telj.-Kiad-Önk'!C75</f>
        <v>57118853</v>
      </c>
      <c r="G17" s="164">
        <f>'2019.telj.-Kiad-Önk'!D72+'2019.telj.-Kiad-Önk'!D73+'2019.telj.-Kiad-Önk'!D74</f>
        <v>197964139</v>
      </c>
      <c r="H17" s="164">
        <f>'2019.telj.-Kiad-Önk'!G72+'2019.telj.-Kiad-Önk'!G73+'2019.telj.-Kiad-Önk'!G74</f>
        <v>159668693</v>
      </c>
    </row>
    <row r="18" spans="1:10" s="2" customFormat="1" ht="29.25" customHeight="1" x14ac:dyDescent="0.25">
      <c r="A18" s="54" t="s">
        <v>557</v>
      </c>
      <c r="B18" s="81">
        <f>'2019.telj.- Bev.Hiv.'!C8</f>
        <v>816000</v>
      </c>
      <c r="C18" s="117">
        <f>'2019.telj.- Bev.Hiv.'!D8</f>
        <v>816868</v>
      </c>
      <c r="D18" s="118">
        <f>'2019.telj.- Bev.Hiv.'!G8</f>
        <v>816868</v>
      </c>
      <c r="E18" s="820" t="s">
        <v>559</v>
      </c>
      <c r="F18" s="171">
        <f>'2019.telj.-Kiad-Önk'!C76</f>
        <v>0</v>
      </c>
      <c r="G18" s="164">
        <f>'2019.telj.-Kiad-Önk'!D76</f>
        <v>1263000</v>
      </c>
      <c r="H18" s="164">
        <f>'2019.telj.-Kiad-Önk'!G76</f>
        <v>1262706</v>
      </c>
    </row>
    <row r="19" spans="1:10" s="2" customFormat="1" ht="19.899999999999999" customHeight="1" x14ac:dyDescent="0.25">
      <c r="A19" s="54" t="s">
        <v>558</v>
      </c>
      <c r="B19" s="81">
        <f>'2019.telj.Bev.Műv.'!C10</f>
        <v>102000</v>
      </c>
      <c r="C19" s="117">
        <f>'2019.telj.Bev.Műv.'!D10</f>
        <v>103089</v>
      </c>
      <c r="D19" s="118">
        <f>'2019.telj.Bev.Műv.'!G10</f>
        <v>103089</v>
      </c>
      <c r="E19" s="819"/>
      <c r="F19" s="171"/>
      <c r="G19" s="164"/>
      <c r="H19" s="164"/>
    </row>
    <row r="20" spans="1:10" s="2" customFormat="1" ht="19.899999999999999" customHeight="1" x14ac:dyDescent="0.25">
      <c r="A20" s="54" t="s">
        <v>76</v>
      </c>
      <c r="B20" s="81">
        <f>'2019.telj.-Bev-Önk'!C46</f>
        <v>0</v>
      </c>
      <c r="C20" s="117">
        <f>'2019.telj.-Bev-Önk'!D46</f>
        <v>118000</v>
      </c>
      <c r="D20" s="118">
        <f>'2019.telj.-Bev-Önk'!G46</f>
        <v>118000</v>
      </c>
      <c r="E20" s="112" t="s">
        <v>88</v>
      </c>
      <c r="F20" s="171">
        <f>'2019.telj.-Kiad-Önk'!C79+'2019.telj.-Kiad-Önk'!C80+'2019.telj.Kiad.Hiv.'!C35</f>
        <v>114754175</v>
      </c>
      <c r="G20" s="164">
        <f>'2019.telj.-Kiad-Önk'!D79</f>
        <v>107266988</v>
      </c>
      <c r="H20" s="164">
        <f>'2019.telj.-Kiad-Önk'!G79</f>
        <v>0</v>
      </c>
    </row>
    <row r="21" spans="1:10" ht="19.899999999999999" customHeight="1" x14ac:dyDescent="0.25">
      <c r="A21" s="54" t="s">
        <v>25</v>
      </c>
      <c r="B21" s="82">
        <f>'2019.telj.-Bev-Önk'!C19+'2019.telj.-Bev-Önk'!C47</f>
        <v>0</v>
      </c>
      <c r="C21" s="119">
        <f>'2019.telj.-Bev-Önk'!D19+'2019.telj.-Bev-Önk'!D47</f>
        <v>54709410</v>
      </c>
      <c r="D21" s="118">
        <f>'2019.telj.-Bev-Önk'!G19+'2019.telj.-Bev-Önk'!G47</f>
        <v>54709407</v>
      </c>
      <c r="E21" s="49" t="s">
        <v>67</v>
      </c>
      <c r="F21" s="172">
        <f>'2019.telj.-Kiad-Önk'!C77</f>
        <v>0</v>
      </c>
      <c r="G21" s="159">
        <f>'2019.telj.-Kiad-Önk'!D77</f>
        <v>6042266</v>
      </c>
      <c r="H21" s="159">
        <f>'2019.telj.-Kiad-Önk'!G77</f>
        <v>6042266</v>
      </c>
    </row>
    <row r="22" spans="1:10" ht="19.899999999999999" customHeight="1" x14ac:dyDescent="0.25">
      <c r="A22" s="54" t="s">
        <v>28</v>
      </c>
      <c r="B22" s="83">
        <f>'2019.telj.-Bev-Önk'!C42+'2019.telj.-Bev-Önk'!C44</f>
        <v>26220000</v>
      </c>
      <c r="C22" s="138">
        <f>'2019.telj.-Bev-Önk'!D41+'2019.telj.-Bev-Önk'!D43+'2019.telj.-Bev-Önk'!D44</f>
        <v>54424200</v>
      </c>
      <c r="D22" s="124">
        <f>'2019.telj.-Bev-Önk'!G41+'2019.telj.-Bev-Önk'!G43+'2019.telj.-Bev-Önk'!G44</f>
        <v>50423850</v>
      </c>
      <c r="E22" s="49"/>
      <c r="F22" s="171"/>
      <c r="G22" s="164"/>
      <c r="H22" s="164"/>
    </row>
    <row r="23" spans="1:10" ht="19.899999999999999" customHeight="1" thickBot="1" x14ac:dyDescent="0.3">
      <c r="A23" s="54" t="s">
        <v>85</v>
      </c>
      <c r="B23" s="83">
        <f>'2019.telj.-Bev-Önk'!C50</f>
        <v>0</v>
      </c>
      <c r="C23" s="138">
        <f>'2019.telj.-Bev-Önk'!D50</f>
        <v>6721874</v>
      </c>
      <c r="D23" s="124">
        <f>'2019.telj.-Bev-Önk'!G50</f>
        <v>6721874</v>
      </c>
      <c r="E23" s="112"/>
      <c r="F23" s="171"/>
      <c r="G23" s="164"/>
      <c r="H23" s="164"/>
    </row>
    <row r="24" spans="1:10" s="5" customFormat="1" ht="24" customHeight="1" thickBot="1" x14ac:dyDescent="0.25">
      <c r="A24" s="139" t="s">
        <v>7</v>
      </c>
      <c r="B24" s="143">
        <f>SUM(B15:B23)</f>
        <v>574101938.97000003</v>
      </c>
      <c r="C24" s="125">
        <f>SUM(C15:C23)</f>
        <v>774950048</v>
      </c>
      <c r="D24" s="125">
        <f>SUM(D15:D23)</f>
        <v>727081673</v>
      </c>
      <c r="E24" s="436" t="s">
        <v>7</v>
      </c>
      <c r="F24" s="437">
        <f>SUM(F15:F23)</f>
        <v>574101939</v>
      </c>
      <c r="G24" s="437">
        <f t="shared" ref="G24" si="1">SUM(G15:G23)</f>
        <v>774950047.93000007</v>
      </c>
      <c r="H24" s="438">
        <f>SUM(H15:H23)</f>
        <v>604211634</v>
      </c>
      <c r="I24" s="35"/>
    </row>
    <row r="25" spans="1:10" ht="23.25" customHeight="1" thickBot="1" x14ac:dyDescent="0.3">
      <c r="A25" s="50" t="s">
        <v>16</v>
      </c>
      <c r="B25" s="144">
        <f>-B13</f>
        <v>-141869501</v>
      </c>
      <c r="C25" s="144">
        <f t="shared" ref="C25:D25" si="2">-C13</f>
        <v>-149377101</v>
      </c>
      <c r="D25" s="144">
        <f t="shared" si="2"/>
        <v>-145653065</v>
      </c>
      <c r="E25" s="50" t="s">
        <v>16</v>
      </c>
      <c r="F25" s="173">
        <f>-F14</f>
        <v>-141869501</v>
      </c>
      <c r="G25" s="165">
        <f>-G14</f>
        <v>-149377101</v>
      </c>
      <c r="H25" s="165">
        <f>-H14</f>
        <v>-145653065</v>
      </c>
    </row>
    <row r="26" spans="1:10" ht="22.5" customHeight="1" thickBot="1" x14ac:dyDescent="0.25">
      <c r="A26" s="320" t="s">
        <v>17</v>
      </c>
      <c r="B26" s="321">
        <f>SUM(B24:B25)</f>
        <v>432232437.97000003</v>
      </c>
      <c r="C26" s="322">
        <f>SUM(C24:C25)</f>
        <v>625572947</v>
      </c>
      <c r="D26" s="323">
        <f>SUM(D24:D25)</f>
        <v>581428608</v>
      </c>
      <c r="E26" s="320" t="s">
        <v>17</v>
      </c>
      <c r="F26" s="439">
        <f>SUM(F24:F25)</f>
        <v>432232438</v>
      </c>
      <c r="G26" s="440">
        <f>SUM(G24:G25)</f>
        <v>625572946.93000007</v>
      </c>
      <c r="H26" s="440">
        <f>SUM(H24:H25)</f>
        <v>458558569</v>
      </c>
      <c r="I26" s="34"/>
      <c r="J26" s="62"/>
    </row>
    <row r="27" spans="1:10" x14ac:dyDescent="0.2">
      <c r="A27" s="3"/>
      <c r="B27" s="3"/>
      <c r="C27" s="3"/>
      <c r="D27" s="3"/>
      <c r="E27" s="9"/>
      <c r="J27" s="62"/>
    </row>
    <row r="28" spans="1:10" ht="21.75" customHeight="1" x14ac:dyDescent="0.2">
      <c r="A28" s="3"/>
      <c r="B28" s="3"/>
      <c r="C28" s="3"/>
      <c r="D28" s="3"/>
      <c r="E28" s="3"/>
      <c r="J28" s="63"/>
    </row>
    <row r="29" spans="1:10" ht="24.75" customHeight="1" x14ac:dyDescent="0.25">
      <c r="A29" s="3"/>
      <c r="B29" s="3"/>
      <c r="C29" s="3"/>
      <c r="D29" s="3"/>
      <c r="E29" s="3"/>
      <c r="F29" s="15"/>
      <c r="G29" s="1120"/>
      <c r="H29" s="1120"/>
      <c r="J29" s="64"/>
    </row>
    <row r="30" spans="1:10" ht="15" x14ac:dyDescent="0.25">
      <c r="A30" s="1119"/>
      <c r="B30" s="1119"/>
      <c r="C30" s="1119"/>
      <c r="D30" s="1119"/>
      <c r="E30" s="1119"/>
      <c r="F30" s="1119"/>
      <c r="G30" s="1119"/>
      <c r="H30" s="1119"/>
      <c r="J30" s="65"/>
    </row>
    <row r="31" spans="1:10" ht="15" x14ac:dyDescent="0.25">
      <c r="A31" s="84"/>
      <c r="B31" s="85"/>
      <c r="C31" s="85"/>
      <c r="D31" s="85"/>
      <c r="E31" s="86"/>
      <c r="F31" s="85"/>
      <c r="G31" s="85"/>
      <c r="H31" s="85"/>
      <c r="J31" s="64"/>
    </row>
    <row r="32" spans="1:10" ht="20.100000000000001" customHeight="1" x14ac:dyDescent="0.25">
      <c r="A32" s="87"/>
      <c r="B32" s="88"/>
      <c r="C32" s="89"/>
      <c r="D32" s="89"/>
      <c r="E32" s="90"/>
      <c r="F32" s="91"/>
      <c r="G32" s="91"/>
      <c r="H32" s="92"/>
      <c r="J32" s="64"/>
    </row>
    <row r="33" spans="1:10" ht="20.100000000000001" customHeight="1" x14ac:dyDescent="0.25">
      <c r="A33" s="87"/>
      <c r="B33" s="89"/>
      <c r="C33" s="89"/>
      <c r="D33" s="89"/>
      <c r="E33" s="90"/>
      <c r="F33" s="91"/>
      <c r="G33" s="91"/>
      <c r="H33" s="92"/>
      <c r="J33" s="62"/>
    </row>
    <row r="34" spans="1:10" ht="20.100000000000001" customHeight="1" x14ac:dyDescent="0.25">
      <c r="A34" s="87"/>
      <c r="B34" s="89"/>
      <c r="C34" s="89"/>
      <c r="D34" s="89"/>
      <c r="E34" s="90"/>
      <c r="F34" s="91"/>
      <c r="G34" s="91"/>
      <c r="H34" s="93"/>
      <c r="J34" s="66"/>
    </row>
    <row r="35" spans="1:10" ht="20.100000000000001" customHeight="1" x14ac:dyDescent="0.25">
      <c r="A35" s="87"/>
      <c r="B35" s="89"/>
      <c r="C35" s="89"/>
      <c r="D35" s="89"/>
      <c r="E35" s="90"/>
      <c r="F35" s="91"/>
      <c r="G35" s="94"/>
      <c r="H35" s="95"/>
      <c r="J35" s="62"/>
    </row>
    <row r="36" spans="1:10" ht="20.100000000000001" customHeight="1" x14ac:dyDescent="0.25">
      <c r="A36" s="87"/>
      <c r="B36" s="96"/>
      <c r="C36" s="96"/>
      <c r="D36" s="89"/>
      <c r="E36" s="90"/>
      <c r="F36" s="91"/>
      <c r="G36" s="94"/>
      <c r="H36" s="97"/>
      <c r="J36" s="62"/>
    </row>
    <row r="37" spans="1:10" ht="20.100000000000001" customHeight="1" x14ac:dyDescent="0.25">
      <c r="A37" s="98"/>
      <c r="B37" s="96"/>
      <c r="C37" s="96"/>
      <c r="D37" s="89"/>
      <c r="E37" s="90"/>
      <c r="F37" s="91"/>
      <c r="G37" s="99"/>
      <c r="H37" s="95"/>
      <c r="J37" s="62"/>
    </row>
    <row r="38" spans="1:10" ht="20.100000000000001" customHeight="1" x14ac:dyDescent="0.25">
      <c r="A38" s="98"/>
      <c r="B38" s="96"/>
      <c r="C38" s="96"/>
      <c r="D38" s="89"/>
      <c r="E38" s="90"/>
      <c r="F38" s="91"/>
      <c r="G38" s="100"/>
      <c r="H38" s="95"/>
      <c r="J38" s="66"/>
    </row>
    <row r="39" spans="1:10" ht="20.100000000000001" customHeight="1" x14ac:dyDescent="0.25">
      <c r="A39" s="98"/>
      <c r="B39" s="96"/>
      <c r="C39" s="96"/>
      <c r="D39" s="89"/>
      <c r="E39" s="90"/>
      <c r="F39" s="91"/>
      <c r="G39" s="92"/>
      <c r="H39" s="92"/>
      <c r="J39" s="62"/>
    </row>
    <row r="40" spans="1:10" ht="20.100000000000001" customHeight="1" x14ac:dyDescent="0.2">
      <c r="A40" s="101"/>
      <c r="B40" s="102"/>
      <c r="C40" s="102"/>
      <c r="D40" s="102"/>
      <c r="E40" s="103"/>
      <c r="F40" s="104"/>
      <c r="G40" s="104"/>
      <c r="H40" s="104"/>
      <c r="J40" s="67"/>
    </row>
    <row r="41" spans="1:10" ht="20.100000000000001" customHeight="1" x14ac:dyDescent="0.25">
      <c r="A41" s="87"/>
      <c r="B41" s="89"/>
      <c r="C41" s="89"/>
      <c r="D41" s="89"/>
      <c r="E41" s="90"/>
      <c r="F41" s="105"/>
      <c r="G41" s="92"/>
      <c r="H41" s="92"/>
    </row>
    <row r="42" spans="1:10" ht="20.100000000000001" customHeight="1" x14ac:dyDescent="0.25">
      <c r="A42" s="87"/>
      <c r="B42" s="89"/>
      <c r="C42" s="89"/>
      <c r="D42" s="89"/>
      <c r="E42" s="90"/>
      <c r="F42" s="105"/>
      <c r="G42" s="92"/>
      <c r="H42" s="92"/>
    </row>
    <row r="43" spans="1:10" ht="20.100000000000001" customHeight="1" x14ac:dyDescent="0.25">
      <c r="A43" s="87"/>
      <c r="B43" s="96"/>
      <c r="C43" s="96"/>
      <c r="D43" s="89"/>
      <c r="E43" s="90"/>
      <c r="F43" s="105"/>
      <c r="G43" s="92"/>
      <c r="H43" s="92"/>
    </row>
    <row r="44" spans="1:10" ht="20.100000000000001" customHeight="1" x14ac:dyDescent="0.2">
      <c r="A44" s="101"/>
      <c r="B44" s="106"/>
      <c r="C44" s="106"/>
      <c r="D44" s="106"/>
      <c r="E44" s="103"/>
      <c r="F44" s="104"/>
      <c r="G44" s="104"/>
      <c r="H44" s="104"/>
    </row>
    <row r="45" spans="1:10" ht="20.100000000000001" customHeight="1" x14ac:dyDescent="0.25">
      <c r="A45" s="98"/>
      <c r="B45" s="107"/>
      <c r="C45" s="107"/>
      <c r="D45" s="108"/>
      <c r="E45" s="98"/>
      <c r="F45" s="91"/>
      <c r="G45" s="92"/>
      <c r="H45" s="92"/>
    </row>
    <row r="46" spans="1:10" ht="20.100000000000001" customHeight="1" x14ac:dyDescent="0.2">
      <c r="A46" s="109"/>
      <c r="B46" s="106"/>
      <c r="C46" s="106"/>
      <c r="D46" s="106"/>
      <c r="E46" s="109"/>
      <c r="F46" s="110"/>
      <c r="G46" s="111"/>
      <c r="H46" s="111"/>
    </row>
    <row r="47" spans="1:10" x14ac:dyDescent="0.2">
      <c r="A47" s="3"/>
      <c r="B47" s="3"/>
      <c r="C47" s="3"/>
      <c r="D47" s="3"/>
      <c r="E47" s="3"/>
    </row>
    <row r="48" spans="1:10" x14ac:dyDescent="0.2">
      <c r="A48" s="3"/>
      <c r="B48" s="3"/>
      <c r="C48" s="3"/>
      <c r="D48" s="3"/>
      <c r="E48" s="3"/>
    </row>
    <row r="49" spans="1:9" x14ac:dyDescent="0.2">
      <c r="A49" s="3"/>
      <c r="B49" s="3"/>
      <c r="C49" s="3"/>
      <c r="D49" s="3"/>
      <c r="E49" s="3"/>
    </row>
    <row r="50" spans="1:9" x14ac:dyDescent="0.2">
      <c r="A50" s="3"/>
      <c r="B50" s="3"/>
      <c r="C50" s="3"/>
      <c r="D50" s="3"/>
      <c r="E50" s="3"/>
    </row>
    <row r="51" spans="1:9" x14ac:dyDescent="0.2">
      <c r="A51" s="3"/>
      <c r="B51" s="3"/>
      <c r="C51" s="3"/>
      <c r="D51" s="3"/>
      <c r="E51" s="3"/>
    </row>
    <row r="52" spans="1:9" x14ac:dyDescent="0.2">
      <c r="A52" s="3"/>
      <c r="B52" s="3"/>
      <c r="C52" s="3"/>
      <c r="D52" s="3"/>
      <c r="E52" s="3"/>
    </row>
    <row r="53" spans="1:9" x14ac:dyDescent="0.2">
      <c r="A53" s="3"/>
      <c r="B53" s="3"/>
      <c r="C53" s="3"/>
      <c r="D53" s="3"/>
      <c r="E53" s="3"/>
    </row>
    <row r="54" spans="1:9" x14ac:dyDescent="0.2">
      <c r="A54" s="3"/>
      <c r="B54" s="3"/>
      <c r="C54" s="3"/>
      <c r="D54" s="3"/>
      <c r="E54" s="3"/>
    </row>
    <row r="55" spans="1:9" x14ac:dyDescent="0.2">
      <c r="A55" s="3"/>
      <c r="B55" s="3"/>
      <c r="C55" s="3"/>
      <c r="D55" s="3"/>
      <c r="E55" s="3"/>
    </row>
    <row r="56" spans="1:9" x14ac:dyDescent="0.2">
      <c r="A56" s="3"/>
      <c r="B56" s="3"/>
      <c r="C56" s="3"/>
      <c r="D56" s="3"/>
      <c r="E56" s="3"/>
    </row>
    <row r="57" spans="1:9" x14ac:dyDescent="0.2">
      <c r="A57" s="3"/>
      <c r="B57" s="3"/>
      <c r="C57" s="3"/>
      <c r="D57" s="3"/>
      <c r="E57" s="3"/>
    </row>
    <row r="58" spans="1:9" x14ac:dyDescent="0.2">
      <c r="A58" s="3"/>
      <c r="B58" s="3"/>
      <c r="C58" s="3"/>
      <c r="D58" s="3"/>
      <c r="E58" s="3"/>
    </row>
    <row r="59" spans="1:9" x14ac:dyDescent="0.2">
      <c r="A59" s="3"/>
      <c r="B59" s="3"/>
      <c r="C59" s="3"/>
      <c r="D59" s="3"/>
      <c r="E59" s="3"/>
    </row>
    <row r="60" spans="1:9" x14ac:dyDescent="0.2">
      <c r="A60" s="3"/>
      <c r="B60" s="3"/>
      <c r="C60" s="3"/>
      <c r="D60" s="3"/>
      <c r="E60" s="3"/>
    </row>
    <row r="61" spans="1:9" x14ac:dyDescent="0.2">
      <c r="A61" s="3"/>
      <c r="B61" s="3"/>
      <c r="C61" s="3"/>
      <c r="D61" s="3"/>
      <c r="E61" s="3"/>
    </row>
    <row r="62" spans="1:9" x14ac:dyDescent="0.2">
      <c r="A62" s="3"/>
      <c r="B62" s="3"/>
      <c r="C62" s="44"/>
      <c r="D62" s="9"/>
      <c r="E62" s="3"/>
      <c r="G62" s="34"/>
      <c r="H62" s="45"/>
      <c r="I62" s="34"/>
    </row>
    <row r="63" spans="1:9" x14ac:dyDescent="0.2">
      <c r="A63" s="3"/>
      <c r="B63" s="3"/>
      <c r="C63" s="3"/>
      <c r="D63" s="9"/>
      <c r="E63" s="3"/>
    </row>
    <row r="64" spans="1:9" x14ac:dyDescent="0.2">
      <c r="A64" s="3"/>
      <c r="B64" s="3"/>
      <c r="C64" s="3"/>
      <c r="D64" s="3"/>
      <c r="E64" s="3"/>
    </row>
    <row r="65" spans="1:5" x14ac:dyDescent="0.2">
      <c r="A65" s="3"/>
      <c r="B65" s="3"/>
      <c r="C65" s="3"/>
      <c r="D65" s="9"/>
      <c r="E65" s="3"/>
    </row>
    <row r="66" spans="1:5" x14ac:dyDescent="0.2">
      <c r="A66" s="3"/>
      <c r="B66" s="3"/>
      <c r="C66" s="3"/>
      <c r="D66" s="3"/>
      <c r="E66" s="3"/>
    </row>
    <row r="67" spans="1:5" x14ac:dyDescent="0.2">
      <c r="A67" s="3"/>
      <c r="B67" s="3"/>
      <c r="C67" s="3"/>
      <c r="D67" s="3"/>
      <c r="E67" s="3"/>
    </row>
    <row r="68" spans="1:5" x14ac:dyDescent="0.2">
      <c r="A68" s="3"/>
      <c r="B68" s="3"/>
      <c r="C68" s="3"/>
      <c r="D68" s="3"/>
      <c r="E68" s="3"/>
    </row>
    <row r="69" spans="1:5" x14ac:dyDescent="0.2">
      <c r="A69" s="3"/>
      <c r="B69" s="3"/>
      <c r="C69" s="3"/>
      <c r="D69" s="3"/>
      <c r="E69" s="3"/>
    </row>
    <row r="70" spans="1:5" x14ac:dyDescent="0.2">
      <c r="A70" s="3"/>
      <c r="B70" s="3"/>
      <c r="C70" s="3"/>
      <c r="D70" s="3"/>
      <c r="E70" s="3"/>
    </row>
    <row r="71" spans="1:5" x14ac:dyDescent="0.2">
      <c r="A71" s="3"/>
      <c r="B71" s="3"/>
      <c r="C71" s="3"/>
      <c r="D71" s="3"/>
      <c r="E71" s="3"/>
    </row>
    <row r="72" spans="1:5" x14ac:dyDescent="0.2">
      <c r="A72" s="3"/>
      <c r="B72" s="3"/>
      <c r="C72" s="3"/>
      <c r="D72" s="3"/>
      <c r="E72" s="3"/>
    </row>
    <row r="73" spans="1:5" x14ac:dyDescent="0.2">
      <c r="A73" s="3"/>
      <c r="B73" s="3"/>
      <c r="C73" s="3"/>
      <c r="D73" s="3"/>
      <c r="E73" s="3"/>
    </row>
    <row r="74" spans="1:5" x14ac:dyDescent="0.2">
      <c r="A74" s="3"/>
      <c r="B74" s="3"/>
      <c r="C74" s="3"/>
      <c r="D74" s="3"/>
      <c r="E74" s="3"/>
    </row>
    <row r="75" spans="1:5" x14ac:dyDescent="0.2">
      <c r="A75" s="3"/>
      <c r="B75" s="3"/>
      <c r="C75" s="3"/>
      <c r="D75" s="3"/>
      <c r="E75" s="3"/>
    </row>
    <row r="76" spans="1:5" x14ac:dyDescent="0.2">
      <c r="A76" s="3"/>
      <c r="B76" s="3"/>
      <c r="C76" s="3"/>
      <c r="D76" s="3"/>
      <c r="E76" s="3"/>
    </row>
    <row r="77" spans="1:5" x14ac:dyDescent="0.2">
      <c r="A77" s="3"/>
      <c r="B77" s="3"/>
      <c r="C77" s="3"/>
      <c r="D77" s="3"/>
      <c r="E77" s="3"/>
    </row>
    <row r="78" spans="1:5" x14ac:dyDescent="0.2">
      <c r="A78" s="3"/>
      <c r="B78" s="3"/>
      <c r="C78" s="3"/>
      <c r="D78" s="3"/>
      <c r="E78" s="3"/>
    </row>
    <row r="79" spans="1:5" x14ac:dyDescent="0.2">
      <c r="A79" s="3"/>
      <c r="B79" s="3"/>
      <c r="C79" s="3"/>
      <c r="D79" s="3"/>
      <c r="E79" s="3"/>
    </row>
    <row r="80" spans="1:5" x14ac:dyDescent="0.2">
      <c r="A80" s="3"/>
      <c r="B80" s="3"/>
      <c r="C80" s="3"/>
      <c r="D80" s="3"/>
      <c r="E80" s="3"/>
    </row>
    <row r="81" spans="1:5" x14ac:dyDescent="0.2">
      <c r="A81" s="3"/>
      <c r="B81" s="3"/>
      <c r="C81" s="3"/>
      <c r="D81" s="3"/>
      <c r="E81" s="3"/>
    </row>
    <row r="82" spans="1:5" x14ac:dyDescent="0.2">
      <c r="A82" s="3"/>
      <c r="B82" s="3"/>
      <c r="C82" s="3"/>
      <c r="D82" s="3"/>
      <c r="E82" s="3"/>
    </row>
    <row r="83" spans="1:5" x14ac:dyDescent="0.2">
      <c r="A83" s="3"/>
      <c r="B83" s="3"/>
      <c r="C83" s="3"/>
      <c r="D83" s="3"/>
      <c r="E83" s="3"/>
    </row>
    <row r="84" spans="1:5" x14ac:dyDescent="0.2">
      <c r="A84" s="3"/>
      <c r="B84" s="3"/>
      <c r="C84" s="3"/>
      <c r="D84" s="3"/>
      <c r="E84" s="3"/>
    </row>
    <row r="85" spans="1:5" x14ac:dyDescent="0.2">
      <c r="A85" s="3"/>
      <c r="B85" s="3"/>
      <c r="C85" s="3"/>
      <c r="D85" s="3"/>
      <c r="E85" s="3"/>
    </row>
    <row r="86" spans="1:5" x14ac:dyDescent="0.2">
      <c r="A86" s="3"/>
      <c r="B86" s="3"/>
      <c r="C86" s="3"/>
      <c r="D86" s="3"/>
      <c r="E86" s="3"/>
    </row>
    <row r="87" spans="1:5" x14ac:dyDescent="0.2">
      <c r="A87" s="3"/>
      <c r="B87" s="3"/>
      <c r="C87" s="3"/>
      <c r="D87" s="3"/>
      <c r="E87" s="3"/>
    </row>
    <row r="88" spans="1:5" x14ac:dyDescent="0.2">
      <c r="A88" s="3"/>
      <c r="B88" s="3"/>
      <c r="C88" s="3"/>
      <c r="D88" s="3"/>
      <c r="E88" s="3"/>
    </row>
    <row r="89" spans="1:5" x14ac:dyDescent="0.2">
      <c r="A89" s="3"/>
      <c r="B89" s="3"/>
      <c r="C89" s="3"/>
      <c r="D89" s="3"/>
      <c r="E89" s="3"/>
    </row>
    <row r="90" spans="1:5" x14ac:dyDescent="0.2">
      <c r="A90" s="3"/>
      <c r="B90" s="3"/>
      <c r="C90" s="3"/>
      <c r="D90" s="3"/>
      <c r="E90" s="3"/>
    </row>
    <row r="91" spans="1:5" x14ac:dyDescent="0.2">
      <c r="A91" s="3"/>
      <c r="B91" s="3"/>
      <c r="C91" s="3"/>
      <c r="D91" s="3"/>
      <c r="E91" s="3"/>
    </row>
    <row r="92" spans="1:5" x14ac:dyDescent="0.2">
      <c r="A92" s="3"/>
      <c r="B92" s="3"/>
      <c r="C92" s="3"/>
      <c r="D92" s="3"/>
      <c r="E92" s="3"/>
    </row>
    <row r="93" spans="1:5" x14ac:dyDescent="0.2">
      <c r="A93" s="3"/>
      <c r="B93" s="3"/>
      <c r="C93" s="3"/>
      <c r="D93" s="3"/>
      <c r="E93" s="3"/>
    </row>
    <row r="94" spans="1:5" x14ac:dyDescent="0.2">
      <c r="A94" s="3"/>
      <c r="B94" s="3"/>
      <c r="C94" s="3"/>
      <c r="D94" s="3"/>
      <c r="E94" s="3"/>
    </row>
    <row r="95" spans="1:5" x14ac:dyDescent="0.2">
      <c r="A95" s="3"/>
      <c r="B95" s="3"/>
      <c r="C95" s="3"/>
      <c r="D95" s="3"/>
      <c r="E95" s="3"/>
    </row>
    <row r="96" spans="1:5" x14ac:dyDescent="0.2">
      <c r="A96" s="3"/>
      <c r="B96" s="3"/>
      <c r="C96" s="3"/>
      <c r="D96" s="3"/>
      <c r="E96" s="3"/>
    </row>
    <row r="97" spans="1:5" x14ac:dyDescent="0.2">
      <c r="A97" s="3"/>
      <c r="B97" s="3"/>
      <c r="C97" s="3"/>
      <c r="D97" s="3"/>
      <c r="E97" s="3"/>
    </row>
    <row r="98" spans="1:5" x14ac:dyDescent="0.2">
      <c r="A98" s="3"/>
      <c r="B98" s="3"/>
      <c r="C98" s="3"/>
      <c r="D98" s="3"/>
      <c r="E98" s="3"/>
    </row>
    <row r="99" spans="1:5" x14ac:dyDescent="0.2">
      <c r="A99" s="3"/>
      <c r="B99" s="3"/>
      <c r="C99" s="3"/>
      <c r="D99" s="3"/>
      <c r="E99" s="3"/>
    </row>
    <row r="100" spans="1:5" x14ac:dyDescent="0.2">
      <c r="A100" s="3"/>
      <c r="B100" s="3"/>
      <c r="C100" s="3"/>
      <c r="D100" s="3"/>
      <c r="E100" s="3"/>
    </row>
    <row r="101" spans="1:5" x14ac:dyDescent="0.2">
      <c r="A101" s="3"/>
      <c r="B101" s="3"/>
      <c r="C101" s="3"/>
      <c r="D101" s="3"/>
      <c r="E101" s="3"/>
    </row>
    <row r="102" spans="1:5" x14ac:dyDescent="0.2">
      <c r="A102" s="3"/>
      <c r="B102" s="3"/>
      <c r="C102" s="3"/>
      <c r="D102" s="3"/>
      <c r="E102" s="3"/>
    </row>
    <row r="103" spans="1:5" x14ac:dyDescent="0.2">
      <c r="A103" s="3"/>
      <c r="B103" s="3"/>
      <c r="C103" s="3"/>
      <c r="D103" s="3"/>
      <c r="E103" s="3"/>
    </row>
    <row r="104" spans="1:5" x14ac:dyDescent="0.2">
      <c r="A104" s="3"/>
      <c r="B104" s="3"/>
      <c r="C104" s="3"/>
      <c r="D104" s="3"/>
      <c r="E104" s="3"/>
    </row>
    <row r="105" spans="1:5" x14ac:dyDescent="0.2">
      <c r="A105" s="3"/>
      <c r="B105" s="3"/>
      <c r="C105" s="3"/>
      <c r="D105" s="3"/>
      <c r="E105" s="3"/>
    </row>
    <row r="106" spans="1:5" x14ac:dyDescent="0.2">
      <c r="A106" s="3"/>
      <c r="B106" s="3"/>
      <c r="C106" s="3"/>
      <c r="D106" s="3"/>
      <c r="E106" s="3"/>
    </row>
    <row r="107" spans="1:5" x14ac:dyDescent="0.2">
      <c r="A107" s="3"/>
      <c r="B107" s="3"/>
      <c r="C107" s="3"/>
      <c r="D107" s="3"/>
      <c r="E107" s="3"/>
    </row>
    <row r="108" spans="1:5" x14ac:dyDescent="0.2">
      <c r="A108" s="3"/>
      <c r="B108" s="3"/>
      <c r="C108" s="3"/>
      <c r="D108" s="3"/>
      <c r="E108" s="3"/>
    </row>
    <row r="109" spans="1:5" x14ac:dyDescent="0.2">
      <c r="A109" s="3"/>
      <c r="B109" s="3"/>
      <c r="C109" s="3"/>
      <c r="D109" s="3"/>
      <c r="E109" s="3"/>
    </row>
    <row r="110" spans="1:5" x14ac:dyDescent="0.2">
      <c r="A110" s="3"/>
      <c r="B110" s="3"/>
      <c r="C110" s="3"/>
      <c r="D110" s="3"/>
      <c r="E110" s="3"/>
    </row>
    <row r="111" spans="1:5" x14ac:dyDescent="0.2">
      <c r="A111" s="3"/>
      <c r="B111" s="3"/>
      <c r="C111" s="3"/>
      <c r="D111" s="3"/>
      <c r="E111" s="3"/>
    </row>
    <row r="112" spans="1:5" x14ac:dyDescent="0.2">
      <c r="A112" s="3"/>
      <c r="B112" s="3"/>
      <c r="C112" s="3"/>
      <c r="D112" s="3"/>
      <c r="E112" s="3"/>
    </row>
    <row r="113" spans="1:5" x14ac:dyDescent="0.2">
      <c r="A113" s="3"/>
      <c r="B113" s="3"/>
      <c r="C113" s="3"/>
      <c r="D113" s="3"/>
      <c r="E113" s="3"/>
    </row>
    <row r="114" spans="1:5" x14ac:dyDescent="0.2">
      <c r="A114" s="3"/>
      <c r="B114" s="3"/>
      <c r="C114" s="3"/>
      <c r="D114" s="3"/>
      <c r="E114" s="3"/>
    </row>
    <row r="115" spans="1:5" x14ac:dyDescent="0.2">
      <c r="A115" s="3"/>
      <c r="B115" s="3"/>
      <c r="C115" s="3"/>
      <c r="D115" s="3"/>
      <c r="E115" s="3"/>
    </row>
    <row r="116" spans="1:5" x14ac:dyDescent="0.2">
      <c r="A116" s="3"/>
      <c r="B116" s="3"/>
      <c r="C116" s="3"/>
      <c r="D116" s="3"/>
      <c r="E116" s="3"/>
    </row>
    <row r="117" spans="1:5" x14ac:dyDescent="0.2">
      <c r="A117" s="3"/>
      <c r="B117" s="3"/>
      <c r="C117" s="3"/>
      <c r="D117" s="3"/>
      <c r="E117" s="3"/>
    </row>
    <row r="118" spans="1:5" x14ac:dyDescent="0.2">
      <c r="A118" s="3"/>
      <c r="B118" s="3"/>
      <c r="C118" s="3"/>
      <c r="D118" s="3"/>
      <c r="E118" s="3"/>
    </row>
    <row r="119" spans="1:5" x14ac:dyDescent="0.2">
      <c r="A119" s="3"/>
      <c r="B119" s="3"/>
      <c r="C119" s="3"/>
      <c r="D119" s="3"/>
      <c r="E119" s="3"/>
    </row>
    <row r="120" spans="1:5" x14ac:dyDescent="0.2">
      <c r="A120" s="3"/>
      <c r="B120" s="3"/>
      <c r="C120" s="3"/>
      <c r="D120" s="3"/>
      <c r="E120" s="3"/>
    </row>
    <row r="121" spans="1:5" x14ac:dyDescent="0.2">
      <c r="A121" s="3"/>
      <c r="B121" s="3"/>
      <c r="C121" s="3"/>
      <c r="D121" s="3"/>
      <c r="E121" s="3"/>
    </row>
    <row r="122" spans="1:5" x14ac:dyDescent="0.2">
      <c r="A122" s="3"/>
      <c r="B122" s="3"/>
      <c r="C122" s="3"/>
      <c r="D122" s="3"/>
      <c r="E122" s="3"/>
    </row>
  </sheetData>
  <mergeCells count="10">
    <mergeCell ref="A30:D30"/>
    <mergeCell ref="E30:H30"/>
    <mergeCell ref="G29:H29"/>
    <mergeCell ref="A1:G1"/>
    <mergeCell ref="E6:H6"/>
    <mergeCell ref="A2:F2"/>
    <mergeCell ref="A6:D6"/>
    <mergeCell ref="A3:G3"/>
    <mergeCell ref="A4:G4"/>
    <mergeCell ref="E5:H5"/>
  </mergeCells>
  <phoneticPr fontId="0" type="noConversion"/>
  <pageMargins left="0.78740157480314965" right="0.59055118110236227" top="0.98425196850393704" bottom="0.98425196850393704" header="0.51181102362204722" footer="0.51181102362204722"/>
  <pageSetup paperSize="9" scale="78" orientation="landscape" r:id="rId1"/>
  <headerFooter alignWithMargins="0">
    <oddHeader>&amp;R2019.12.31.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8</vt:i4>
      </vt:variant>
    </vt:vector>
  </HeadingPairs>
  <TitlesOfParts>
    <vt:vector size="30" baseType="lpstr">
      <vt:lpstr>2019.telj.-Bev-Önk</vt:lpstr>
      <vt:lpstr>2019.telj.-Kiad-Önk</vt:lpstr>
      <vt:lpstr>2019.telj.- Bev.Hiv.</vt:lpstr>
      <vt:lpstr>2019.telj.Kiad.Hiv.</vt:lpstr>
      <vt:lpstr>2019.telj.Bev.Ovi</vt:lpstr>
      <vt:lpstr>2019.telj.Kiad.Ovi</vt:lpstr>
      <vt:lpstr>2019.telj.Bev.Műv.</vt:lpstr>
      <vt:lpstr>2019.telj.Kiad.Műv.</vt:lpstr>
      <vt:lpstr>1. sz.melléklet</vt:lpstr>
      <vt:lpstr>2. sz. melléklet</vt:lpstr>
      <vt:lpstr>3. sz. melléklet</vt:lpstr>
      <vt:lpstr>4.sz.melléklet</vt:lpstr>
      <vt:lpstr>5.sz.melléklet</vt:lpstr>
      <vt:lpstr>6. sz.melléklet</vt:lpstr>
      <vt:lpstr>7.sz. melléklet</vt:lpstr>
      <vt:lpstr>8.sz. melléklet</vt:lpstr>
      <vt:lpstr>9.sz. melléklet</vt:lpstr>
      <vt:lpstr>10-11.sz.melléklet</vt:lpstr>
      <vt:lpstr>12. sz. melléklet</vt:lpstr>
      <vt:lpstr>13.sz. melléklet</vt:lpstr>
      <vt:lpstr>14.sz. melléklet</vt:lpstr>
      <vt:lpstr>15.sz. melléklet</vt:lpstr>
      <vt:lpstr>'1. sz.melléklet'!Nyomtatási_terület</vt:lpstr>
      <vt:lpstr>'10-11.sz.melléklet'!Nyomtatási_terület</vt:lpstr>
      <vt:lpstr>'2. sz. melléklet'!Nyomtatási_terület</vt:lpstr>
      <vt:lpstr>'3. sz. melléklet'!Nyomtatási_terület</vt:lpstr>
      <vt:lpstr>'5.sz.melléklet'!Nyomtatási_terület</vt:lpstr>
      <vt:lpstr>'6. sz.melléklet'!Nyomtatási_terület</vt:lpstr>
      <vt:lpstr>'7.sz. melléklet'!Nyomtatási_terület</vt:lpstr>
      <vt:lpstr>'8.sz. melléklet'!Nyomtatási_terület</vt:lpstr>
    </vt:vector>
  </TitlesOfParts>
  <Company>Piliscsév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KollárAnikó</cp:lastModifiedBy>
  <cp:lastPrinted>2020-07-15T08:55:47Z</cp:lastPrinted>
  <dcterms:created xsi:type="dcterms:W3CDTF">2004-07-16T06:20:01Z</dcterms:created>
  <dcterms:modified xsi:type="dcterms:W3CDTF">2020-07-15T08:55:53Z</dcterms:modified>
</cp:coreProperties>
</file>